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CHARLET R4\"/>
    </mc:Choice>
  </mc:AlternateContent>
  <xr:revisionPtr revIDLastSave="0" documentId="13_ncr:1_{F2F21AB4-2E25-40F8-AB0F-5E8BF3127FEB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A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<sst xmlns="http://schemas.openxmlformats.org/spreadsheetml/2006/main" count="1176" uniqueCount="324">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</sst>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4.7501668593059909</c:v>
                </c:pt>
                <c:pt idx="2">
                  <c:v>9.781033106021189</c:v>
                </c:pt>
                <c:pt idx="3">
                  <c:v>20.170912404444724</c:v>
                </c:pt>
                <c:pt idx="4">
                  <c:v>41.658684339935661</c:v>
                </c:pt>
                <c:pt idx="5">
                  <c:v>86.158510470515978</c:v>
                </c:pt>
                <c:pt idx="6">
                  <c:v>93.33694261924164</c:v>
                </c:pt>
                <c:pt idx="7">
                  <c:v>126.27510860866158</c:v>
                </c:pt>
                <c:pt idx="8">
                  <c:v>159.00328247325112</c:v>
                </c:pt>
                <c:pt idx="9">
                  <c:v>191.57108695772345</c:v>
                </c:pt>
                <c:pt idx="10">
                  <c:v>224.00971024958213</c:v>
                </c:pt>
                <c:pt idx="11">
                  <c:v>171.57654976527132</c:v>
                </c:pt>
                <c:pt idx="12">
                  <c:v>199.39850383471867</c:v>
                </c:pt>
                <c:pt idx="13">
                  <c:v>227.1303449649258</c:v>
                </c:pt>
                <c:pt idx="14">
                  <c:v>254.78462730699016</c:v>
                </c:pt>
                <c:pt idx="15">
                  <c:v>282.37095153600734</c:v>
                </c:pt>
                <c:pt idx="16">
                  <c:v>249.72650127853672</c:v>
                </c:pt>
                <c:pt idx="17">
                  <c:v>271.49943214721333</c:v>
                </c:pt>
                <c:pt idx="18">
                  <c:v>293.23309465560823</c:v>
                </c:pt>
                <c:pt idx="19">
                  <c:v>314.93080732119182</c:v>
                </c:pt>
                <c:pt idx="20">
                  <c:v>336.59539404232521</c:v>
                </c:pt>
                <c:pt idx="21">
                  <c:v>314.54364642285981</c:v>
                </c:pt>
                <c:pt idx="22">
                  <c:v>331.18221405363937</c:v>
                </c:pt>
                <c:pt idx="23">
                  <c:v>347.80235114634814</c:v>
                </c:pt>
                <c:pt idx="24">
                  <c:v>364.40506221560372</c:v>
                </c:pt>
                <c:pt idx="25">
                  <c:v>380.99125278423679</c:v>
                </c:pt>
                <c:pt idx="26">
                  <c:v>367.10624290364035</c:v>
                </c:pt>
                <c:pt idx="27">
                  <c:v>380.22015624917958</c:v>
                </c:pt>
                <c:pt idx="28">
                  <c:v>393.32423243211684</c:v>
                </c:pt>
                <c:pt idx="29">
                  <c:v>406.41884537601385</c:v>
                </c:pt>
                <c:pt idx="30">
                  <c:v>419.50434294248203</c:v>
                </c:pt>
                <c:pt idx="31">
                  <c:v>408.34374690780288</c:v>
                </c:pt>
                <c:pt idx="32">
                  <c:v>418.35009841196273</c:v>
                </c:pt>
                <c:pt idx="33">
                  <c:v>428.35129337702142</c:v>
                </c:pt>
                <c:pt idx="34">
                  <c:v>438.34746920790479</c:v>
                </c:pt>
                <c:pt idx="35">
                  <c:v>448.33875652973478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2.5419361243387457</c:v>
                </c:pt>
                <c:pt idx="2">
                  <c:v>3.1655725638916965</c:v>
                </c:pt>
                <c:pt idx="3">
                  <c:v>3.9428035750244419</c:v>
                </c:pt>
                <c:pt idx="4">
                  <c:v>4.9115952921971058</c:v>
                </c:pt>
                <c:pt idx="5">
                  <c:v>6.1193302965732146</c:v>
                </c:pt>
                <c:pt idx="6">
                  <c:v>7.6251504406534805</c:v>
                </c:pt>
                <c:pt idx="7">
                  <c:v>9.5028842563757507</c:v>
                </c:pt>
                <c:pt idx="8">
                  <c:v>11.844705198464125</c:v>
                </c:pt>
                <c:pt idx="9">
                  <c:v>14.765703652419754</c:v>
                </c:pt>
                <c:pt idx="10">
                  <c:v>18.409601532395097</c:v>
                </c:pt>
                <c:pt idx="11">
                  <c:v>22.955895729680325</c:v>
                </c:pt>
                <c:pt idx="12">
                  <c:v>28.628788554676579</c:v>
                </c:pt>
                <c:pt idx="13">
                  <c:v>35.708353284652667</c:v>
                </c:pt>
                <c:pt idx="14">
                  <c:v>44.544495545902528</c:v>
                </c:pt>
                <c:pt idx="15">
                  <c:v>55.574412233109683</c:v>
                </c:pt>
                <c:pt idx="16">
                  <c:v>69.344426154250357</c:v>
                </c:pt>
                <c:pt idx="17">
                  <c:v>86.537295547085179</c:v>
                </c:pt>
                <c:pt idx="18">
                  <c:v>108.00637426873294</c:v>
                </c:pt>
                <c:pt idx="19">
                  <c:v>134.81834487636456</c:v>
                </c:pt>
                <c:pt idx="20">
                  <c:v>168.30668061428091</c:v>
                </c:pt>
                <c:pt idx="21">
                  <c:v>114.89636998864779</c:v>
                </c:pt>
                <c:pt idx="22">
                  <c:v>136.11149105418758</c:v>
                </c:pt>
                <c:pt idx="23">
                  <c:v>157.24688373565013</c:v>
                </c:pt>
                <c:pt idx="24">
                  <c:v>178.31479007290764</c:v>
                </c:pt>
                <c:pt idx="25">
                  <c:v>199.32431229219446</c:v>
                </c:pt>
                <c:pt idx="26">
                  <c:v>220.28247236407125</c:v>
                </c:pt>
                <c:pt idx="27">
                  <c:v>241.19484478237635</c:v>
                </c:pt>
                <c:pt idx="28">
                  <c:v>262.06595742232184</c:v>
                </c:pt>
                <c:pt idx="29">
                  <c:v>282.89955759178861</c:v>
                </c:pt>
                <c:pt idx="30">
                  <c:v>303.69879541443913</c:v>
                </c:pt>
                <c:pt idx="31">
                  <c:v>225.42891467822554</c:v>
                </c:pt>
                <c:pt idx="32">
                  <c:v>242.90708874646216</c:v>
                </c:pt>
                <c:pt idx="33">
                  <c:v>260.35666841385739</c:v>
                </c:pt>
                <c:pt idx="34">
                  <c:v>277.77983970169777</c:v>
                </c:pt>
                <c:pt idx="35">
                  <c:v>295.17849192957436</c:v>
                </c:pt>
                <c:pt idx="36">
                  <c:v>312.55427347160997</c:v>
                </c:pt>
                <c:pt idx="37">
                  <c:v>329.90863445331962</c:v>
                </c:pt>
                <c:pt idx="38">
                  <c:v>347.24285998792817</c:v>
                </c:pt>
                <c:pt idx="39">
                  <c:v>364.55809642552708</c:v>
                </c:pt>
                <c:pt idx="40">
                  <c:v>381.85537235272409</c:v>
                </c:pt>
                <c:pt idx="41">
                  <c:v>299.78012652729893</c:v>
                </c:pt>
                <c:pt idx="42">
                  <c:v>312.89475650137177</c:v>
                </c:pt>
                <c:pt idx="43">
                  <c:v>325.9971979435436</c:v>
                </c:pt>
                <c:pt idx="44">
                  <c:v>339.08800983656238</c:v>
                </c:pt>
                <c:pt idx="45">
                  <c:v>352.16770447084946</c:v>
                </c:pt>
                <c:pt idx="46">
                  <c:v>365.23675297080734</c:v>
                </c:pt>
                <c:pt idx="47">
                  <c:v>378.29558998861233</c:v>
                </c:pt>
                <c:pt idx="48">
                  <c:v>391.34461771590031</c:v>
                </c:pt>
                <c:pt idx="49">
                  <c:v>404.38420933237239</c:v>
                </c:pt>
                <c:pt idx="50">
                  <c:v>417.41471198632871</c:v>
                </c:pt>
                <c:pt idx="51">
                  <c:v>360.82499034748571</c:v>
                </c:pt>
                <c:pt idx="52">
                  <c:v>370.32580293370683</c:v>
                </c:pt>
                <c:pt idx="53">
                  <c:v>379.82129986564109</c:v>
                </c:pt>
                <c:pt idx="54">
                  <c:v>389.31163283661289</c:v>
                </c:pt>
                <c:pt idx="55">
                  <c:v>398.79694553728024</c:v>
                </c:pt>
                <c:pt idx="56">
                  <c:v>408.27737426224047</c:v>
                </c:pt>
                <c:pt idx="57">
                  <c:v>417.7530484573353</c:v>
                </c:pt>
                <c:pt idx="58">
                  <c:v>427.22409121469786</c:v>
                </c:pt>
                <c:pt idx="59">
                  <c:v>436.69061972160131</c:v>
                </c:pt>
                <c:pt idx="60">
                  <c:v>446.15274566834916</c:v>
                </c:pt>
                <c:pt idx="61">
                  <c:v>410.81596227236088</c:v>
                </c:pt>
                <c:pt idx="62">
                  <c:v>417.7530484573353</c:v>
                </c:pt>
                <c:pt idx="63">
                  <c:v>424.68765216037281</c:v>
                </c:pt>
                <c:pt idx="64">
                  <c:v>431.61981966331041</c:v>
                </c:pt>
                <c:pt idx="65">
                  <c:v>438.54959563904839</c:v>
                </c:pt>
                <c:pt idx="66">
                  <c:v>445.477023232585</c:v>
                </c:pt>
                <c:pt idx="67">
                  <c:v>452.40214413674408</c:v>
                </c:pt>
                <c:pt idx="68">
                  <c:v>459.32499866302322</c:v>
                </c:pt>
                <c:pt idx="69">
                  <c:v>466.24562580794571</c:v>
                </c:pt>
                <c:pt idx="70">
                  <c:v>473.16406331526701</c:v>
                </c:pt>
                <c:pt idx="71">
                  <c:v>442.94286825616126</c:v>
                </c:pt>
                <c:pt idx="72">
                  <c:v>448.17978162908167</c:v>
                </c:pt>
                <c:pt idx="73">
                  <c:v>453.41538541847422</c:v>
                </c:pt>
                <c:pt idx="74">
                  <c:v>458.64969689218088</c:v>
                </c:pt>
                <c:pt idx="75">
                  <c:v>463.88273289143444</c:v>
                </c:pt>
                <c:pt idx="76">
                  <c:v>469.11450984619825</c:v>
                </c:pt>
                <c:pt idx="77">
                  <c:v>474.3450437897875</c:v>
                </c:pt>
                <c:pt idx="78">
                  <c:v>479.5743503728101</c:v>
                </c:pt>
                <c:pt idx="79">
                  <c:v>484.80244487646905</c:v>
                </c:pt>
                <c:pt idx="80">
                  <c:v>490.02934222525914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1.56682834306264</c:v>
                </c:pt>
                <c:pt idx="2">
                  <c:v>1.9515586563673146</c:v>
                </c:pt>
                <c:pt idx="3">
                  <c:v>2.4311331858959355</c:v>
                </c:pt>
                <c:pt idx="4">
                  <c:v>3.0290204687505287</c:v>
                </c:pt>
                <c:pt idx="5">
                  <c:v>3.7745164777294953</c:v>
                </c:pt>
                <c:pt idx="6">
                  <c:v>4.7041963241079152</c:v>
                </c:pt>
                <c:pt idx="7">
                  <c:v>5.8637286860828803</c:v>
                </c:pt>
                <c:pt idx="8">
                  <c:v>7.3101438436548882</c:v>
                </c:pt>
                <c:pt idx="9">
                  <c:v>9.1146690280129867</c:v>
                </c:pt>
                <c:pt idx="10">
                  <c:v>11.36627336758013</c:v>
                </c:pt>
                <c:pt idx="11">
                  <c:v>14.17610048349583</c:v>
                </c:pt>
                <c:pt idx="12">
                  <c:v>17.683011570607853</c:v>
                </c:pt>
                <c:pt idx="13">
                  <c:v>22.060517871315398</c:v>
                </c:pt>
                <c:pt idx="14">
                  <c:v>27.525451659590289</c:v>
                </c:pt>
                <c:pt idx="15">
                  <c:v>34.348812773132863</c:v>
                </c:pt>
                <c:pt idx="16">
                  <c:v>42.869337838761396</c:v>
                </c:pt>
                <c:pt idx="17">
                  <c:v>53.510477238691315</c:v>
                </c:pt>
                <c:pt idx="18">
                  <c:v>66.801637592516627</c:v>
                </c:pt>
                <c:pt idx="19">
                  <c:v>83.404763891104167</c:v>
                </c:pt>
                <c:pt idx="20">
                  <c:v>104.14760645595801</c:v>
                </c:pt>
                <c:pt idx="21">
                  <c:v>127.5329083784389</c:v>
                </c:pt>
                <c:pt idx="22">
                  <c:v>150.81403684621014</c:v>
                </c:pt>
                <c:pt idx="23">
                  <c:v>174.00938053467337</c:v>
                </c:pt>
                <c:pt idx="24">
                  <c:v>197.13199917409852</c:v>
                </c:pt>
                <c:pt idx="25">
                  <c:v>220.19162819449525</c:v>
                </c:pt>
                <c:pt idx="26">
                  <c:v>243.19579296947248</c:v>
                </c:pt>
                <c:pt idx="27">
                  <c:v>266.15047699682117</c:v>
                </c:pt>
                <c:pt idx="28">
                  <c:v>289.06054654178126</c:v>
                </c:pt>
                <c:pt idx="29">
                  <c:v>311.93003320050815</c:v>
                </c:pt>
                <c:pt idx="30">
                  <c:v>334.76232907654128</c:v>
                </c:pt>
                <c:pt idx="31">
                  <c:v>259.12425907306857</c:v>
                </c:pt>
                <c:pt idx="32">
                  <c:v>282.46016930254592</c:v>
                </c:pt>
                <c:pt idx="33">
                  <c:v>305.75288994754123</c:v>
                </c:pt>
                <c:pt idx="34">
                  <c:v>329.00617208091745</c:v>
                </c:pt>
                <c:pt idx="35">
                  <c:v>352.22319328184176</c:v>
                </c:pt>
                <c:pt idx="36">
                  <c:v>375.40667813228606</c:v>
                </c:pt>
                <c:pt idx="37">
                  <c:v>398.55898736478298</c:v>
                </c:pt>
                <c:pt idx="38">
                  <c:v>421.68218520118631</c:v>
                </c:pt>
                <c:pt idx="39">
                  <c:v>444.77809114495147</c:v>
                </c:pt>
                <c:pt idx="40">
                  <c:v>467.84832045302431</c:v>
                </c:pt>
                <c:pt idx="41">
                  <c:v>356.73934276155018</c:v>
                </c:pt>
                <c:pt idx="42">
                  <c:v>380.73644016037707</c:v>
                </c:pt>
                <c:pt idx="43">
                  <c:v>404.70064902158566</c:v>
                </c:pt>
                <c:pt idx="44">
                  <c:v>428.63418899789554</c:v>
                </c:pt>
                <c:pt idx="45">
                  <c:v>452.53901180457274</c:v>
                </c:pt>
                <c:pt idx="46">
                  <c:v>476.4168462954683</c:v>
                </c:pt>
                <c:pt idx="47">
                  <c:v>500.2692340315354</c:v>
                </c:pt>
                <c:pt idx="48">
                  <c:v>524.09755771372511</c:v>
                </c:pt>
                <c:pt idx="49">
                  <c:v>547.90306417742806</c:v>
                </c:pt>
                <c:pt idx="50">
                  <c:v>571.68688318436864</c:v>
                </c:pt>
                <c:pt idx="51">
                  <c:v>458.86817919889182</c:v>
                </c:pt>
                <c:pt idx="52">
                  <c:v>480.49594057223567</c:v>
                </c:pt>
                <c:pt idx="53">
                  <c:v>502.10301968170171</c:v>
                </c:pt>
                <c:pt idx="54">
                  <c:v>523.69043100290867</c:v>
                </c:pt>
                <c:pt idx="55">
                  <c:v>545.25909862367178</c:v>
                </c:pt>
                <c:pt idx="56">
                  <c:v>566.80986762645261</c:v>
                </c:pt>
                <c:pt idx="57">
                  <c:v>588.34351365058626</c:v>
                </c:pt>
                <c:pt idx="58">
                  <c:v>609.8607509826237</c:v>
                </c:pt>
                <c:pt idx="59">
                  <c:v>631.36223944629717</c:v>
                </c:pt>
                <c:pt idx="60">
                  <c:v>652.84859030581401</c:v>
                </c:pt>
                <c:pt idx="61">
                  <c:v>562.54175945157522</c:v>
                </c:pt>
                <c:pt idx="62">
                  <c:v>579.81331549688002</c:v>
                </c:pt>
                <c:pt idx="63">
                  <c:v>597.07414390694851</c:v>
                </c:pt>
                <c:pt idx="64">
                  <c:v>614.32459826050399</c:v>
                </c:pt>
                <c:pt idx="65">
                  <c:v>631.56501067446993</c:v>
                </c:pt>
                <c:pt idx="66">
                  <c:v>648.79569366895078</c:v>
                </c:pt>
                <c:pt idx="67">
                  <c:v>666.01694182392941</c:v>
                </c:pt>
                <c:pt idx="68">
                  <c:v>683.2290332558332</c:v>
                </c:pt>
                <c:pt idx="69">
                  <c:v>700.43223093768881</c:v>
                </c:pt>
                <c:pt idx="70">
                  <c:v>717.62678388294535</c:v>
                </c:pt>
                <c:pt idx="71">
                  <c:v>643.42480053791849</c:v>
                </c:pt>
                <c:pt idx="72">
                  <c:v>658.31917885838322</c:v>
                </c:pt>
                <c:pt idx="73">
                  <c:v>673.20661928386801</c:v>
                </c:pt>
                <c:pt idx="74">
                  <c:v>688.08729675395978</c:v>
                </c:pt>
                <c:pt idx="75">
                  <c:v>702.96137803000727</c:v>
                </c:pt>
                <c:pt idx="76">
                  <c:v>717.82902224596603</c:v>
                </c:pt>
                <c:pt idx="77">
                  <c:v>732.69038141127101</c:v>
                </c:pt>
                <c:pt idx="78">
                  <c:v>747.54560087081745</c:v>
                </c:pt>
                <c:pt idx="79">
                  <c:v>762.39481972651276</c:v>
                </c:pt>
                <c:pt idx="80">
                  <c:v>777.23817122430239</c:v>
                </c:pt>
                <c:pt idx="81">
                  <c:v>8.0472891597182151E-12</c:v>
                </c:pt>
                <c:pt idx="82">
                  <c:v>8.0472891597182151E-12</c:v>
                </c:pt>
                <c:pt idx="83">
                  <c:v>8.0472891597182151E-12</c:v>
                </c:pt>
                <c:pt idx="84">
                  <c:v>8.0472891597182151E-12</c:v>
                </c:pt>
                <c:pt idx="85">
                  <c:v>8.0472891597182151E-12</c:v>
                </c:pt>
                <c:pt idx="86">
                  <c:v>8.0472891597182151E-12</c:v>
                </c:pt>
                <c:pt idx="87">
                  <c:v>8.0472891597182151E-12</c:v>
                </c:pt>
                <c:pt idx="88">
                  <c:v>8.0472891597182151E-12</c:v>
                </c:pt>
                <c:pt idx="89">
                  <c:v>8.0472891597182151E-12</c:v>
                </c:pt>
                <c:pt idx="90">
                  <c:v>8.0472891597182151E-12</c:v>
                </c:pt>
                <c:pt idx="91">
                  <c:v>8.0472891597182151E-12</c:v>
                </c:pt>
                <c:pt idx="92">
                  <c:v>8.0472891597182151E-12</c:v>
                </c:pt>
                <c:pt idx="93">
                  <c:v>8.0472891597182151E-12</c:v>
                </c:pt>
                <c:pt idx="94">
                  <c:v>8.0472891597182151E-12</c:v>
                </c:pt>
                <c:pt idx="95">
                  <c:v>8.0472891597182151E-12</c:v>
                </c:pt>
                <c:pt idx="96">
                  <c:v>8.0472891597182151E-12</c:v>
                </c:pt>
                <c:pt idx="97">
                  <c:v>8.0472891597182151E-12</c:v>
                </c:pt>
                <c:pt idx="98">
                  <c:v>8.0472891597182151E-12</c:v>
                </c:pt>
                <c:pt idx="99">
                  <c:v>8.0472891597182151E-12</c:v>
                </c:pt>
                <c:pt idx="100">
                  <c:v>8.0472891597182151E-12</c:v>
                </c:pt>
                <c:pt idx="101">
                  <c:v>8.0472891597182151E-12</c:v>
                </c:pt>
                <c:pt idx="102">
                  <c:v>8.0472891597182151E-12</c:v>
                </c:pt>
                <c:pt idx="103">
                  <c:v>8.0472891597182151E-12</c:v>
                </c:pt>
                <c:pt idx="104">
                  <c:v>8.0472891597182151E-12</c:v>
                </c:pt>
                <c:pt idx="105">
                  <c:v>8.0472891597182151E-12</c:v>
                </c:pt>
                <c:pt idx="106">
                  <c:v>8.0472891597182151E-12</c:v>
                </c:pt>
                <c:pt idx="107">
                  <c:v>8.0472891597182151E-12</c:v>
                </c:pt>
                <c:pt idx="108">
                  <c:v>8.0472891597182151E-12</c:v>
                </c:pt>
                <c:pt idx="109">
                  <c:v>8.0472891597182151E-12</c:v>
                </c:pt>
                <c:pt idx="110">
                  <c:v>8.0472891597182151E-12</c:v>
                </c:pt>
                <c:pt idx="111">
                  <c:v>8.0472891597182151E-12</c:v>
                </c:pt>
                <c:pt idx="112">
                  <c:v>8.0472891597182151E-12</c:v>
                </c:pt>
                <c:pt idx="113">
                  <c:v>8.0472891597182151E-12</c:v>
                </c:pt>
                <c:pt idx="114">
                  <c:v>8.0472891597182151E-12</c:v>
                </c:pt>
                <c:pt idx="115">
                  <c:v>8.0472891597182151E-12</c:v>
                </c:pt>
                <c:pt idx="116">
                  <c:v>8.0472891597182151E-12</c:v>
                </c:pt>
                <c:pt idx="117">
                  <c:v>8.0472891597182151E-12</c:v>
                </c:pt>
                <c:pt idx="118">
                  <c:v>8.0472891597182151E-12</c:v>
                </c:pt>
                <c:pt idx="119">
                  <c:v>8.0472891597182151E-12</c:v>
                </c:pt>
                <c:pt idx="120">
                  <c:v>8.0472891597182151E-12</c:v>
                </c:pt>
                <c:pt idx="121">
                  <c:v>8.0472891597182151E-12</c:v>
                </c:pt>
                <c:pt idx="122">
                  <c:v>8.0472891597182151E-12</c:v>
                </c:pt>
                <c:pt idx="123">
                  <c:v>8.0472891597182151E-12</c:v>
                </c:pt>
                <c:pt idx="124">
                  <c:v>8.0472891597182151E-12</c:v>
                </c:pt>
                <c:pt idx="125">
                  <c:v>8.0472891597182151E-12</c:v>
                </c:pt>
                <c:pt idx="126">
                  <c:v>8.0472891597182151E-12</c:v>
                </c:pt>
                <c:pt idx="127">
                  <c:v>8.0472891597182151E-12</c:v>
                </c:pt>
                <c:pt idx="128">
                  <c:v>8.0472891597182151E-12</c:v>
                </c:pt>
                <c:pt idx="129">
                  <c:v>8.0472891597182151E-12</c:v>
                </c:pt>
                <c:pt idx="130">
                  <c:v>8.0472891597182151E-12</c:v>
                </c:pt>
                <c:pt idx="131">
                  <c:v>8.0472891597182151E-12</c:v>
                </c:pt>
                <c:pt idx="132">
                  <c:v>8.0472891597182151E-12</c:v>
                </c:pt>
                <c:pt idx="133">
                  <c:v>8.0472891597182151E-12</c:v>
                </c:pt>
                <c:pt idx="134">
                  <c:v>8.0472891597182151E-12</c:v>
                </c:pt>
                <c:pt idx="135">
                  <c:v>8.0472891597182151E-12</c:v>
                </c:pt>
                <c:pt idx="136">
                  <c:v>8.0472891597182151E-12</c:v>
                </c:pt>
                <c:pt idx="137">
                  <c:v>8.0472891597182151E-12</c:v>
                </c:pt>
                <c:pt idx="138">
                  <c:v>8.0472891597182151E-12</c:v>
                </c:pt>
                <c:pt idx="139">
                  <c:v>8.0472891597182151E-12</c:v>
                </c:pt>
                <c:pt idx="140">
                  <c:v>8.0472891597182151E-12</c:v>
                </c:pt>
                <c:pt idx="141">
                  <c:v>8.0472891597182151E-12</c:v>
                </c:pt>
                <c:pt idx="142">
                  <c:v>8.0472891597182151E-12</c:v>
                </c:pt>
                <c:pt idx="143">
                  <c:v>8.0472891597182151E-12</c:v>
                </c:pt>
                <c:pt idx="144">
                  <c:v>8.0472891597182151E-12</c:v>
                </c:pt>
                <c:pt idx="145">
                  <c:v>8.0472891597182151E-12</c:v>
                </c:pt>
                <c:pt idx="146">
                  <c:v>8.0472891597182151E-12</c:v>
                </c:pt>
                <c:pt idx="147">
                  <c:v>8.0472891597182151E-12</c:v>
                </c:pt>
                <c:pt idx="148">
                  <c:v>8.0472891597182151E-12</c:v>
                </c:pt>
                <c:pt idx="149">
                  <c:v>8.0472891597182151E-12</c:v>
                </c:pt>
                <c:pt idx="150">
                  <c:v>8.0472891597182151E-12</c:v>
                </c:pt>
                <c:pt idx="151">
                  <c:v>8.0472891597182151E-12</c:v>
                </c:pt>
                <c:pt idx="152">
                  <c:v>8.0472891597182151E-12</c:v>
                </c:pt>
                <c:pt idx="153">
                  <c:v>8.0472891597182151E-12</c:v>
                </c:pt>
                <c:pt idx="154">
                  <c:v>8.0472891597182151E-12</c:v>
                </c:pt>
                <c:pt idx="155">
                  <c:v>8.0472891597182151E-12</c:v>
                </c:pt>
                <c:pt idx="156">
                  <c:v>8.0472891597182151E-12</c:v>
                </c:pt>
                <c:pt idx="157">
                  <c:v>8.0472891597182151E-12</c:v>
                </c:pt>
                <c:pt idx="158">
                  <c:v>8.0472891597182151E-12</c:v>
                </c:pt>
                <c:pt idx="159">
                  <c:v>8.0472891597182151E-12</c:v>
                </c:pt>
                <c:pt idx="160">
                  <c:v>8.0472891597182151E-12</c:v>
                </c:pt>
                <c:pt idx="161">
                  <c:v>8.0472891597182151E-12</c:v>
                </c:pt>
                <c:pt idx="162">
                  <c:v>8.0472891597182151E-12</c:v>
                </c:pt>
                <c:pt idx="163">
                  <c:v>8.0472891597182151E-12</c:v>
                </c:pt>
                <c:pt idx="164">
                  <c:v>8.0472891597182151E-12</c:v>
                </c:pt>
                <c:pt idx="165">
                  <c:v>8.0472891597182151E-12</c:v>
                </c:pt>
                <c:pt idx="166">
                  <c:v>8.0472891597182151E-12</c:v>
                </c:pt>
                <c:pt idx="167">
                  <c:v>8.0472891597182151E-12</c:v>
                </c:pt>
                <c:pt idx="168">
                  <c:v>8.0472891597182151E-12</c:v>
                </c:pt>
                <c:pt idx="169">
                  <c:v>8.0472891597182151E-12</c:v>
                </c:pt>
                <c:pt idx="170">
                  <c:v>8.0472891597182151E-12</c:v>
                </c:pt>
                <c:pt idx="171">
                  <c:v>8.0472891597182151E-12</c:v>
                </c:pt>
                <c:pt idx="172">
                  <c:v>8.0472891597182151E-12</c:v>
                </c:pt>
                <c:pt idx="173">
                  <c:v>8.0472891597182151E-12</c:v>
                </c:pt>
                <c:pt idx="174">
                  <c:v>8.0472891597182151E-12</c:v>
                </c:pt>
                <c:pt idx="175">
                  <c:v>8.0472891597182151E-12</c:v>
                </c:pt>
                <c:pt idx="176">
                  <c:v>8.0472891597182151E-12</c:v>
                </c:pt>
                <c:pt idx="177">
                  <c:v>8.0472891597182151E-12</c:v>
                </c:pt>
                <c:pt idx="178">
                  <c:v>8.0472891597182151E-12</c:v>
                </c:pt>
                <c:pt idx="179">
                  <c:v>8.0472891597182151E-12</c:v>
                </c:pt>
                <c:pt idx="180">
                  <c:v>8.0472891597182151E-12</c:v>
                </c:pt>
                <c:pt idx="181">
                  <c:v>8.0472891597182151E-12</c:v>
                </c:pt>
                <c:pt idx="182">
                  <c:v>8.0472891597182151E-12</c:v>
                </c:pt>
                <c:pt idx="183">
                  <c:v>8.0472891597182151E-12</c:v>
                </c:pt>
                <c:pt idx="184">
                  <c:v>8.0472891597182151E-12</c:v>
                </c:pt>
                <c:pt idx="185">
                  <c:v>8.0472891597182151E-12</c:v>
                </c:pt>
                <c:pt idx="186">
                  <c:v>8.0472891597182151E-12</c:v>
                </c:pt>
                <c:pt idx="187">
                  <c:v>8.0472891597182151E-12</c:v>
                </c:pt>
                <c:pt idx="188">
                  <c:v>8.0472891597182151E-12</c:v>
                </c:pt>
                <c:pt idx="189">
                  <c:v>8.0472891597182151E-12</c:v>
                </c:pt>
                <c:pt idx="190">
                  <c:v>8.0472891597182151E-12</c:v>
                </c:pt>
                <c:pt idx="191">
                  <c:v>8.0472891597182151E-12</c:v>
                </c:pt>
                <c:pt idx="192">
                  <c:v>8.0472891597182151E-12</c:v>
                </c:pt>
                <c:pt idx="193">
                  <c:v>8.0472891597182151E-12</c:v>
                </c:pt>
                <c:pt idx="194">
                  <c:v>8.0472891597182151E-12</c:v>
                </c:pt>
                <c:pt idx="195">
                  <c:v>8.0472891597182151E-12</c:v>
                </c:pt>
                <c:pt idx="196">
                  <c:v>8.0472891597182151E-12</c:v>
                </c:pt>
                <c:pt idx="197">
                  <c:v>8.0472891597182151E-12</c:v>
                </c:pt>
                <c:pt idx="198">
                  <c:v>8.0472891597182151E-12</c:v>
                </c:pt>
                <c:pt idx="199">
                  <c:v>8.0472891597182151E-12</c:v>
                </c:pt>
                <c:pt idx="200">
                  <c:v>8.0472891597182151E-12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72" zoomScale="80" zoomScaleNormal="80" workbookViewId="0">
      <selection activeCell="C16" sqref="C1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14.5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164</v>
      </c>
      <c r="C9" s="32">
        <v>0.14000000000000001</v>
      </c>
      <c r="D9" s="33">
        <f t="shared" ref="D9:D18" si="0">C9*$C$5</f>
        <v>2.0300000000000002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44</v>
      </c>
      <c r="C10" s="32">
        <v>0.1</v>
      </c>
      <c r="D10" s="33">
        <f t="shared" si="0"/>
        <v>1.4500000000000002</v>
      </c>
      <c r="E10" s="34">
        <v>35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18</v>
      </c>
      <c r="C11" s="32">
        <v>0.41</v>
      </c>
      <c r="D11" s="33">
        <f t="shared" si="0"/>
        <v>5.9449999999999994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81</v>
      </c>
      <c r="C12" s="32">
        <v>0.03</v>
      </c>
      <c r="D12" s="33">
        <f t="shared" si="0"/>
        <v>0.435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23</v>
      </c>
      <c r="C13" s="32">
        <v>7.0000000000000007E-2</v>
      </c>
      <c r="D13" s="33">
        <f t="shared" si="0"/>
        <v>1.0150000000000001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35</v>
      </c>
      <c r="C14" s="32">
        <v>0.17</v>
      </c>
      <c r="D14" s="33">
        <f t="shared" si="0"/>
        <v>2.4650000000000003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45</v>
      </c>
      <c r="C15" s="32">
        <v>0.08</v>
      </c>
      <c r="D15" s="33">
        <f t="shared" si="0"/>
        <v>1.1599999999999999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14.500000000000002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158</v>
      </c>
      <c r="C36" s="60">
        <v>1</v>
      </c>
      <c r="D36" s="60">
        <v>12.5</v>
      </c>
      <c r="E36" s="51"/>
      <c r="F36" s="51">
        <v>0.5</v>
      </c>
      <c r="G36" s="51">
        <v>0.5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237.5</v>
      </c>
      <c r="C37" s="60">
        <v>2</v>
      </c>
      <c r="D37" s="60">
        <v>45.9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291.60000000000002</v>
      </c>
      <c r="C38" s="60">
        <v>3</v>
      </c>
      <c r="D38" s="60">
        <v>83.4</v>
      </c>
      <c r="E38" s="51"/>
      <c r="F38" s="51"/>
      <c r="G38" s="51"/>
      <c r="H38" s="51"/>
      <c r="I38" s="53">
        <f t="shared" si="1"/>
        <v>10.000000000000004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323.2</v>
      </c>
      <c r="C39" s="60">
        <v>4</v>
      </c>
      <c r="D39" s="60">
        <v>83.4</v>
      </c>
      <c r="E39" s="51"/>
      <c r="F39" s="51"/>
      <c r="G39" s="51"/>
      <c r="H39" s="51"/>
      <c r="I39" s="49">
        <f t="shared" si="1"/>
        <v>11.499999999999996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374.79999999999995</v>
      </c>
      <c r="C40" s="60">
        <v>5</v>
      </c>
      <c r="D40" s="60">
        <v>83.4</v>
      </c>
      <c r="E40" s="51"/>
      <c r="F40" s="51"/>
      <c r="G40" s="51"/>
      <c r="H40" s="51"/>
      <c r="I40" s="49">
        <f t="shared" si="1"/>
        <v>13.499999999999996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446.4</v>
      </c>
      <c r="C41" s="60">
        <v>6</v>
      </c>
      <c r="D41" s="60">
        <v>83.4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533</v>
      </c>
      <c r="C42" s="60">
        <v>7</v>
      </c>
      <c r="D42" s="60">
        <v>83.4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624.6</v>
      </c>
      <c r="C43" s="60">
        <v>8</v>
      </c>
      <c r="D43" s="60">
        <v>83.4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726.2</v>
      </c>
      <c r="C44" s="60">
        <v>9</v>
      </c>
      <c r="D44" s="60">
        <v>726.2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Robinier faux-acacia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5</v>
      </c>
      <c r="B62" s="60">
        <v>42</v>
      </c>
      <c r="C62" s="60">
        <v>1</v>
      </c>
      <c r="D62" s="60">
        <v>13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8.4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10</v>
      </c>
      <c r="B63" s="60">
        <v>112</v>
      </c>
      <c r="C63" s="60">
        <v>2</v>
      </c>
      <c r="D63" s="60">
        <v>41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16.600000000000001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15</v>
      </c>
      <c r="B64" s="60">
        <v>142</v>
      </c>
      <c r="C64" s="60">
        <v>3</v>
      </c>
      <c r="D64" s="60">
        <v>28</v>
      </c>
      <c r="E64" s="51"/>
      <c r="F64" s="51">
        <v>0.25</v>
      </c>
      <c r="G64" s="51">
        <v>0.25</v>
      </c>
      <c r="H64" s="51">
        <v>0.5</v>
      </c>
      <c r="I64" s="49">
        <f>IF(A64&lt;&gt;0,(B64-(B63-D63))/(A64-A63),"")</f>
        <v>14.2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20</v>
      </c>
      <c r="B65" s="60">
        <v>170</v>
      </c>
      <c r="C65" s="60">
        <v>4</v>
      </c>
      <c r="D65" s="60">
        <v>20</v>
      </c>
      <c r="E65" s="51">
        <v>0.1</v>
      </c>
      <c r="F65" s="51">
        <v>0.45</v>
      </c>
      <c r="G65" s="51">
        <v>0.45</v>
      </c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25</v>
      </c>
      <c r="B66" s="60">
        <v>193</v>
      </c>
      <c r="C66" s="60">
        <v>5</v>
      </c>
      <c r="D66" s="60">
        <v>14</v>
      </c>
      <c r="E66" s="51">
        <v>0.2</v>
      </c>
      <c r="F66" s="51">
        <v>0.4</v>
      </c>
      <c r="G66" s="51">
        <v>0.4</v>
      </c>
      <c r="H66" s="51"/>
      <c r="I66" s="49">
        <f t="shared" ref="I66:I81" si="2">IF(A66&lt;&gt;0,(B66-(B65-D65))/(A66-A65),"")</f>
        <v>8.6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30</v>
      </c>
      <c r="B67" s="60">
        <v>213</v>
      </c>
      <c r="C67" s="60">
        <v>6</v>
      </c>
      <c r="D67" s="60">
        <v>11</v>
      </c>
      <c r="E67" s="51">
        <v>0.3</v>
      </c>
      <c r="F67" s="51">
        <v>0.35</v>
      </c>
      <c r="G67" s="51">
        <v>0.35</v>
      </c>
      <c r="H67" s="51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35</v>
      </c>
      <c r="B68" s="60">
        <v>228</v>
      </c>
      <c r="C68" s="60">
        <v>7</v>
      </c>
      <c r="D68" s="60">
        <v>228</v>
      </c>
      <c r="E68" s="51"/>
      <c r="F68" s="51"/>
      <c r="G68" s="51"/>
      <c r="H68" s="51"/>
      <c r="I68" s="49">
        <f t="shared" si="2"/>
        <v>5.2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Douglas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12</v>
      </c>
      <c r="C88" s="60"/>
      <c r="D88" s="60">
        <v>0</v>
      </c>
      <c r="E88" s="51"/>
      <c r="F88" s="51"/>
      <c r="G88" s="51"/>
      <c r="H88" s="87"/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162</v>
      </c>
      <c r="C89" s="60">
        <v>1</v>
      </c>
      <c r="D89" s="60">
        <v>63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321</v>
      </c>
      <c r="C90" s="60">
        <v>2</v>
      </c>
      <c r="D90" s="60">
        <v>112</v>
      </c>
      <c r="E90" s="87">
        <v>0.1</v>
      </c>
      <c r="F90" s="87">
        <v>0.45</v>
      </c>
      <c r="G90" s="87">
        <v>0.45</v>
      </c>
      <c r="H90" s="87"/>
      <c r="I90" s="53">
        <f t="shared" si="3"/>
        <v>22.2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429</v>
      </c>
      <c r="C91" s="60">
        <v>3</v>
      </c>
      <c r="D91" s="60">
        <v>112</v>
      </c>
      <c r="E91" s="87"/>
      <c r="F91" s="87"/>
      <c r="G91" s="87"/>
      <c r="H91" s="87"/>
      <c r="I91" s="53">
        <f t="shared" si="3"/>
        <v>22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509</v>
      </c>
      <c r="C92" s="60">
        <v>4</v>
      </c>
      <c r="D92" s="60">
        <v>108</v>
      </c>
      <c r="E92" s="87"/>
      <c r="F92" s="87"/>
      <c r="G92" s="87"/>
      <c r="H92" s="87"/>
      <c r="I92" s="53">
        <f t="shared" si="3"/>
        <v>19.2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563</v>
      </c>
      <c r="C93" s="60">
        <v>5</v>
      </c>
      <c r="D93" s="60">
        <v>83</v>
      </c>
      <c r="E93" s="87"/>
      <c r="F93" s="87"/>
      <c r="G93" s="87"/>
      <c r="H93" s="87"/>
      <c r="I93" s="53">
        <f t="shared" si="3"/>
        <v>16.2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614</v>
      </c>
      <c r="C94" s="60">
        <v>6</v>
      </c>
      <c r="D94" s="60">
        <v>67</v>
      </c>
      <c r="E94" s="87"/>
      <c r="F94" s="87"/>
      <c r="G94" s="87"/>
      <c r="H94" s="87"/>
      <c r="I94" s="53">
        <f t="shared" si="3"/>
        <v>13.4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v>651</v>
      </c>
      <c r="C95" s="60">
        <v>7</v>
      </c>
      <c r="D95" s="60">
        <v>651</v>
      </c>
      <c r="E95" s="87"/>
      <c r="F95" s="87"/>
      <c r="G95" s="87"/>
      <c r="H95" s="87"/>
      <c r="I95" s="53">
        <f t="shared" si="3"/>
        <v>10.4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Mélèze hybride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36</v>
      </c>
      <c r="C114" s="50"/>
      <c r="D114" s="60">
        <v>0</v>
      </c>
      <c r="E114" s="51"/>
      <c r="F114" s="51"/>
      <c r="G114" s="51"/>
      <c r="H114" s="51"/>
      <c r="I114" s="53">
        <f>IFERROR(B114/A114,"")</f>
        <v>3.6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177</v>
      </c>
      <c r="C115" s="50">
        <v>1</v>
      </c>
      <c r="D115" s="60">
        <v>81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14.1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260</v>
      </c>
      <c r="C116" s="50">
        <v>2</v>
      </c>
      <c r="D116" s="60">
        <v>84</v>
      </c>
      <c r="E116" s="51">
        <v>0.2</v>
      </c>
      <c r="F116" s="51">
        <v>0.4</v>
      </c>
      <c r="G116" s="51">
        <v>0.4</v>
      </c>
      <c r="H116" s="51"/>
      <c r="I116" s="53">
        <f t="shared" si="4"/>
        <v>16.399999999999999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314</v>
      </c>
      <c r="C117" s="50">
        <v>3</v>
      </c>
      <c r="D117" s="60">
        <v>80</v>
      </c>
      <c r="E117" s="51"/>
      <c r="F117" s="51"/>
      <c r="G117" s="51"/>
      <c r="H117" s="51"/>
      <c r="I117" s="53">
        <f t="shared" si="4"/>
        <v>13.8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349</v>
      </c>
      <c r="C118" s="50">
        <v>4</v>
      </c>
      <c r="D118" s="60">
        <v>65</v>
      </c>
      <c r="E118" s="51"/>
      <c r="F118" s="51"/>
      <c r="G118" s="51"/>
      <c r="H118" s="51"/>
      <c r="I118" s="53">
        <f t="shared" si="4"/>
        <v>11.5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382</v>
      </c>
      <c r="C119" s="50">
        <v>5</v>
      </c>
      <c r="D119" s="60">
        <v>56</v>
      </c>
      <c r="E119" s="51"/>
      <c r="F119" s="51"/>
      <c r="G119" s="51"/>
      <c r="H119" s="51"/>
      <c r="I119" s="53">
        <f t="shared" si="4"/>
        <v>9.8000000000000007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411</v>
      </c>
      <c r="C120" s="60">
        <v>6</v>
      </c>
      <c r="D120" s="60">
        <v>52</v>
      </c>
      <c r="E120" s="87"/>
      <c r="F120" s="87"/>
      <c r="G120" s="87"/>
      <c r="H120" s="87"/>
      <c r="I120" s="53">
        <f t="shared" si="4"/>
        <v>8.5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v>433</v>
      </c>
      <c r="C121" s="60">
        <v>7</v>
      </c>
      <c r="D121" s="60">
        <v>433</v>
      </c>
      <c r="E121" s="87"/>
      <c r="F121" s="87"/>
      <c r="G121" s="87"/>
      <c r="H121" s="87"/>
      <c r="I121" s="53">
        <f t="shared" si="4"/>
        <v>7.4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95</v>
      </c>
      <c r="C140" s="50">
        <v>1</v>
      </c>
      <c r="D140" s="60">
        <v>43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4.75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174</v>
      </c>
      <c r="C141" s="50">
        <v>2</v>
      </c>
      <c r="D141" s="60">
        <v>56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12.2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220</v>
      </c>
      <c r="C142" s="50">
        <v>3</v>
      </c>
      <c r="D142" s="60">
        <v>56</v>
      </c>
      <c r="E142" s="51"/>
      <c r="F142" s="51"/>
      <c r="G142" s="51"/>
      <c r="H142" s="51"/>
      <c r="I142" s="57">
        <f t="shared" si="5"/>
        <v>10.199999999999999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241</v>
      </c>
      <c r="C143" s="50">
        <v>4</v>
      </c>
      <c r="D143" s="60">
        <v>39</v>
      </c>
      <c r="E143" s="51"/>
      <c r="F143" s="51"/>
      <c r="G143" s="51"/>
      <c r="H143" s="51"/>
      <c r="I143" s="57">
        <f t="shared" si="5"/>
        <v>7.7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258</v>
      </c>
      <c r="C144" s="50">
        <v>5</v>
      </c>
      <c r="D144" s="60">
        <v>25</v>
      </c>
      <c r="E144" s="51"/>
      <c r="F144" s="51"/>
      <c r="G144" s="51"/>
      <c r="H144" s="51"/>
      <c r="I144" s="57">
        <f t="shared" si="5"/>
        <v>5.6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274</v>
      </c>
      <c r="C145" s="50">
        <v>6</v>
      </c>
      <c r="D145" s="60">
        <v>21</v>
      </c>
      <c r="E145" s="51"/>
      <c r="F145" s="51"/>
      <c r="G145" s="51"/>
      <c r="H145" s="51"/>
      <c r="I145" s="57">
        <f t="shared" si="5"/>
        <v>4.0999999999999996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v>284</v>
      </c>
      <c r="C146" s="50">
        <v>7</v>
      </c>
      <c r="D146" s="60">
        <v>284</v>
      </c>
      <c r="E146" s="51"/>
      <c r="F146" s="51"/>
      <c r="G146" s="51"/>
      <c r="H146" s="51"/>
      <c r="I146" s="57">
        <f t="shared" si="5"/>
        <v>3.1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Pin laricio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91</v>
      </c>
      <c r="C166" s="60">
        <v>1</v>
      </c>
      <c r="D166" s="60">
        <v>3</v>
      </c>
      <c r="E166" s="51"/>
      <c r="F166" s="51">
        <v>0.5</v>
      </c>
      <c r="G166" s="51">
        <v>0.5</v>
      </c>
      <c r="H166" s="51"/>
      <c r="I166" s="49">
        <f>IFERROR(B166/A166,"")</f>
        <v>4.55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218</v>
      </c>
      <c r="C167" s="60">
        <v>2</v>
      </c>
      <c r="D167" s="60">
        <v>70</v>
      </c>
      <c r="E167" s="51"/>
      <c r="F167" s="51">
        <v>0.5</v>
      </c>
      <c r="G167" s="51">
        <v>0.5</v>
      </c>
      <c r="H167" s="51"/>
      <c r="I167" s="49">
        <f t="shared" ref="I167:I185" si="6">IF(A167&lt;&gt;0,(B167-(B166-D166))/(A167-A166),"")</f>
        <v>13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285</v>
      </c>
      <c r="C168" s="60">
        <v>3</v>
      </c>
      <c r="D168" s="60">
        <v>70</v>
      </c>
      <c r="E168" s="51"/>
      <c r="F168" s="51"/>
      <c r="G168" s="51"/>
      <c r="H168" s="51"/>
      <c r="I168" s="49">
        <f t="shared" si="6"/>
        <v>13.7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343</v>
      </c>
      <c r="C169" s="60">
        <v>4</v>
      </c>
      <c r="D169" s="60">
        <v>70</v>
      </c>
      <c r="E169" s="51"/>
      <c r="F169" s="51"/>
      <c r="G169" s="51"/>
      <c r="H169" s="51"/>
      <c r="I169" s="49">
        <f t="shared" si="6"/>
        <v>12.8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387</v>
      </c>
      <c r="C170" s="60">
        <v>5</v>
      </c>
      <c r="D170" s="60">
        <v>57</v>
      </c>
      <c r="E170" s="51"/>
      <c r="F170" s="51"/>
      <c r="G170" s="51"/>
      <c r="H170" s="51"/>
      <c r="I170" s="49">
        <f t="shared" si="6"/>
        <v>11.4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422</v>
      </c>
      <c r="C171" s="60">
        <v>6</v>
      </c>
      <c r="D171" s="60">
        <v>44</v>
      </c>
      <c r="E171" s="51"/>
      <c r="F171" s="51"/>
      <c r="G171" s="51"/>
      <c r="H171" s="51"/>
      <c r="I171" s="49">
        <f t="shared" si="6"/>
        <v>9.1999999999999993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v>450</v>
      </c>
      <c r="C172" s="60">
        <v>7</v>
      </c>
      <c r="D172" s="60">
        <v>450</v>
      </c>
      <c r="E172" s="51"/>
      <c r="F172" s="51"/>
      <c r="G172" s="51"/>
      <c r="H172" s="51"/>
      <c r="I172" s="49">
        <f t="shared" si="6"/>
        <v>7.2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Sapin de Nordmann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96</v>
      </c>
      <c r="C192" s="60"/>
      <c r="D192" s="60">
        <v>0</v>
      </c>
      <c r="E192" s="51"/>
      <c r="F192" s="51">
        <v>0.5</v>
      </c>
      <c r="G192" s="51">
        <v>0.5</v>
      </c>
      <c r="H192" s="51"/>
      <c r="I192" s="49">
        <f>IFERROR(B192/A192,"")</f>
        <v>4.8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v>318</v>
      </c>
      <c r="C193" s="60">
        <v>1</v>
      </c>
      <c r="D193" s="60">
        <v>96</v>
      </c>
      <c r="E193" s="51">
        <v>0.2</v>
      </c>
      <c r="F193" s="51">
        <v>0.4</v>
      </c>
      <c r="G193" s="51">
        <v>0.4</v>
      </c>
      <c r="H193" s="51"/>
      <c r="I193" s="49">
        <f t="shared" ref="I193:I211" si="7">IF(A193&lt;&gt;0,(B193-(B192-D192))/(A193-A192),"")</f>
        <v>22.2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v>448</v>
      </c>
      <c r="C194" s="60">
        <v>2</v>
      </c>
      <c r="D194" s="60">
        <v>132</v>
      </c>
      <c r="E194" s="51"/>
      <c r="F194" s="51"/>
      <c r="G194" s="51"/>
      <c r="H194" s="51"/>
      <c r="I194" s="49">
        <f t="shared" si="7"/>
        <v>22.6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v>550</v>
      </c>
      <c r="C195" s="60">
        <v>3</v>
      </c>
      <c r="D195" s="60">
        <v>132</v>
      </c>
      <c r="E195" s="51"/>
      <c r="F195" s="51"/>
      <c r="G195" s="51"/>
      <c r="H195" s="51"/>
      <c r="I195" s="49">
        <f t="shared" si="7"/>
        <v>23.4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v>630</v>
      </c>
      <c r="C196" s="60">
        <v>4</v>
      </c>
      <c r="D196" s="60">
        <v>106</v>
      </c>
      <c r="E196" s="51"/>
      <c r="F196" s="51"/>
      <c r="G196" s="51"/>
      <c r="H196" s="51"/>
      <c r="I196" s="49">
        <f t="shared" si="7"/>
        <v>21.2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v>694</v>
      </c>
      <c r="C197" s="60">
        <v>5</v>
      </c>
      <c r="D197" s="60">
        <v>88</v>
      </c>
      <c r="E197" s="51"/>
      <c r="F197" s="51"/>
      <c r="G197" s="51"/>
      <c r="H197" s="51"/>
      <c r="I197" s="49">
        <f t="shared" si="7"/>
        <v>17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v>753</v>
      </c>
      <c r="C198" s="60">
        <v>6</v>
      </c>
      <c r="D198" s="60">
        <v>753</v>
      </c>
      <c r="E198" s="51"/>
      <c r="F198" s="51"/>
      <c r="G198" s="51"/>
      <c r="H198" s="51"/>
      <c r="I198" s="49">
        <f t="shared" si="7"/>
        <v>14.7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1" zoomScaleNormal="100" workbookViewId="0">
      <selection activeCell="G26" sqref="G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Robinier faux-acacia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Douglas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hybride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Pin laricio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Sapin de Nordmann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215.23235148064941</v>
      </c>
      <c r="T3" s="59">
        <f>IF('Données projet'!E9&gt;30,$R$33-$H$33,LOOKUP('Données projet'!$E$9,$A$3:$A$203,R3:R203)-LOOKUP('Données projet'!$E$9,$A$3:$A$203,$H$3:$H$203))</f>
        <v>184.07239726900434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225.28075317732998</v>
      </c>
      <c r="AO3" s="59">
        <f>IF('Données projet'!E10&gt;30,$AM$33-$H$33,LOOKUP('Données projet'!$E$10,$A$3:$A$203,AM3:AM203)-LOOKUP('Données projet'!$E$10,$A$3:$A$203,$H$3:$H$203))</f>
        <v>358.43407531256207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326.31232746914907</v>
      </c>
      <c r="BJ3" s="59">
        <f>IF('Données projet'!E11&gt;30,$BH$33-$H$33,LOOKUP('Données projet'!$E$11,$A$3:$A$203,BH3:BH203)-LOOKUP('Données projet'!$E$11,$A$3:$A$203,$H$3:$H$203))</f>
        <v>330.17137761430297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210.04871822652808</v>
      </c>
      <c r="CE3" s="59">
        <f>IF('Données projet'!E12&gt;30,$CC$33-$H$33,LOOKUP('Données projet'!$E$12,$A$3:$A$203,CC3:CC203)-LOOKUP('Données projet'!$E$12,$A$3:$A$203,$H$3:$H$203))</f>
        <v>250.17540614049324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199.58763537752952</v>
      </c>
      <c r="CZ3" s="59">
        <f>IF('Données projet'!E13&gt;30,$CX$33-$H$33,LOOKUP('Données projet'!$E$13,$A$3:$A$203,CX3:CX203)-LOOKUP('Données projet'!$E$13,$A$3:$A$203,$H$3:$H$203))</f>
        <v>242.62852778451929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216.94426559495264</v>
      </c>
      <c r="DU3" s="59">
        <f>IF('Données projet'!E14&gt;30,$DS$33-$H$33,LOOKUP('Données projet'!$E$14,$A$3:$A$203,DS3:DS203)-LOOKUP('Données projet'!$E$14,$A$3:$A$203,$H$3:$H$203))</f>
        <v>225.33715877618704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292.1792787220852</v>
      </c>
      <c r="EP3" s="59">
        <f>IF('Données projet'!E15&gt;30,$EN$33-$H$33,LOOKUP('Données projet'!$E$15,$A$3:$A$203,EN3:EN203)-LOOKUP('Données projet'!$E$15,$A$3:$A$203,$H$3:$H$203))</f>
        <v>273.69206144662144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294.89641891074018</v>
      </c>
      <c r="S4" s="59">
        <f ca="1">AVERAGE(OFFSET($R$3,0,0,'Données projet'!$E$9+1,1))-AVERAGE(OFFSET($H$3,0,0,'Données projet'!$E$9+1,1))</f>
        <v>215.23235148064941</v>
      </c>
      <c r="T4" s="59">
        <f>$T$3</f>
        <v>184.07239726900434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8.4</v>
      </c>
      <c r="AI4" s="13">
        <f>IF('Données projet'!$A$62&gt;35,AI3+AH4-AQ3,IF(A4&lt;'Données projet'!$A$62,$AF$205^A4,IF(A4='Données projet'!$A$62,'Données projet'!$B$62,AI3+AH4-AQ3)))</f>
        <v>2.1117857649667542</v>
      </c>
      <c r="AJ4" s="13">
        <f>AI4*VLOOKUP('Données projet'!$B$10,Paramètres!$A$1:$I$89,3,0)*VLOOKUP('Données projet'!$B$10,Paramètres!$A$1:$I$89,5,0)</f>
        <v>1.910743760141919</v>
      </c>
      <c r="AK4" s="13">
        <f>EXP(-1.0587+0.8836*LN(AJ4)+0.284)</f>
        <v>0.81662477151702273</v>
      </c>
      <c r="AL4" s="20">
        <f t="shared" ref="AL4:AL67" si="4">(AJ4+AK4)*0.475*44/12</f>
        <v>4.7501668593059909</v>
      </c>
      <c r="AM4" s="59">
        <f t="shared" ref="AM4:AM67" si="5">AL4+(AD4+AE4)*44/12</f>
        <v>298.08350019263929</v>
      </c>
      <c r="AN4" s="59">
        <f ca="1">AVERAGE(OFFSET($AM$3,0,0,'Données projet'!$E$10+1,1))-AVERAGE(OFFSET($H$3,0,0,'Données projet'!$E$10+1,1))</f>
        <v>225.28075317732998</v>
      </c>
      <c r="AO4" s="59">
        <f>$AO$3</f>
        <v>358.43407531256207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1.2820888539868154</v>
      </c>
      <c r="BE4" s="13">
        <f>BD4*VLOOKUP('Données projet'!$B$11,Paramètres!$A$1:$I$89,3,0)*VLOOKUP('Données projet'!$B$11,Paramètres!$A$1:$I$89,5,0)</f>
        <v>0.71668766937862982</v>
      </c>
      <c r="BF4" s="13">
        <f>EXP(-1.0587+0.8836*LN(BE4)+0.284)</f>
        <v>0.3433377788328647</v>
      </c>
      <c r="BG4" s="20">
        <f t="shared" ref="BG4:BG67" si="7">(BE4+BF4)*0.475*44/12</f>
        <v>1.8462109889683529</v>
      </c>
      <c r="BH4" s="59">
        <f t="shared" ref="BH4:BH67" si="8">BG4+(AY4+AZ4)*44/12</f>
        <v>295.17954432230169</v>
      </c>
      <c r="BI4" s="59">
        <f ca="1">AVERAGE(OFFSET($BH$3,0,0,'Données projet'!$E$11+1,1))-AVERAGE(OFFSET($H$3,0,0,'Données projet'!$E$11+1,1))</f>
        <v>326.31232746914907</v>
      </c>
      <c r="BJ4" s="59">
        <f>$BJ$3</f>
        <v>330.17137761430297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</v>
      </c>
      <c r="BY4" s="12">
        <f>IF('Données projet'!$A$114&gt;35,BY3+BX4-CG3,IF(A4&lt;'Données projet'!$A$114,$BV$205^A4,IF(A4='Données projet'!$A$114,'Données projet'!$B$114,BY3+BX4-CG3)))</f>
        <v>1.4309690811052556</v>
      </c>
      <c r="BZ4" s="13">
        <f>BY4*VLOOKUP('Données projet'!$B$12,Paramètres!$A$1:$I$89,3,0)*VLOOKUP('Données projet'!$B$12,Paramètres!$A$1:$I$89,5,0)</f>
        <v>0.78130911828346949</v>
      </c>
      <c r="CA4" s="13">
        <f>EXP(-1.0587+0.8836*LN(BZ4)+0.284)</f>
        <v>0.37055303350010543</v>
      </c>
      <c r="CB4" s="20">
        <f t="shared" ref="CB4:CB67" si="10">(BZ4+CA4)*0.475*44/12</f>
        <v>2.0061599143563931</v>
      </c>
      <c r="CC4" s="59">
        <f t="shared" ref="CC4:CC67" si="11">CB4+(BT4+BU4)*44/12</f>
        <v>295.33949324768969</v>
      </c>
      <c r="CD4" s="59">
        <f ca="1">AVERAGE(OFFSET($CC$3,0,0,'Données projet'!$E$12+1,1))-AVERAGE(OFFSET($H$3,0,0,'Données projet'!$E$12+1,1))</f>
        <v>210.04871822652808</v>
      </c>
      <c r="CE4" s="59">
        <f>$CE$3</f>
        <v>250.17540614049324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4.75</v>
      </c>
      <c r="CT4" s="12">
        <f>IF('Données projet'!$A$140&gt;35,CT3+CS4-DB3,IF(A4&lt;'Données projet'!$A$140,$CQ$205^A4,IF(A4='Données projet'!$A$140,'Données projet'!$B$140,CT3+CS4-DB3)))</f>
        <v>1.2557008269631629</v>
      </c>
      <c r="CU4" s="17">
        <f>CT4*VLOOKUP('Données projet'!$B$13,Paramètres!$A$1:$I$89,3,0)*VLOOKUP('Données projet'!$B$13,Paramètres!$A$1:$I$89,5,0)</f>
        <v>0.99903557793189246</v>
      </c>
      <c r="CV4" s="13">
        <f>EXP(-1.0587+0.8836*LN(CU4)+0.284)</f>
        <v>0.46044927814777026</v>
      </c>
      <c r="CW4" s="20">
        <f t="shared" ref="CW4:CW67" si="13">(CU4+CV4)*0.475*44/12</f>
        <v>2.5419361243387457</v>
      </c>
      <c r="CX4" s="59">
        <f t="shared" ref="CX4:CX67" si="14">CW4+(CO4+CP4)*44/12</f>
        <v>295.87526945767206</v>
      </c>
      <c r="CY4" s="59">
        <f ca="1">AVERAGE(OFFSET($CX$3,0,0,'Données projet'!$E$13+1,1))-AVERAGE(OFFSET($H$3,0,0,'Données projet'!$E$13+1,1))</f>
        <v>199.58763537752952</v>
      </c>
      <c r="CZ4" s="59">
        <f>$CZ$3</f>
        <v>242.62852778451929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4.55</v>
      </c>
      <c r="DO4" s="12">
        <f>IF('Données projet'!$A$166&gt;35,DO3+DN4-DW3,IF(A4&lt;'Données projet'!$A$166,$DL$205^A4,IF(A4='Données projet'!$A$166,'Données projet'!$B$166,DO3+DN4-DW3)))</f>
        <v>1.2530028811664373</v>
      </c>
      <c r="DP4" s="17">
        <f>DO4*VLOOKUP('Données projet'!$B$14,Paramètres!$A$1:$I$89,3,0)*VLOOKUP('Données projet'!$B$14,Paramètres!$A$1:$I$89,5,0)</f>
        <v>0.74929572293752955</v>
      </c>
      <c r="DQ4" s="13">
        <f>EXP(-1.0587+0.8836*LN(DP4)+0.284)</f>
        <v>0.35710479340754359</v>
      </c>
      <c r="DR4" s="20">
        <f t="shared" ref="DR4:DR67" si="16">(DP4+DQ4)*0.475*44/12</f>
        <v>1.9269808993010022</v>
      </c>
      <c r="DS4" s="59">
        <f t="shared" ref="DS4:DS67" si="17">DR4+(DJ4+DK4)*44/12</f>
        <v>295.2603142326343</v>
      </c>
      <c r="DT4" s="59">
        <f ca="1">AVERAGE(OFFSET($DS$3,0,0,'Données projet'!$E$14+1,1))-AVERAGE(OFFSET($H$3,0,0,'Données projet'!$E$14+1,1))</f>
        <v>216.94426559495264</v>
      </c>
      <c r="DU4" s="59">
        <f>$DU$3</f>
        <v>225.33715877618704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4.8</v>
      </c>
      <c r="EJ4" s="12">
        <f>IF('Données projet'!$A$192&gt;35,EJ3+EI4-ER3,IF(A4&lt;'Données projet'!$A$192,$EG$205^A4,IF(A4='Données projet'!$A$192,'Données projet'!$B$192,EJ3+EI4-ER3)))</f>
        <v>1.2563584400948855</v>
      </c>
      <c r="EK4" s="17">
        <f>EJ4*VLOOKUP('Données projet'!$B$15,Paramètres!$A$1:$I$89,3,0)*VLOOKUP('Données projet'!$B$15,Paramètres!$A$1:$I$89,5,0)</f>
        <v>0.60430840968563992</v>
      </c>
      <c r="EL4" s="13">
        <f>EXP(-1.0587+0.8836*LN(EK4)+0.284)</f>
        <v>0.29530594996755061</v>
      </c>
      <c r="EM4" s="20">
        <f t="shared" ref="EM4:EM67" si="19">(EK4+EL4)*0.475*44/12</f>
        <v>1.56682834306264</v>
      </c>
      <c r="EN4" s="59">
        <f t="shared" ref="EN4:EN67" si="20">EM4+(EE4+EF4)*44/12</f>
        <v>294.90016167639595</v>
      </c>
      <c r="EO4" s="59">
        <f ca="1">AVERAGE(OFFSET($EN$3,0,0,'Données projet'!$E$15+1,1))-AVERAGE(OFFSET($H$3,0,0,'Données projet'!$E$15+1,1))</f>
        <v>292.1792787220852</v>
      </c>
      <c r="EP4" s="59">
        <f>$EP$3</f>
        <v>273.69206144662144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295.32747390874374</v>
      </c>
      <c r="S5" s="59">
        <f ca="1">AVERAGE(OFFSET($R$3,0,0,'Données projet'!$E$9+1,1))-AVERAGE(OFFSET($H$3,0,0,'Données projet'!$E$9+1,1))</f>
        <v>215.23235148064941</v>
      </c>
      <c r="T5" s="59">
        <f t="shared" ref="T5:T68" si="34">$T$3</f>
        <v>184.07239726900434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8.4</v>
      </c>
      <c r="AI5" s="13">
        <f>IF('Données projet'!$A$62&gt;35,AI4+AH5-AQ4,IF(A5&lt;'Données projet'!$A$62,$AF$205^A5,IF(A5='Données projet'!$A$62,'Données projet'!$B$62,AI4+AH5-AQ4)))</f>
        <v>4.4596391171162191</v>
      </c>
      <c r="AJ5" s="13">
        <f>AI5*VLOOKUP('Données projet'!$B$10,Paramètres!$A$1:$I$89,3,0)*VLOOKUP('Données projet'!$B$10,Paramètres!$A$1:$I$89,5,0)</f>
        <v>4.0350814731667546</v>
      </c>
      <c r="AK5" s="13">
        <f t="shared" ref="AK5:AK68" si="35">EXP(-1.0587+0.8836*LN(AJ5)+0.284)</f>
        <v>1.5808227025391919</v>
      </c>
      <c r="AL5" s="20">
        <f t="shared" si="4"/>
        <v>9.781033106021189</v>
      </c>
      <c r="AM5" s="59">
        <f t="shared" si="5"/>
        <v>303.11436643935451</v>
      </c>
      <c r="AN5" s="59">
        <f ca="1">AVERAGE(OFFSET($AM$3,0,0,'Données projet'!$E$10+1,1))-AVERAGE(OFFSET($H$3,0,0,'Données projet'!$E$10+1,1))</f>
        <v>225.28075317732998</v>
      </c>
      <c r="AO5" s="59">
        <f t="shared" ref="AO5:AO68" si="36">$AO$3</f>
        <v>358.43407531256207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1.6437518295172255</v>
      </c>
      <c r="BE5" s="13">
        <f>BD5*VLOOKUP('Données projet'!$B$11,Paramètres!$A$1:$I$89,3,0)*VLOOKUP('Données projet'!$B$11,Paramètres!$A$1:$I$89,5,0)</f>
        <v>0.91885727270012907</v>
      </c>
      <c r="BF5" s="13">
        <f t="shared" ref="BF5:BF68" si="37">EXP(-1.0587+0.8836*LN(BE5)+0.284)</f>
        <v>0.4276397314244611</v>
      </c>
      <c r="BG5" s="20">
        <f t="shared" si="7"/>
        <v>2.3451489488503281</v>
      </c>
      <c r="BH5" s="59">
        <f t="shared" si="8"/>
        <v>295.67848228218367</v>
      </c>
      <c r="BI5" s="59">
        <f ca="1">AVERAGE(OFFSET($BH$3,0,0,'Données projet'!$E$11+1,1))-AVERAGE(OFFSET($H$3,0,0,'Données projet'!$E$11+1,1))</f>
        <v>326.31232746914907</v>
      </c>
      <c r="BJ5" s="59">
        <f t="shared" ref="BJ5:BJ68" si="38">$BJ$3</f>
        <v>330.17137761430297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</v>
      </c>
      <c r="BY5" s="12">
        <f>IF('Données projet'!$A$114&gt;35,BY4+BX5-CG4,IF(A5&lt;'Données projet'!$A$114,$BV$205^A5,IF(A5='Données projet'!$A$114,'Données projet'!$B$114,BY4+BX5-CG4)))</f>
        <v>2.0476725110792193</v>
      </c>
      <c r="BZ5" s="13">
        <f>BY5*VLOOKUP('Données projet'!$B$12,Paramètres!$A$1:$I$89,3,0)*VLOOKUP('Données projet'!$B$12,Paramètres!$A$1:$I$89,5,0)</f>
        <v>1.1180291910492537</v>
      </c>
      <c r="CA5" s="13">
        <f t="shared" ref="CA5:CA68" si="39">EXP(-1.0587+0.8836*LN(BZ5)+0.284)</f>
        <v>0.50858700810998547</v>
      </c>
      <c r="CB5" s="20">
        <f t="shared" si="10"/>
        <v>2.8330232135356752</v>
      </c>
      <c r="CC5" s="59">
        <f t="shared" si="11"/>
        <v>296.166356546869</v>
      </c>
      <c r="CD5" s="59">
        <f ca="1">AVERAGE(OFFSET($CC$3,0,0,'Données projet'!$E$12+1,1))-AVERAGE(OFFSET($H$3,0,0,'Données projet'!$E$12+1,1))</f>
        <v>210.04871822652808</v>
      </c>
      <c r="CE5" s="59">
        <f t="shared" ref="CE5:CE68" si="40">$CE$3</f>
        <v>250.17540614049324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4.75</v>
      </c>
      <c r="CT5" s="12">
        <f>IF('Données projet'!$A$140&gt;35,CT4+CS5-DB4,IF(A5&lt;'Données projet'!$A$140,$CQ$205^A5,IF(A5='Données projet'!$A$140,'Données projet'!$B$140,CT4+CS5-DB4)))</f>
        <v>1.576784566835971</v>
      </c>
      <c r="CU5" s="17">
        <f>CT5*VLOOKUP('Données projet'!$B$13,Paramètres!$A$1:$I$89,3,0)*VLOOKUP('Données projet'!$B$13,Paramètres!$A$1:$I$89,5,0)</f>
        <v>1.2544898013746986</v>
      </c>
      <c r="CV5" s="13">
        <f t="shared" ref="CV5:CV68" si="41">EXP(-1.0587+0.8836*LN(CU5)+0.284)</f>
        <v>0.56306382382627529</v>
      </c>
      <c r="CW5" s="20">
        <f t="shared" si="13"/>
        <v>3.1655725638916965</v>
      </c>
      <c r="CX5" s="59">
        <f t="shared" si="14"/>
        <v>296.49890589722503</v>
      </c>
      <c r="CY5" s="59">
        <f ca="1">AVERAGE(OFFSET($CX$3,0,0,'Données projet'!$E$13+1,1))-AVERAGE(OFFSET($H$3,0,0,'Données projet'!$E$13+1,1))</f>
        <v>199.58763537752952</v>
      </c>
      <c r="CZ5" s="59">
        <f t="shared" ref="CZ5:CZ68" si="42">$CZ$3</f>
        <v>242.62852778451929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4.55</v>
      </c>
      <c r="DO5" s="12">
        <f>IF('Données projet'!$A$166&gt;35,DO4+DN5-DW4,IF(A5&lt;'Données projet'!$A$166,$DL$205^A5,IF(A5='Données projet'!$A$166,'Données projet'!$B$166,DO4+DN5-DW4)))</f>
        <v>1.570016220211393</v>
      </c>
      <c r="DP5" s="17">
        <f>DO5*VLOOKUP('Données projet'!$B$14,Paramètres!$A$1:$I$89,3,0)*VLOOKUP('Données projet'!$B$14,Paramètres!$A$1:$I$89,5,0)</f>
        <v>0.9388696996864131</v>
      </c>
      <c r="DQ5" s="13">
        <f t="shared" ref="DQ5:DQ68" si="43">EXP(-1.0587+0.8836*LN(DP5)+0.284)</f>
        <v>0.43585911075604999</v>
      </c>
      <c r="DR5" s="20">
        <f t="shared" si="16"/>
        <v>2.3943193448539568</v>
      </c>
      <c r="DS5" s="59">
        <f t="shared" si="17"/>
        <v>295.72765267818727</v>
      </c>
      <c r="DT5" s="59">
        <f ca="1">AVERAGE(OFFSET($DS$3,0,0,'Données projet'!$E$14+1,1))-AVERAGE(OFFSET($H$3,0,0,'Données projet'!$E$14+1,1))</f>
        <v>216.94426559495264</v>
      </c>
      <c r="DU5" s="59">
        <f t="shared" ref="DU5:DU68" si="44">$DU$3</f>
        <v>225.33715877618704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4.8</v>
      </c>
      <c r="EJ5" s="12">
        <f>IF('Données projet'!$A$192&gt;35,EJ4+EI5-ER4,IF(A5&lt;'Données projet'!$A$192,$EG$205^A5,IF(A5='Données projet'!$A$192,'Données projet'!$B$192,EJ4+EI5-ER4)))</f>
        <v>1.5784365299976539</v>
      </c>
      <c r="EK5" s="17">
        <f>EJ5*VLOOKUP('Données projet'!$B$15,Paramètres!$A$1:$I$89,3,0)*VLOOKUP('Données projet'!$B$15,Paramètres!$A$1:$I$89,5,0)</f>
        <v>0.75922797092887162</v>
      </c>
      <c r="EL5" s="13">
        <f t="shared" ref="EL5:EL68" si="45">EXP(-1.0587+0.8836*LN(EK5)+0.284)</f>
        <v>0.3612841762676729</v>
      </c>
      <c r="EM5" s="20">
        <f t="shared" si="19"/>
        <v>1.9515586563673146</v>
      </c>
      <c r="EN5" s="59">
        <f t="shared" si="20"/>
        <v>295.28489198970061</v>
      </c>
      <c r="EO5" s="59">
        <f ca="1">AVERAGE(OFFSET($EN$3,0,0,'Données projet'!$E$15+1,1))-AVERAGE(OFFSET($H$3,0,0,'Données projet'!$E$15+1,1))</f>
        <v>292.1792787220852</v>
      </c>
      <c r="EP5" s="59">
        <f t="shared" ref="EP5:EP68" si="46">$EP$3</f>
        <v>273.69206144662144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295.8778838402435</v>
      </c>
      <c r="S6" s="59">
        <f ca="1">AVERAGE(OFFSET($R$3,0,0,'Données projet'!$E$9+1,1))-AVERAGE(OFFSET($H$3,0,0,'Données projet'!$E$9+1,1))</f>
        <v>215.23235148064941</v>
      </c>
      <c r="T6" s="59">
        <f t="shared" si="34"/>
        <v>184.07239726900434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8.4</v>
      </c>
      <c r="AI6" s="13">
        <f>IF('Données projet'!$A$62&gt;35,AI5+AH6-AQ5,IF(A6&lt;'Données projet'!$A$62,$AF$205^A6,IF(A6='Données projet'!$A$62,'Données projet'!$B$62,AI5+AH6-AQ5)))</f>
        <v>9.4178024044149353</v>
      </c>
      <c r="AJ6" s="13">
        <f>AI6*VLOOKUP('Données projet'!$B$10,Paramètres!$A$1:$I$89,3,0)*VLOOKUP('Données projet'!$B$10,Paramètres!$A$1:$I$89,5,0)</f>
        <v>8.5212276155146327</v>
      </c>
      <c r="AK6" s="13">
        <f t="shared" si="35"/>
        <v>3.0601574970852115</v>
      </c>
      <c r="AL6" s="20">
        <f t="shared" si="4"/>
        <v>20.170912404444724</v>
      </c>
      <c r="AM6" s="59">
        <f t="shared" si="5"/>
        <v>313.50424573777804</v>
      </c>
      <c r="AN6" s="59">
        <f ca="1">AVERAGE(OFFSET($AM$3,0,0,'Données projet'!$E$10+1,1))-AVERAGE(OFFSET($H$3,0,0,'Données projet'!$E$10+1,1))</f>
        <v>225.28075317732998</v>
      </c>
      <c r="AO6" s="59">
        <f t="shared" si="36"/>
        <v>358.43407531256207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2.1074358993444706</v>
      </c>
      <c r="BE6" s="13">
        <f>BD6*VLOOKUP('Données projet'!$B$11,Paramètres!$A$1:$I$89,3,0)*VLOOKUP('Données projet'!$B$11,Paramètres!$A$1:$I$89,5,0)</f>
        <v>1.1780566677335591</v>
      </c>
      <c r="BF6" s="13">
        <f t="shared" si="37"/>
        <v>0.532640889430954</v>
      </c>
      <c r="BG6" s="20">
        <f t="shared" si="7"/>
        <v>2.9794649120615269</v>
      </c>
      <c r="BH6" s="59">
        <f t="shared" si="8"/>
        <v>296.31279824539484</v>
      </c>
      <c r="BI6" s="59">
        <f ca="1">AVERAGE(OFFSET($BH$3,0,0,'Données projet'!$E$11+1,1))-AVERAGE(OFFSET($H$3,0,0,'Données projet'!$E$11+1,1))</f>
        <v>326.31232746914907</v>
      </c>
      <c r="BJ6" s="59">
        <f t="shared" si="38"/>
        <v>330.17137761430297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</v>
      </c>
      <c r="BY6" s="12">
        <f>IF('Données projet'!$A$114&gt;35,BY5+BX6-CG5,IF(A6&lt;'Données projet'!$A$114,$BV$205^A6,IF(A6='Données projet'!$A$114,'Données projet'!$B$114,BY5+BX6-CG5)))</f>
        <v>2.9301560515835217</v>
      </c>
      <c r="BZ6" s="13">
        <f>BY6*VLOOKUP('Données projet'!$B$12,Paramètres!$A$1:$I$89,3,0)*VLOOKUP('Données projet'!$B$12,Paramètres!$A$1:$I$89,5,0)</f>
        <v>1.5998652041646029</v>
      </c>
      <c r="CA6" s="13">
        <f t="shared" si="39"/>
        <v>0.6980397444734262</v>
      </c>
      <c r="CB6" s="20">
        <f t="shared" si="10"/>
        <v>4.0021844522112344</v>
      </c>
      <c r="CC6" s="59">
        <f t="shared" si="11"/>
        <v>297.33551778554454</v>
      </c>
      <c r="CD6" s="59">
        <f ca="1">AVERAGE(OFFSET($CC$3,0,0,'Données projet'!$E$12+1,1))-AVERAGE(OFFSET($H$3,0,0,'Données projet'!$E$12+1,1))</f>
        <v>210.04871822652808</v>
      </c>
      <c r="CE6" s="59">
        <f t="shared" si="40"/>
        <v>250.17540614049324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4.75</v>
      </c>
      <c r="CT6" s="12">
        <f>IF('Données projet'!$A$140&gt;35,CT5+CS6-DB5,IF(A6&lt;'Données projet'!$A$140,$CQ$205^A6,IF(A6='Données projet'!$A$140,'Données projet'!$B$140,CT5+CS6-DB5)))</f>
        <v>1.9799696845186814</v>
      </c>
      <c r="CU6" s="17">
        <f>CT6*VLOOKUP('Données projet'!$B$13,Paramètres!$A$1:$I$89,3,0)*VLOOKUP('Données projet'!$B$13,Paramètres!$A$1:$I$89,5,0)</f>
        <v>1.575263881003063</v>
      </c>
      <c r="CV6" s="13">
        <f t="shared" si="41"/>
        <v>0.68854678408274117</v>
      </c>
      <c r="CW6" s="20">
        <f t="shared" si="13"/>
        <v>3.9428035750244419</v>
      </c>
      <c r="CX6" s="59">
        <f t="shared" si="14"/>
        <v>297.27613690835778</v>
      </c>
      <c r="CY6" s="59">
        <f ca="1">AVERAGE(OFFSET($CX$3,0,0,'Données projet'!$E$13+1,1))-AVERAGE(OFFSET($H$3,0,0,'Données projet'!$E$13+1,1))</f>
        <v>199.58763537752952</v>
      </c>
      <c r="CZ6" s="59">
        <f t="shared" si="42"/>
        <v>242.62852778451929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4.55</v>
      </c>
      <c r="DO6" s="12">
        <f>IF('Données projet'!$A$166&gt;35,DO5+DN6-DW5,IF(A6&lt;'Données projet'!$A$166,$DL$205^A6,IF(A6='Données projet'!$A$166,'Données projet'!$B$166,DO5+DN6-DW5)))</f>
        <v>1.9672348474029151</v>
      </c>
      <c r="DP6" s="17">
        <f>DO6*VLOOKUP('Données projet'!$B$14,Paramètres!$A$1:$I$89,3,0)*VLOOKUP('Données projet'!$B$14,Paramètres!$A$1:$I$89,5,0)</f>
        <v>1.1764064387469433</v>
      </c>
      <c r="DQ6" s="13">
        <f t="shared" si="43"/>
        <v>0.53198155817597481</v>
      </c>
      <c r="DR6" s="20">
        <f t="shared" si="16"/>
        <v>2.9754424279740825</v>
      </c>
      <c r="DS6" s="59">
        <f t="shared" si="17"/>
        <v>296.3087757613074</v>
      </c>
      <c r="DT6" s="59">
        <f ca="1">AVERAGE(OFFSET($DS$3,0,0,'Données projet'!$E$14+1,1))-AVERAGE(OFFSET($H$3,0,0,'Données projet'!$E$14+1,1))</f>
        <v>216.94426559495264</v>
      </c>
      <c r="DU6" s="59">
        <f t="shared" si="44"/>
        <v>225.33715877618704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4.8</v>
      </c>
      <c r="EJ6" s="12">
        <f>IF('Données projet'!$A$192&gt;35,EJ5+EI6-ER5,IF(A6&lt;'Données projet'!$A$192,$EG$205^A6,IF(A6='Données projet'!$A$192,'Données projet'!$B$192,EJ5+EI6-ER5)))</f>
        <v>1.9830820566166365</v>
      </c>
      <c r="EK6" s="17">
        <f>EJ6*VLOOKUP('Données projet'!$B$15,Paramètres!$A$1:$I$89,3,0)*VLOOKUP('Données projet'!$B$15,Paramètres!$A$1:$I$89,5,0)</f>
        <v>0.95386246923260221</v>
      </c>
      <c r="EL6" s="13">
        <f t="shared" si="45"/>
        <v>0.44200347482248059</v>
      </c>
      <c r="EM6" s="20">
        <f t="shared" si="19"/>
        <v>2.4311331858959355</v>
      </c>
      <c r="EN6" s="59">
        <f t="shared" si="20"/>
        <v>295.76446651922925</v>
      </c>
      <c r="EO6" s="59">
        <f ca="1">AVERAGE(OFFSET($EN$3,0,0,'Données projet'!$E$15+1,1))-AVERAGE(OFFSET($H$3,0,0,'Données projet'!$E$15+1,1))</f>
        <v>292.1792787220852</v>
      </c>
      <c r="EP6" s="59">
        <f t="shared" si="46"/>
        <v>273.69206144662144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296.58082314457886</v>
      </c>
      <c r="S7" s="59">
        <f ca="1">AVERAGE(OFFSET($R$3,0,0,'Données projet'!$E$9+1,1))-AVERAGE(OFFSET($H$3,0,0,'Données projet'!$E$9+1,1))</f>
        <v>215.23235148064941</v>
      </c>
      <c r="T7" s="59">
        <f t="shared" si="34"/>
        <v>184.07239726900434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8.4</v>
      </c>
      <c r="AI7" s="13">
        <f>IF('Données projet'!$A$62&gt;35,AI6+AH7-AQ6,IF(A7&lt;'Données projet'!$A$62,$AF$205^A7,IF(A7='Données projet'!$A$62,'Données projet'!$B$62,AI6+AH7-AQ6)))</f>
        <v>19.888381054913129</v>
      </c>
      <c r="AJ7" s="13">
        <f>AI7*VLOOKUP('Données projet'!$B$10,Paramètres!$A$1:$I$89,3,0)*VLOOKUP('Données projet'!$B$10,Paramètres!$A$1:$I$89,5,0)</f>
        <v>17.995007178485398</v>
      </c>
      <c r="AK7" s="13">
        <f t="shared" si="35"/>
        <v>5.9238546434872283</v>
      </c>
      <c r="AL7" s="20">
        <f t="shared" si="4"/>
        <v>41.658684339935661</v>
      </c>
      <c r="AM7" s="59">
        <f t="shared" si="5"/>
        <v>334.99201767326895</v>
      </c>
      <c r="AN7" s="59">
        <f ca="1">AVERAGE(OFFSET($AM$3,0,0,'Données projet'!$E$10+1,1))-AVERAGE(OFFSET($H$3,0,0,'Données projet'!$E$10+1,1))</f>
        <v>225.28075317732998</v>
      </c>
      <c r="AO7" s="59">
        <f t="shared" si="36"/>
        <v>358.43407531256207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2.7019200770412262</v>
      </c>
      <c r="BE7" s="13">
        <f>BD7*VLOOKUP('Données projet'!$B$11,Paramètres!$A$1:$I$89,3,0)*VLOOKUP('Données projet'!$B$11,Paramètres!$A$1:$I$89,5,0)</f>
        <v>1.5103733230660454</v>
      </c>
      <c r="BF7" s="13">
        <f t="shared" si="37"/>
        <v>0.66342366306511447</v>
      </c>
      <c r="BG7" s="20">
        <f t="shared" si="7"/>
        <v>3.786029750845104</v>
      </c>
      <c r="BH7" s="59">
        <f t="shared" si="8"/>
        <v>297.11936308417842</v>
      </c>
      <c r="BI7" s="59">
        <f ca="1">AVERAGE(OFFSET($BH$3,0,0,'Données projet'!$E$11+1,1))-AVERAGE(OFFSET($H$3,0,0,'Données projet'!$E$11+1,1))</f>
        <v>326.31232746914907</v>
      </c>
      <c r="BJ7" s="59">
        <f t="shared" si="38"/>
        <v>330.17137761430297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</v>
      </c>
      <c r="BY7" s="12">
        <f>IF('Données projet'!$A$114&gt;35,BY6+BX7-CG6,IF(A7&lt;'Données projet'!$A$114,$BV$205^A7,IF(A7='Données projet'!$A$114,'Données projet'!$B$114,BY6+BX7-CG6)))</f>
        <v>4.192962712629476</v>
      </c>
      <c r="BZ7" s="13">
        <f>BY7*VLOOKUP('Données projet'!$B$12,Paramètres!$A$1:$I$89,3,0)*VLOOKUP('Données projet'!$B$12,Paramètres!$A$1:$I$89,5,0)</f>
        <v>2.2893576410956937</v>
      </c>
      <c r="CA7" s="13">
        <f t="shared" si="39"/>
        <v>0.95806514341623272</v>
      </c>
      <c r="CB7" s="20">
        <f t="shared" si="10"/>
        <v>5.6559280163582706</v>
      </c>
      <c r="CC7" s="59">
        <f t="shared" si="11"/>
        <v>298.98926134969156</v>
      </c>
      <c r="CD7" s="59">
        <f ca="1">AVERAGE(OFFSET($CC$3,0,0,'Données projet'!$E$12+1,1))-AVERAGE(OFFSET($H$3,0,0,'Données projet'!$E$12+1,1))</f>
        <v>210.04871822652808</v>
      </c>
      <c r="CE7" s="59">
        <f t="shared" si="40"/>
        <v>250.17540614049324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4.75</v>
      </c>
      <c r="CT7" s="12">
        <f>IF('Données projet'!$A$140&gt;35,CT6+CS7-DB6,IF(A7&lt;'Données projet'!$A$140,$CQ$205^A7,IF(A7='Données projet'!$A$140,'Données projet'!$B$140,CT6+CS7-DB6)))</f>
        <v>2.4862495702121006</v>
      </c>
      <c r="CU7" s="17">
        <f>CT7*VLOOKUP('Données projet'!$B$13,Paramètres!$A$1:$I$89,3,0)*VLOOKUP('Données projet'!$B$13,Paramètres!$A$1:$I$89,5,0)</f>
        <v>1.9780601580607473</v>
      </c>
      <c r="CV7" s="13">
        <f t="shared" si="41"/>
        <v>0.84199455516247157</v>
      </c>
      <c r="CW7" s="20">
        <f t="shared" si="13"/>
        <v>4.9115952921971058</v>
      </c>
      <c r="CX7" s="59">
        <f t="shared" si="14"/>
        <v>298.24492862553041</v>
      </c>
      <c r="CY7" s="59">
        <f ca="1">AVERAGE(OFFSET($CX$3,0,0,'Données projet'!$E$13+1,1))-AVERAGE(OFFSET($H$3,0,0,'Données projet'!$E$13+1,1))</f>
        <v>199.58763537752952</v>
      </c>
      <c r="CZ7" s="59">
        <f t="shared" si="42"/>
        <v>242.62852778451929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4.55</v>
      </c>
      <c r="DO7" s="12">
        <f>IF('Données projet'!$A$166&gt;35,DO6+DN7-DW6,IF(A7&lt;'Données projet'!$A$166,$DL$205^A7,IF(A7='Données projet'!$A$166,'Données projet'!$B$166,DO6+DN7-DW6)))</f>
        <v>2.4649509317268694</v>
      </c>
      <c r="DP7" s="17">
        <f>DO7*VLOOKUP('Données projet'!$B$14,Paramètres!$A$1:$I$89,3,0)*VLOOKUP('Données projet'!$B$14,Paramètres!$A$1:$I$89,5,0)</f>
        <v>1.4740406571726681</v>
      </c>
      <c r="DQ7" s="13">
        <f t="shared" si="43"/>
        <v>0.64930242653052039</v>
      </c>
      <c r="DR7" s="20">
        <f t="shared" si="16"/>
        <v>3.6981558707830531</v>
      </c>
      <c r="DS7" s="59">
        <f t="shared" si="17"/>
        <v>297.03148920411638</v>
      </c>
      <c r="DT7" s="59">
        <f ca="1">AVERAGE(OFFSET($DS$3,0,0,'Données projet'!$E$14+1,1))-AVERAGE(OFFSET($H$3,0,0,'Données projet'!$E$14+1,1))</f>
        <v>216.94426559495264</v>
      </c>
      <c r="DU7" s="59">
        <f t="shared" si="44"/>
        <v>225.33715877618704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4.8</v>
      </c>
      <c r="EJ7" s="12">
        <f>IF('Données projet'!$A$192&gt;35,EJ6+EI7-ER6,IF(A7&lt;'Données projet'!$A$192,$EG$205^A7,IF(A7='Données projet'!$A$192,'Données projet'!$B$192,EJ6+EI7-ER6)))</f>
        <v>2.4914618792310348</v>
      </c>
      <c r="EK7" s="17">
        <f>EJ7*VLOOKUP('Données projet'!$B$15,Paramètres!$A$1:$I$89,3,0)*VLOOKUP('Données projet'!$B$15,Paramètres!$A$1:$I$89,5,0)</f>
        <v>1.1983931639101277</v>
      </c>
      <c r="EL7" s="13">
        <f t="shared" si="45"/>
        <v>0.54075734446338186</v>
      </c>
      <c r="EM7" s="20">
        <f t="shared" si="19"/>
        <v>3.0290204687505287</v>
      </c>
      <c r="EN7" s="59">
        <f t="shared" si="20"/>
        <v>296.36235380208382</v>
      </c>
      <c r="EO7" s="59">
        <f ca="1">AVERAGE(OFFSET($EN$3,0,0,'Données projet'!$E$15+1,1))-AVERAGE(OFFSET($H$3,0,0,'Données projet'!$E$15+1,1))</f>
        <v>292.1792787220852</v>
      </c>
      <c r="EP7" s="59">
        <f t="shared" si="46"/>
        <v>273.69206144662144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297.47871993550461</v>
      </c>
      <c r="S8" s="59">
        <f ca="1">AVERAGE(OFFSET($R$3,0,0,'Données projet'!$E$9+1,1))-AVERAGE(OFFSET($H$3,0,0,'Données projet'!$E$9+1,1))</f>
        <v>215.23235148064941</v>
      </c>
      <c r="T8" s="59">
        <f t="shared" si="34"/>
        <v>184.07239726900434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>
        <f>VLOOKUP(A8,'Données projet'!$A$61:$I$81,2,0)</f>
        <v>42</v>
      </c>
      <c r="AG8" s="12">
        <f>VLOOKUP(A8,'Données projet'!$A$61:$I$81,9,0)</f>
        <v>8.4</v>
      </c>
      <c r="AH8" s="12">
        <f t="array" ref="AH8">INDEX(AG:AG,MIN(IF(ISNUMBER(AG8:AG204),ROW(AG8:AG204),"")))</f>
        <v>8.4</v>
      </c>
      <c r="AI8" s="13">
        <f>IF('Données projet'!$A$62&gt;35,AI7+AH8-AQ7,IF(A8&lt;'Données projet'!$A$62,$AF$205^A8,IF(A8='Données projet'!$A$62,'Données projet'!$B$62,AI7+AH8-AQ7)))</f>
        <v>42</v>
      </c>
      <c r="AJ8" s="13">
        <f>AI8*VLOOKUP('Données projet'!$B$10,Paramètres!$A$1:$I$89,3,0)*VLOOKUP('Données projet'!$B$10,Paramètres!$A$1:$I$89,5,0)</f>
        <v>38.001600000000003</v>
      </c>
      <c r="AK8" s="13">
        <f t="shared" si="35"/>
        <v>11.467401227090512</v>
      </c>
      <c r="AL8" s="20">
        <f t="shared" si="4"/>
        <v>86.158510470515978</v>
      </c>
      <c r="AM8" s="59">
        <f t="shared" si="5"/>
        <v>379.49184380384929</v>
      </c>
      <c r="AN8" s="59">
        <f ca="1">AVERAGE(OFFSET($AM$3,0,0,'Données projet'!$E$10+1,1))-AVERAGE(OFFSET($H$3,0,0,'Données projet'!$E$10+1,1))</f>
        <v>225.28075317732998</v>
      </c>
      <c r="AO8" s="59">
        <f t="shared" si="36"/>
        <v>358.43407531256207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13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7.4999999999999997E-2</v>
      </c>
      <c r="AT8" s="16">
        <f>IF(ISNA(VLOOKUP(A8,'Données projet'!$A$61:$I$81,7,0)),0%,VLOOKUP(A8,'Données projet'!$A$61:$I$81,7,0))</f>
        <v>0.25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0.97138403149243302</v>
      </c>
      <c r="AW8" s="21">
        <f>EXP(-LN(2)/2)*AW7+(1-EXP(-LN(2)/2))/(LN(2)/2)*AQ8*AT8*VLOOKUP('Données projet'!$B$10,Paramètres!$A$1:$I$89,3,0)*0.475*44/12</f>
        <v>2.7745352450886043</v>
      </c>
      <c r="AX8" s="21">
        <f t="shared" si="6"/>
        <v>3.7459192765810374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3.4641016151377535</v>
      </c>
      <c r="BE8" s="13">
        <f>BD8*VLOOKUP('Données projet'!$B$11,Paramètres!$A$1:$I$89,3,0)*VLOOKUP('Données projet'!$B$11,Paramètres!$A$1:$I$89,5,0)</f>
        <v>1.9364328028620041</v>
      </c>
      <c r="BF8" s="13">
        <f t="shared" si="37"/>
        <v>0.82631837969658639</v>
      </c>
      <c r="BG8" s="20">
        <f t="shared" si="7"/>
        <v>4.8117916429562113</v>
      </c>
      <c r="BH8" s="59">
        <f t="shared" si="8"/>
        <v>298.14512497628954</v>
      </c>
      <c r="BI8" s="59">
        <f ca="1">AVERAGE(OFFSET($BH$3,0,0,'Données projet'!$E$11+1,1))-AVERAGE(OFFSET($H$3,0,0,'Données projet'!$E$11+1,1))</f>
        <v>326.31232746914907</v>
      </c>
      <c r="BJ8" s="59">
        <f t="shared" si="38"/>
        <v>330.17137761430297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</v>
      </c>
      <c r="BY8" s="12">
        <f>IF('Données projet'!$A$114&gt;35,BY7+BX8-CG7,IF(A8&lt;'Données projet'!$A$114,$BV$205^A8,IF(A8='Données projet'!$A$114,'Données projet'!$B$114,BY7+BX8-CG7)))</f>
        <v>6.0000000000000009</v>
      </c>
      <c r="BZ8" s="13">
        <f>BY8*VLOOKUP('Données projet'!$B$12,Paramètres!$A$1:$I$89,3,0)*VLOOKUP('Données projet'!$B$12,Paramètres!$A$1:$I$89,5,0)</f>
        <v>3.2760000000000007</v>
      </c>
      <c r="CA8" s="13">
        <f t="shared" si="39"/>
        <v>1.3149520873221716</v>
      </c>
      <c r="CB8" s="20">
        <f t="shared" si="10"/>
        <v>7.9959082187527839</v>
      </c>
      <c r="CC8" s="59">
        <f t="shared" si="11"/>
        <v>301.3292415520861</v>
      </c>
      <c r="CD8" s="59">
        <f ca="1">AVERAGE(OFFSET($CC$3,0,0,'Données projet'!$E$12+1,1))-AVERAGE(OFFSET($H$3,0,0,'Données projet'!$E$12+1,1))</f>
        <v>210.04871822652808</v>
      </c>
      <c r="CE8" s="59">
        <f t="shared" si="40"/>
        <v>250.17540614049324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4.75</v>
      </c>
      <c r="CT8" s="12">
        <f>IF('Données projet'!$A$140&gt;35,CT7+CS8-DB7,IF(A8&lt;'Données projet'!$A$140,$CQ$205^A8,IF(A8='Données projet'!$A$140,'Données projet'!$B$140,CT7+CS8-DB7)))</f>
        <v>3.121985641352143</v>
      </c>
      <c r="CU8" s="17">
        <f>CT8*VLOOKUP('Données projet'!$B$13,Paramètres!$A$1:$I$89,3,0)*VLOOKUP('Données projet'!$B$13,Paramètres!$A$1:$I$89,5,0)</f>
        <v>2.4838517762597654</v>
      </c>
      <c r="CV8" s="13">
        <f t="shared" si="41"/>
        <v>1.0296393031124158</v>
      </c>
      <c r="CW8" s="20">
        <f t="shared" si="13"/>
        <v>6.1193302965732146</v>
      </c>
      <c r="CX8" s="59">
        <f t="shared" si="14"/>
        <v>299.45266362990651</v>
      </c>
      <c r="CY8" s="59">
        <f ca="1">AVERAGE(OFFSET($CX$3,0,0,'Données projet'!$E$13+1,1))-AVERAGE(OFFSET($H$3,0,0,'Données projet'!$E$13+1,1))</f>
        <v>199.58763537752952</v>
      </c>
      <c r="CZ8" s="59">
        <f t="shared" si="42"/>
        <v>242.62852778451929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4.55</v>
      </c>
      <c r="DO8" s="12">
        <f>IF('Données projet'!$A$166&gt;35,DO7+DN8-DW7,IF(A8&lt;'Données projet'!$A$166,$DL$205^A8,IF(A8='Données projet'!$A$166,'Données projet'!$B$166,DO7+DN8-DW7)))</f>
        <v>3.0885906193876616</v>
      </c>
      <c r="DP8" s="17">
        <f>DO8*VLOOKUP('Données projet'!$B$14,Paramètres!$A$1:$I$89,3,0)*VLOOKUP('Données projet'!$B$14,Paramètres!$A$1:$I$89,5,0)</f>
        <v>1.8469771903938217</v>
      </c>
      <c r="DQ8" s="13">
        <f t="shared" si="43"/>
        <v>0.79249672214945899</v>
      </c>
      <c r="DR8" s="20">
        <f t="shared" si="16"/>
        <v>4.59708373101288</v>
      </c>
      <c r="DS8" s="59">
        <f t="shared" si="17"/>
        <v>297.93041706434622</v>
      </c>
      <c r="DT8" s="59">
        <f ca="1">AVERAGE(OFFSET($DS$3,0,0,'Données projet'!$E$14+1,1))-AVERAGE(OFFSET($H$3,0,0,'Données projet'!$E$14+1,1))</f>
        <v>216.94426559495264</v>
      </c>
      <c r="DU8" s="59">
        <f t="shared" si="44"/>
        <v>225.33715877618704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4.8</v>
      </c>
      <c r="EJ8" s="12">
        <f>IF('Données projet'!$A$192&gt;35,EJ7+EI8-ER7,IF(A8&lt;'Données projet'!$A$192,$EG$205^A8,IF(A8='Données projet'!$A$192,'Données projet'!$B$192,EJ7+EI8-ER7)))</f>
        <v>3.1301691601465751</v>
      </c>
      <c r="EK8" s="17">
        <f>EJ8*VLOOKUP('Données projet'!$B$15,Paramètres!$A$1:$I$89,3,0)*VLOOKUP('Données projet'!$B$15,Paramètres!$A$1:$I$89,5,0)</f>
        <v>1.5056113660305028</v>
      </c>
      <c r="EL8" s="13">
        <f t="shared" si="45"/>
        <v>0.66157512835963828</v>
      </c>
      <c r="EM8" s="20">
        <f t="shared" si="19"/>
        <v>3.7745164777294953</v>
      </c>
      <c r="EN8" s="59">
        <f t="shared" si="20"/>
        <v>297.10784981106281</v>
      </c>
      <c r="EO8" s="59">
        <f ca="1">AVERAGE(OFFSET($EN$3,0,0,'Données projet'!$E$15+1,1))-AVERAGE(OFFSET($H$3,0,0,'Données projet'!$E$15+1,1))</f>
        <v>292.1792787220852</v>
      </c>
      <c r="EP8" s="59">
        <f t="shared" si="46"/>
        <v>273.69206144662144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298.62584576955311</v>
      </c>
      <c r="S9" s="59">
        <f ca="1">AVERAGE(OFFSET($R$3,0,0,'Données projet'!$E$9+1,1))-AVERAGE(OFFSET($H$3,0,0,'Données projet'!$E$9+1,1))</f>
        <v>215.23235148064941</v>
      </c>
      <c r="T9" s="59">
        <f t="shared" si="34"/>
        <v>184.07239726900434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16.600000000000001</v>
      </c>
      <c r="AI9" s="13">
        <f>IF('Données projet'!$A$62&gt;35,AI8+AH9-AQ8,IF(A9&lt;'Données projet'!$A$62,$AF$205^A9,IF(A9='Données projet'!$A$62,'Données projet'!$B$62,AI8+AH9-AQ8)))</f>
        <v>45.6</v>
      </c>
      <c r="AJ9" s="13">
        <f>AI9*VLOOKUP('Données projet'!$B$10,Paramètres!$A$1:$I$89,3,0)*VLOOKUP('Données projet'!$B$10,Paramètres!$A$1:$I$89,5,0)</f>
        <v>41.258880000000005</v>
      </c>
      <c r="AK9" s="13">
        <f t="shared" si="35"/>
        <v>12.331709063679407</v>
      </c>
      <c r="AL9" s="20">
        <f t="shared" si="4"/>
        <v>93.33694261924164</v>
      </c>
      <c r="AM9" s="59">
        <f t="shared" si="5"/>
        <v>386.67027595257497</v>
      </c>
      <c r="AN9" s="59">
        <f ca="1">AVERAGE(OFFSET($AM$3,0,0,'Données projet'!$E$10+1,1))-AVERAGE(OFFSET($H$3,0,0,'Données projet'!$E$10+1,1))</f>
        <v>225.28075317732998</v>
      </c>
      <c r="AO9" s="59">
        <f t="shared" si="36"/>
        <v>358.43407531256207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0.94482148406840638</v>
      </c>
      <c r="AW9" s="21">
        <f>EXP(-LN(2)/2)*AW8+(1-EXP(-LN(2)/2))/(LN(2)/2)*AQ9*AT9*VLOOKUP('Données projet'!$B$10,Paramètres!$A$1:$I$89,3,0)*0.475*44/12</f>
        <v>1.9618926864432318</v>
      </c>
      <c r="AX9" s="21">
        <f t="shared" si="6"/>
        <v>2.9067141705116382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4.4412860698458383</v>
      </c>
      <c r="BE9" s="13">
        <f>BD9*VLOOKUP('Données projet'!$B$11,Paramètres!$A$1:$I$89,3,0)*VLOOKUP('Données projet'!$B$11,Paramètres!$A$1:$I$89,5,0)</f>
        <v>2.4826789130438236</v>
      </c>
      <c r="BF9" s="13">
        <f t="shared" si="37"/>
        <v>1.0292096930485513</v>
      </c>
      <c r="BG9" s="20">
        <f t="shared" si="7"/>
        <v>6.1165393222775526</v>
      </c>
      <c r="BH9" s="59">
        <f t="shared" si="8"/>
        <v>299.44987265561087</v>
      </c>
      <c r="BI9" s="59">
        <f ca="1">AVERAGE(OFFSET($BH$3,0,0,'Données projet'!$E$11+1,1))-AVERAGE(OFFSET($H$3,0,0,'Données projet'!$E$11+1,1))</f>
        <v>326.31232746914907</v>
      </c>
      <c r="BJ9" s="59">
        <f t="shared" si="38"/>
        <v>330.17137761430297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</v>
      </c>
      <c r="BY9" s="12">
        <f>IF('Données projet'!$A$114&gt;35,BY8+BX9-CG8,IF(A9&lt;'Données projet'!$A$114,$BV$205^A9,IF(A9='Données projet'!$A$114,'Données projet'!$B$114,BY8+BX9-CG8)))</f>
        <v>8.5858144866315342</v>
      </c>
      <c r="BZ9" s="13">
        <f>BY9*VLOOKUP('Données projet'!$B$12,Paramètres!$A$1:$I$89,3,0)*VLOOKUP('Données projet'!$B$12,Paramètres!$A$1:$I$89,5,0)</f>
        <v>4.6878547097008179</v>
      </c>
      <c r="CA9" s="13">
        <f t="shared" si="39"/>
        <v>1.8047822779434171</v>
      </c>
      <c r="CB9" s="20">
        <f t="shared" si="10"/>
        <v>11.308009420147043</v>
      </c>
      <c r="CC9" s="59">
        <f t="shared" si="11"/>
        <v>304.64134275348033</v>
      </c>
      <c r="CD9" s="59">
        <f ca="1">AVERAGE(OFFSET($CC$3,0,0,'Données projet'!$E$12+1,1))-AVERAGE(OFFSET($H$3,0,0,'Données projet'!$E$12+1,1))</f>
        <v>210.04871822652808</v>
      </c>
      <c r="CE9" s="59">
        <f t="shared" si="40"/>
        <v>250.17540614049324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4.75</v>
      </c>
      <c r="CT9" s="12">
        <f>IF('Données projet'!$A$140&gt;35,CT8+CS9-DB8,IF(A9&lt;'Données projet'!$A$140,$CQ$205^A9,IF(A9='Données projet'!$A$140,'Données projet'!$B$140,CT8+CS9-DB8)))</f>
        <v>3.920279951613006</v>
      </c>
      <c r="CU9" s="17">
        <f>CT9*VLOOKUP('Données projet'!$B$13,Paramètres!$A$1:$I$89,3,0)*VLOOKUP('Données projet'!$B$13,Paramètres!$A$1:$I$89,5,0)</f>
        <v>3.1189747295033077</v>
      </c>
      <c r="CV9" s="13">
        <f t="shared" si="41"/>
        <v>1.2591020785273992</v>
      </c>
      <c r="CW9" s="20">
        <f t="shared" si="13"/>
        <v>7.6251504406534805</v>
      </c>
      <c r="CX9" s="59">
        <f t="shared" si="14"/>
        <v>300.95848377398681</v>
      </c>
      <c r="CY9" s="59">
        <f ca="1">AVERAGE(OFFSET($CX$3,0,0,'Données projet'!$E$13+1,1))-AVERAGE(OFFSET($H$3,0,0,'Données projet'!$E$13+1,1))</f>
        <v>199.58763537752952</v>
      </c>
      <c r="CZ9" s="59">
        <f t="shared" si="42"/>
        <v>242.62852778451929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4.55</v>
      </c>
      <c r="DO9" s="12">
        <f>IF('Données projet'!$A$166&gt;35,DO8+DN9-DW8,IF(A9&lt;'Données projet'!$A$166,$DL$205^A9,IF(A9='Données projet'!$A$166,'Données projet'!$B$166,DO8+DN9-DW8)))</f>
        <v>3.8700129448363709</v>
      </c>
      <c r="DP9" s="17">
        <f>DO9*VLOOKUP('Données projet'!$B$14,Paramètres!$A$1:$I$89,3,0)*VLOOKUP('Données projet'!$B$14,Paramètres!$A$1:$I$89,5,0)</f>
        <v>2.3142677410121499</v>
      </c>
      <c r="DQ9" s="13">
        <f t="shared" si="43"/>
        <v>0.96727045665540168</v>
      </c>
      <c r="DR9" s="20">
        <f t="shared" si="16"/>
        <v>5.7153456942709857</v>
      </c>
      <c r="DS9" s="59">
        <f t="shared" si="17"/>
        <v>299.04867902760429</v>
      </c>
      <c r="DT9" s="59">
        <f ca="1">AVERAGE(OFFSET($DS$3,0,0,'Données projet'!$E$14+1,1))-AVERAGE(OFFSET($H$3,0,0,'Données projet'!$E$14+1,1))</f>
        <v>216.94426559495264</v>
      </c>
      <c r="DU9" s="59">
        <f t="shared" si="44"/>
        <v>225.33715877618704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4.8</v>
      </c>
      <c r="EJ9" s="12">
        <f>IF('Données projet'!$A$192&gt;35,EJ8+EI9-ER8,IF(A9&lt;'Données projet'!$A$192,$EG$205^A9,IF(A9='Données projet'!$A$192,'Données projet'!$B$192,EJ8+EI9-ER8)))</f>
        <v>3.9326144432748684</v>
      </c>
      <c r="EK9" s="17">
        <f>EJ9*VLOOKUP('Données projet'!$B$15,Paramètres!$A$1:$I$89,3,0)*VLOOKUP('Données projet'!$B$15,Paramètres!$A$1:$I$89,5,0)</f>
        <v>1.8915875472152117</v>
      </c>
      <c r="EL9" s="13">
        <f t="shared" si="45"/>
        <v>0.80938641877976369</v>
      </c>
      <c r="EM9" s="20">
        <f t="shared" si="19"/>
        <v>4.7041963241079152</v>
      </c>
      <c r="EN9" s="59">
        <f t="shared" si="20"/>
        <v>298.03752965744121</v>
      </c>
      <c r="EO9" s="59">
        <f ca="1">AVERAGE(OFFSET($EN$3,0,0,'Données projet'!$E$15+1,1))-AVERAGE(OFFSET($H$3,0,0,'Données projet'!$E$15+1,1))</f>
        <v>292.1792787220852</v>
      </c>
      <c r="EP9" s="59">
        <f t="shared" si="46"/>
        <v>273.69206144662144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300.09163240970821</v>
      </c>
      <c r="S10" s="59">
        <f ca="1">AVERAGE(OFFSET($R$3,0,0,'Données projet'!$E$9+1,1))-AVERAGE(OFFSET($H$3,0,0,'Données projet'!$E$9+1,1))</f>
        <v>215.23235148064941</v>
      </c>
      <c r="T10" s="59">
        <f t="shared" si="34"/>
        <v>184.07239726900434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16.600000000000001</v>
      </c>
      <c r="AI10" s="13">
        <f>IF('Données projet'!$A$62&gt;35,AI9+AH10-AQ9,IF(A10&lt;'Données projet'!$A$62,$AF$205^A10,IF(A10='Données projet'!$A$62,'Données projet'!$B$62,AI9+AH10-AQ9)))</f>
        <v>62.2</v>
      </c>
      <c r="AJ10" s="13">
        <f>AI10*VLOOKUP('Données projet'!$B$10,Paramètres!$A$1:$I$89,3,0)*VLOOKUP('Données projet'!$B$10,Paramètres!$A$1:$I$89,5,0)</f>
        <v>56.278560000000006</v>
      </c>
      <c r="AK10" s="13">
        <f t="shared" si="35"/>
        <v>16.223894703537749</v>
      </c>
      <c r="AL10" s="20">
        <f t="shared" si="4"/>
        <v>126.27510860866158</v>
      </c>
      <c r="AM10" s="59">
        <f t="shared" si="5"/>
        <v>419.6084419419949</v>
      </c>
      <c r="AN10" s="59">
        <f ca="1">AVERAGE(OFFSET($AM$3,0,0,'Données projet'!$E$10+1,1))-AVERAGE(OFFSET($H$3,0,0,'Données projet'!$E$10+1,1))</f>
        <v>225.28075317732998</v>
      </c>
      <c r="AO10" s="59">
        <f t="shared" si="36"/>
        <v>358.43407531256207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0.91898529090055336</v>
      </c>
      <c r="AW10" s="21">
        <f>EXP(-LN(2)/2)*AW9+(1-EXP(-LN(2)/2))/(LN(2)/2)*AQ10*AT10*VLOOKUP('Données projet'!$B$10,Paramètres!$A$1:$I$89,3,0)*0.475*44/12</f>
        <v>1.3872676225443024</v>
      </c>
      <c r="AX10" s="21">
        <f t="shared" si="6"/>
        <v>2.3062529134448555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5.6941233675162577</v>
      </c>
      <c r="BE10" s="13">
        <f>BD10*VLOOKUP('Données projet'!$B$11,Paramètres!$A$1:$I$89,3,0)*VLOOKUP('Données projet'!$B$11,Paramètres!$A$1:$I$89,5,0)</f>
        <v>3.1830149624415882</v>
      </c>
      <c r="BF10" s="13">
        <f t="shared" si="37"/>
        <v>1.2819182270325931</v>
      </c>
      <c r="BG10" s="20">
        <f t="shared" si="7"/>
        <v>7.776425305000866</v>
      </c>
      <c r="BH10" s="59">
        <f t="shared" si="8"/>
        <v>301.1097586383342</v>
      </c>
      <c r="BI10" s="59">
        <f ca="1">AVERAGE(OFFSET($BH$3,0,0,'Données projet'!$E$11+1,1))-AVERAGE(OFFSET($H$3,0,0,'Données projet'!$E$11+1,1))</f>
        <v>326.31232746914907</v>
      </c>
      <c r="BJ10" s="59">
        <f t="shared" si="38"/>
        <v>330.17137761430297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</v>
      </c>
      <c r="BY10" s="12">
        <f>IF('Données projet'!$A$114&gt;35,BY9+BX10-CG9,IF(A10&lt;'Données projet'!$A$114,$BV$205^A10,IF(A10='Données projet'!$A$114,'Données projet'!$B$114,BY9+BX10-CG9)))</f>
        <v>12.286035066475318</v>
      </c>
      <c r="BZ10" s="13">
        <f>BY10*VLOOKUP('Données projet'!$B$12,Paramètres!$A$1:$I$89,3,0)*VLOOKUP('Données projet'!$B$12,Paramètres!$A$1:$I$89,5,0)</f>
        <v>6.708175146295523</v>
      </c>
      <c r="CA10" s="13">
        <f t="shared" si="39"/>
        <v>2.4770781400954469</v>
      </c>
      <c r="CB10" s="20">
        <f t="shared" si="10"/>
        <v>15.997649473797606</v>
      </c>
      <c r="CC10" s="59">
        <f t="shared" si="11"/>
        <v>309.33098280713091</v>
      </c>
      <c r="CD10" s="59">
        <f ca="1">AVERAGE(OFFSET($CC$3,0,0,'Données projet'!$E$12+1,1))-AVERAGE(OFFSET($H$3,0,0,'Données projet'!$E$12+1,1))</f>
        <v>210.04871822652808</v>
      </c>
      <c r="CE10" s="59">
        <f t="shared" si="40"/>
        <v>250.17540614049324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4.75</v>
      </c>
      <c r="CT10" s="12">
        <f>IF('Données projet'!$A$140&gt;35,CT9+CS10-DB9,IF(A10&lt;'Données projet'!$A$140,$CQ$205^A10,IF(A10='Données projet'!$A$140,'Données projet'!$B$140,CT9+CS10-DB9)))</f>
        <v>4.9226987771675601</v>
      </c>
      <c r="CU10" s="17">
        <f>CT10*VLOOKUP('Données projet'!$B$13,Paramètres!$A$1:$I$89,3,0)*VLOOKUP('Données projet'!$B$13,Paramètres!$A$1:$I$89,5,0)</f>
        <v>3.9164991471145107</v>
      </c>
      <c r="CV10" s="13">
        <f t="shared" si="41"/>
        <v>1.5397023397997951</v>
      </c>
      <c r="CW10" s="20">
        <f t="shared" si="13"/>
        <v>9.5028842563757507</v>
      </c>
      <c r="CX10" s="59">
        <f t="shared" si="14"/>
        <v>302.83621758970907</v>
      </c>
      <c r="CY10" s="59">
        <f ca="1">AVERAGE(OFFSET($CX$3,0,0,'Données projet'!$E$13+1,1))-AVERAGE(OFFSET($H$3,0,0,'Données projet'!$E$13+1,1))</f>
        <v>199.58763537752952</v>
      </c>
      <c r="CZ10" s="59">
        <f t="shared" si="42"/>
        <v>242.62852778451929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4.55</v>
      </c>
      <c r="DO10" s="12">
        <f>IF('Données projet'!$A$166&gt;35,DO9+DN10-DW9,IF(A10&lt;'Données projet'!$A$166,$DL$205^A10,IF(A10='Données projet'!$A$166,'Données projet'!$B$166,DO9+DN10-DW9)))</f>
        <v>4.8491373700313813</v>
      </c>
      <c r="DP10" s="17">
        <f>DO10*VLOOKUP('Données projet'!$B$14,Paramètres!$A$1:$I$89,3,0)*VLOOKUP('Données projet'!$B$14,Paramètres!$A$1:$I$89,5,0)</f>
        <v>2.8997841472787664</v>
      </c>
      <c r="DQ10" s="13">
        <f t="shared" si="43"/>
        <v>1.1805880203273573</v>
      </c>
      <c r="DR10" s="20">
        <f t="shared" si="16"/>
        <v>7.1066481919139983</v>
      </c>
      <c r="DS10" s="59">
        <f t="shared" si="17"/>
        <v>300.43998152524733</v>
      </c>
      <c r="DT10" s="59">
        <f ca="1">AVERAGE(OFFSET($DS$3,0,0,'Données projet'!$E$14+1,1))-AVERAGE(OFFSET($H$3,0,0,'Données projet'!$E$14+1,1))</f>
        <v>216.94426559495264</v>
      </c>
      <c r="DU10" s="59">
        <f t="shared" si="44"/>
        <v>225.33715877618704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4.8</v>
      </c>
      <c r="EJ10" s="12">
        <f>IF('Données projet'!$A$192&gt;35,EJ9+EI10-ER9,IF(A10&lt;'Données projet'!$A$192,$EG$205^A10,IF(A10='Données projet'!$A$192,'Données projet'!$B$192,EJ9+EI10-ER9)))</f>
        <v>4.9407733474474309</v>
      </c>
      <c r="EK10" s="17">
        <f>EJ10*VLOOKUP('Données projet'!$B$15,Paramètres!$A$1:$I$89,3,0)*VLOOKUP('Données projet'!$B$15,Paramètres!$A$1:$I$89,5,0)</f>
        <v>2.3765119801222143</v>
      </c>
      <c r="EL10" s="13">
        <f t="shared" si="45"/>
        <v>0.99022219370527698</v>
      </c>
      <c r="EM10" s="20">
        <f t="shared" si="19"/>
        <v>5.8637286860828803</v>
      </c>
      <c r="EN10" s="59">
        <f t="shared" si="20"/>
        <v>299.19706201941619</v>
      </c>
      <c r="EO10" s="59">
        <f ca="1">AVERAGE(OFFSET($EN$3,0,0,'Données projet'!$E$15+1,1))-AVERAGE(OFFSET($H$3,0,0,'Données projet'!$E$15+1,1))</f>
        <v>292.1792787220852</v>
      </c>
      <c r="EP10" s="59">
        <f t="shared" si="46"/>
        <v>273.69206144662144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301.96492023616713</v>
      </c>
      <c r="S11" s="59">
        <f ca="1">AVERAGE(OFFSET($R$3,0,0,'Données projet'!$E$9+1,1))-AVERAGE(OFFSET($H$3,0,0,'Données projet'!$E$9+1,1))</f>
        <v>215.23235148064941</v>
      </c>
      <c r="T11" s="59">
        <f t="shared" si="34"/>
        <v>184.07239726900434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16.600000000000001</v>
      </c>
      <c r="AI11" s="13">
        <f>IF('Données projet'!$A$62&gt;35,AI10+AH11-AQ10,IF(A11&lt;'Données projet'!$A$62,$AF$205^A11,IF(A11='Données projet'!$A$62,'Données projet'!$B$62,AI10+AH11-AQ10)))</f>
        <v>78.800000000000011</v>
      </c>
      <c r="AJ11" s="13">
        <f>AI11*VLOOKUP('Données projet'!$B$10,Paramètres!$A$1:$I$89,3,0)*VLOOKUP('Données projet'!$B$10,Paramètres!$A$1:$I$89,5,0)</f>
        <v>71.298240000000007</v>
      </c>
      <c r="AK11" s="13">
        <f t="shared" si="35"/>
        <v>19.995510702345133</v>
      </c>
      <c r="AL11" s="20">
        <f t="shared" si="4"/>
        <v>159.00328247325112</v>
      </c>
      <c r="AM11" s="59">
        <f t="shared" si="5"/>
        <v>452.3366158065844</v>
      </c>
      <c r="AN11" s="59">
        <f ca="1">AVERAGE(OFFSET($AM$3,0,0,'Données projet'!$E$10+1,1))-AVERAGE(OFFSET($H$3,0,0,'Données projet'!$E$10+1,1))</f>
        <v>225.28075317732998</v>
      </c>
      <c r="AO11" s="59">
        <f t="shared" si="36"/>
        <v>358.43407531256207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0.89385558979354163</v>
      </c>
      <c r="AW11" s="21">
        <f>EXP(-LN(2)/2)*AW10+(1-EXP(-LN(2)/2))/(LN(2)/2)*AQ11*AT11*VLOOKUP('Données projet'!$B$10,Paramètres!$A$1:$I$89,3,0)*0.475*44/12</f>
        <v>0.98094634322161611</v>
      </c>
      <c r="AX11" s="21">
        <f t="shared" si="6"/>
        <v>1.8748019330151577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7.3003721027184652</v>
      </c>
      <c r="BE11" s="13">
        <f>BD11*VLOOKUP('Données projet'!$B$11,Paramètres!$A$1:$I$89,3,0)*VLOOKUP('Données projet'!$B$11,Paramètres!$A$1:$I$89,5,0)</f>
        <v>4.0809080054196221</v>
      </c>
      <c r="BF11" s="13">
        <f t="shared" si="37"/>
        <v>1.5966759270706423</v>
      </c>
      <c r="BG11" s="20">
        <f t="shared" si="7"/>
        <v>9.8884586824205432</v>
      </c>
      <c r="BH11" s="59">
        <f t="shared" si="8"/>
        <v>303.22179201575386</v>
      </c>
      <c r="BI11" s="59">
        <f ca="1">AVERAGE(OFFSET($BH$3,0,0,'Données projet'!$E$11+1,1))-AVERAGE(OFFSET($H$3,0,0,'Données projet'!$E$11+1,1))</f>
        <v>326.31232746914907</v>
      </c>
      <c r="BJ11" s="59">
        <f t="shared" si="38"/>
        <v>330.17137761430297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</v>
      </c>
      <c r="BY11" s="12">
        <f>IF('Données projet'!$A$114&gt;35,BY10+BX11-CG10,IF(A11&lt;'Données projet'!$A$114,$BV$205^A11,IF(A11='Données projet'!$A$114,'Données projet'!$B$114,BY10+BX11-CG10)))</f>
        <v>17.580936309501134</v>
      </c>
      <c r="BZ11" s="13">
        <f>BY11*VLOOKUP('Données projet'!$B$12,Paramètres!$A$1:$I$89,3,0)*VLOOKUP('Données projet'!$B$12,Paramètres!$A$1:$I$89,5,0)</f>
        <v>9.599191224987619</v>
      </c>
      <c r="CA11" s="13">
        <f t="shared" si="39"/>
        <v>3.3998095987127641</v>
      </c>
      <c r="CB11" s="20">
        <f t="shared" si="10"/>
        <v>22.6399264346115</v>
      </c>
      <c r="CC11" s="59">
        <f t="shared" si="11"/>
        <v>315.9732597679448</v>
      </c>
      <c r="CD11" s="59">
        <f ca="1">AVERAGE(OFFSET($CC$3,0,0,'Données projet'!$E$12+1,1))-AVERAGE(OFFSET($H$3,0,0,'Données projet'!$E$12+1,1))</f>
        <v>210.04871822652808</v>
      </c>
      <c r="CE11" s="59">
        <f t="shared" si="40"/>
        <v>250.17540614049324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4.75</v>
      </c>
      <c r="CT11" s="12">
        <f>IF('Données projet'!$A$140&gt;35,CT10+CS11-DB10,IF(A11&lt;'Données projet'!$A$140,$CQ$205^A11,IF(A11='Données projet'!$A$140,'Données projet'!$B$140,CT10+CS11-DB10)))</f>
        <v>6.1814369253798551</v>
      </c>
      <c r="CU11" s="17">
        <f>CT11*VLOOKUP('Données projet'!$B$13,Paramètres!$A$1:$I$89,3,0)*VLOOKUP('Données projet'!$B$13,Paramètres!$A$1:$I$89,5,0)</f>
        <v>4.9179512178322131</v>
      </c>
      <c r="CV11" s="13">
        <f t="shared" si="41"/>
        <v>1.8828364559270923</v>
      </c>
      <c r="CW11" s="20">
        <f t="shared" si="13"/>
        <v>11.844705198464125</v>
      </c>
      <c r="CX11" s="59">
        <f t="shared" si="14"/>
        <v>305.17803853179743</v>
      </c>
      <c r="CY11" s="59">
        <f ca="1">AVERAGE(OFFSET($CX$3,0,0,'Données projet'!$E$13+1,1))-AVERAGE(OFFSET($H$3,0,0,'Données projet'!$E$13+1,1))</f>
        <v>199.58763537752952</v>
      </c>
      <c r="CZ11" s="59">
        <f t="shared" si="42"/>
        <v>242.62852778451929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4.55</v>
      </c>
      <c r="DO11" s="12">
        <f>IF('Données projet'!$A$166&gt;35,DO10+DN11-DW10,IF(A11&lt;'Données projet'!$A$166,$DL$205^A11,IF(A11='Données projet'!$A$166,'Données projet'!$B$166,DO10+DN11-DW10)))</f>
        <v>6.0759830958211616</v>
      </c>
      <c r="DP11" s="17">
        <f>DO11*VLOOKUP('Données projet'!$B$14,Paramètres!$A$1:$I$89,3,0)*VLOOKUP('Données projet'!$B$14,Paramètres!$A$1:$I$89,5,0)</f>
        <v>3.633437891301055</v>
      </c>
      <c r="DQ11" s="13">
        <f t="shared" si="43"/>
        <v>1.4409496993838373</v>
      </c>
      <c r="DR11" s="20">
        <f t="shared" si="16"/>
        <v>8.8378917204428529</v>
      </c>
      <c r="DS11" s="59">
        <f t="shared" si="17"/>
        <v>302.17122505377614</v>
      </c>
      <c r="DT11" s="59">
        <f ca="1">AVERAGE(OFFSET($DS$3,0,0,'Données projet'!$E$14+1,1))-AVERAGE(OFFSET($H$3,0,0,'Données projet'!$E$14+1,1))</f>
        <v>216.94426559495264</v>
      </c>
      <c r="DU11" s="59">
        <f t="shared" si="44"/>
        <v>225.33715877618704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4.8</v>
      </c>
      <c r="EJ11" s="12">
        <f>IF('Données projet'!$A$192&gt;35,EJ10+EI11-ER10,IF(A11&lt;'Données projet'!$A$192,$EG$205^A11,IF(A11='Données projet'!$A$192,'Données projet'!$B$192,EJ10+EI11-ER10)))</f>
        <v>6.2073822956614393</v>
      </c>
      <c r="EK11" s="17">
        <f>EJ11*VLOOKUP('Données projet'!$B$15,Paramètres!$A$1:$I$89,3,0)*VLOOKUP('Données projet'!$B$15,Paramètres!$A$1:$I$89,5,0)</f>
        <v>2.9857508842131524</v>
      </c>
      <c r="EL11" s="13">
        <f t="shared" si="45"/>
        <v>1.2114608920480276</v>
      </c>
      <c r="EM11" s="20">
        <f t="shared" si="19"/>
        <v>7.3101438436548882</v>
      </c>
      <c r="EN11" s="59">
        <f t="shared" si="20"/>
        <v>300.6434771769882</v>
      </c>
      <c r="EO11" s="59">
        <f ca="1">AVERAGE(OFFSET($EN$3,0,0,'Données projet'!$E$15+1,1))-AVERAGE(OFFSET($H$3,0,0,'Données projet'!$E$15+1,1))</f>
        <v>292.1792787220852</v>
      </c>
      <c r="EP11" s="59">
        <f t="shared" si="46"/>
        <v>273.69206144662144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304.35940071300303</v>
      </c>
      <c r="S12" s="59">
        <f ca="1">AVERAGE(OFFSET($R$3,0,0,'Données projet'!$E$9+1,1))-AVERAGE(OFFSET($H$3,0,0,'Données projet'!$E$9+1,1))</f>
        <v>215.23235148064941</v>
      </c>
      <c r="T12" s="59">
        <f t="shared" si="34"/>
        <v>184.07239726900434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16.600000000000001</v>
      </c>
      <c r="AI12" s="13">
        <f>IF('Données projet'!$A$62&gt;35,AI11+AH12-AQ11,IF(A12&lt;'Données projet'!$A$62,$AF$205^A12,IF(A12='Données projet'!$A$62,'Données projet'!$B$62,AI11+AH12-AQ11)))</f>
        <v>95.4</v>
      </c>
      <c r="AJ12" s="13">
        <f>AI12*VLOOKUP('Données projet'!$B$10,Paramètres!$A$1:$I$89,3,0)*VLOOKUP('Données projet'!$B$10,Paramètres!$A$1:$I$89,5,0)</f>
        <v>86.317920000000001</v>
      </c>
      <c r="AK12" s="13">
        <f t="shared" si="35"/>
        <v>23.675048588166593</v>
      </c>
      <c r="AL12" s="20">
        <f t="shared" si="4"/>
        <v>191.57108695772345</v>
      </c>
      <c r="AM12" s="59">
        <f t="shared" si="5"/>
        <v>484.90442029105679</v>
      </c>
      <c r="AN12" s="59">
        <f ca="1">AVERAGE(OFFSET($AM$3,0,0,'Données projet'!$E$10+1,1))-AVERAGE(OFFSET($H$3,0,0,'Données projet'!$E$10+1,1))</f>
        <v>225.28075317732998</v>
      </c>
      <c r="AO12" s="59">
        <f t="shared" si="36"/>
        <v>358.43407531256207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0.86941306168481469</v>
      </c>
      <c r="AW12" s="21">
        <f>EXP(-LN(2)/2)*AW11+(1-EXP(-LN(2)/2))/(LN(2)/2)*AQ12*AT12*VLOOKUP('Données projet'!$B$10,Paramètres!$A$1:$I$89,3,0)*0.475*44/12</f>
        <v>0.69363381127215129</v>
      </c>
      <c r="AX12" s="21">
        <f t="shared" si="6"/>
        <v>1.563046872956966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9.3597257028516339</v>
      </c>
      <c r="BE12" s="13">
        <f>BD12*VLOOKUP('Données projet'!$B$11,Paramètres!$A$1:$I$89,3,0)*VLOOKUP('Données projet'!$B$11,Paramètres!$A$1:$I$89,5,0)</f>
        <v>5.2320866678940634</v>
      </c>
      <c r="BF12" s="13">
        <f t="shared" si="37"/>
        <v>1.9887181275113242</v>
      </c>
      <c r="BG12" s="20">
        <f t="shared" si="7"/>
        <v>12.576235018664383</v>
      </c>
      <c r="BH12" s="59">
        <f t="shared" si="8"/>
        <v>305.90956835199768</v>
      </c>
      <c r="BI12" s="59">
        <f ca="1">AVERAGE(OFFSET($BH$3,0,0,'Données projet'!$E$11+1,1))-AVERAGE(OFFSET($H$3,0,0,'Données projet'!$E$11+1,1))</f>
        <v>326.31232746914907</v>
      </c>
      <c r="BJ12" s="59">
        <f t="shared" si="38"/>
        <v>330.17137761430297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</v>
      </c>
      <c r="BY12" s="12">
        <f>IF('Données projet'!$A$114&gt;35,BY11+BX12-CG11,IF(A12&lt;'Données projet'!$A$114,$BV$205^A12,IF(A12='Données projet'!$A$114,'Données projet'!$B$114,BY11+BX12-CG11)))</f>
        <v>25.157776275776861</v>
      </c>
      <c r="BZ12" s="13">
        <f>BY12*VLOOKUP('Données projet'!$B$12,Paramètres!$A$1:$I$89,3,0)*VLOOKUP('Données projet'!$B$12,Paramètres!$A$1:$I$89,5,0)</f>
        <v>13.736145846574166</v>
      </c>
      <c r="CA12" s="13">
        <f t="shared" si="39"/>
        <v>4.6662659204824557</v>
      </c>
      <c r="CB12" s="20">
        <f t="shared" si="10"/>
        <v>32.050867160956948</v>
      </c>
      <c r="CC12" s="59">
        <f t="shared" si="11"/>
        <v>325.38420049429027</v>
      </c>
      <c r="CD12" s="59">
        <f ca="1">AVERAGE(OFFSET($CC$3,0,0,'Données projet'!$E$12+1,1))-AVERAGE(OFFSET($H$3,0,0,'Données projet'!$E$12+1,1))</f>
        <v>210.04871822652808</v>
      </c>
      <c r="CE12" s="59">
        <f t="shared" si="40"/>
        <v>250.17540614049324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4.75</v>
      </c>
      <c r="CT12" s="12">
        <f>IF('Données projet'!$A$140&gt;35,CT11+CS12-DB11,IF(A12&lt;'Données projet'!$A$140,$CQ$205^A12,IF(A12='Données projet'!$A$140,'Données projet'!$B$140,CT11+CS12-DB11)))</f>
        <v>7.7620354590201153</v>
      </c>
      <c r="CU12" s="17">
        <f>CT12*VLOOKUP('Données projet'!$B$13,Paramètres!$A$1:$I$89,3,0)*VLOOKUP('Données projet'!$B$13,Paramètres!$A$1:$I$89,5,0)</f>
        <v>6.1754754111964036</v>
      </c>
      <c r="CV12" s="13">
        <f t="shared" si="41"/>
        <v>2.3024405614847958</v>
      </c>
      <c r="CW12" s="20">
        <f t="shared" si="13"/>
        <v>14.765703652419754</v>
      </c>
      <c r="CX12" s="59">
        <f t="shared" si="14"/>
        <v>308.09903698575306</v>
      </c>
      <c r="CY12" s="59">
        <f ca="1">AVERAGE(OFFSET($CX$3,0,0,'Données projet'!$E$13+1,1))-AVERAGE(OFFSET($H$3,0,0,'Données projet'!$E$13+1,1))</f>
        <v>199.58763537752952</v>
      </c>
      <c r="CZ12" s="59">
        <f t="shared" si="42"/>
        <v>242.62852778451929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4.55</v>
      </c>
      <c r="DO12" s="12">
        <f>IF('Données projet'!$A$166&gt;35,DO11+DN12-DW11,IF(A12&lt;'Données projet'!$A$166,$DL$205^A12,IF(A12='Données projet'!$A$166,'Données projet'!$B$166,DO11+DN12-DW11)))</f>
        <v>7.6132243249824851</v>
      </c>
      <c r="DP12" s="17">
        <f>DO12*VLOOKUP('Données projet'!$B$14,Paramètres!$A$1:$I$89,3,0)*VLOOKUP('Données projet'!$B$14,Paramètres!$A$1:$I$89,5,0)</f>
        <v>4.5527081463395263</v>
      </c>
      <c r="DQ12" s="13">
        <f t="shared" si="43"/>
        <v>1.758730395704539</v>
      </c>
      <c r="DR12" s="20">
        <f t="shared" si="16"/>
        <v>10.992422127393413</v>
      </c>
      <c r="DS12" s="59">
        <f t="shared" si="17"/>
        <v>304.32575546072673</v>
      </c>
      <c r="DT12" s="59">
        <f ca="1">AVERAGE(OFFSET($DS$3,0,0,'Données projet'!$E$14+1,1))-AVERAGE(OFFSET($H$3,0,0,'Données projet'!$E$14+1,1))</f>
        <v>216.94426559495264</v>
      </c>
      <c r="DU12" s="59">
        <f t="shared" si="44"/>
        <v>225.33715877618704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4.8</v>
      </c>
      <c r="EJ12" s="12">
        <f>IF('Données projet'!$A$192&gt;35,EJ11+EI12-ER11,IF(A12&lt;'Données projet'!$A$192,$EG$205^A12,IF(A12='Données projet'!$A$192,'Données projet'!$B$192,EJ11+EI12-ER11)))</f>
        <v>7.7986971380498149</v>
      </c>
      <c r="EK12" s="17">
        <f>EJ12*VLOOKUP('Données projet'!$B$15,Paramètres!$A$1:$I$89,3,0)*VLOOKUP('Données projet'!$B$15,Paramètres!$A$1:$I$89,5,0)</f>
        <v>3.7511733234019609</v>
      </c>
      <c r="EL12" s="13">
        <f t="shared" si="45"/>
        <v>1.4821294678016681</v>
      </c>
      <c r="EM12" s="20">
        <f t="shared" si="19"/>
        <v>9.1146690280129867</v>
      </c>
      <c r="EN12" s="59">
        <f t="shared" si="20"/>
        <v>302.44800236134631</v>
      </c>
      <c r="EO12" s="59">
        <f ca="1">AVERAGE(OFFSET($EN$3,0,0,'Données projet'!$E$15+1,1))-AVERAGE(OFFSET($H$3,0,0,'Données projet'!$E$15+1,1))</f>
        <v>292.1792787220852</v>
      </c>
      <c r="EP12" s="59">
        <f t="shared" si="46"/>
        <v>273.69206144662144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307.42058941449875</v>
      </c>
      <c r="S13" s="59">
        <f ca="1">AVERAGE(OFFSET($R$3,0,0,'Données projet'!$E$9+1,1))-AVERAGE(OFFSET($H$3,0,0,'Données projet'!$E$9+1,1))</f>
        <v>215.23235148064941</v>
      </c>
      <c r="T13" s="59">
        <f t="shared" si="34"/>
        <v>184.07239726900434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112</v>
      </c>
      <c r="AG13" s="12">
        <f>VLOOKUP(A13,'Données projet'!$A$61:$I$81,9,0)</f>
        <v>16.600000000000001</v>
      </c>
      <c r="AH13" s="12">
        <f t="array" ref="AH13">INDEX(AG:AG,MIN(IF(ISNUMBER(AG13:AG209),ROW(AG13:AG209),"")))</f>
        <v>16.600000000000001</v>
      </c>
      <c r="AI13" s="13">
        <f>IF('Données projet'!$A$62&gt;35,AI12+AH13-AQ12,IF(A13&lt;'Données projet'!$A$62,$AF$205^A13,IF(A13='Données projet'!$A$62,'Données projet'!$B$62,AI12+AH13-AQ12)))</f>
        <v>112</v>
      </c>
      <c r="AJ13" s="13">
        <f>AI13*VLOOKUP('Données projet'!$B$10,Paramètres!$A$1:$I$89,3,0)*VLOOKUP('Données projet'!$B$10,Paramètres!$A$1:$I$89,5,0)</f>
        <v>101.33759999999999</v>
      </c>
      <c r="AK13" s="13">
        <f t="shared" si="35"/>
        <v>27.280415454305565</v>
      </c>
      <c r="AL13" s="20">
        <f t="shared" si="4"/>
        <v>224.00971024958213</v>
      </c>
      <c r="AM13" s="59">
        <f t="shared" si="5"/>
        <v>517.34304358291547</v>
      </c>
      <c r="AN13" s="59">
        <f ca="1">AVERAGE(OFFSET($AM$3,0,0,'Données projet'!$E$10+1,1))-AVERAGE(OFFSET($H$3,0,0,'Données projet'!$E$10+1,1))</f>
        <v>225.28075317732998</v>
      </c>
      <c r="AO13" s="59">
        <f t="shared" si="36"/>
        <v>358.43407531256207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41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7.4999999999999997E-2</v>
      </c>
      <c r="AT13" s="16">
        <f>IF(ISNA(VLOOKUP(A13,'Données projet'!$A$61:$I$81,7,0)),0%,VLOOKUP(A13,'Données projet'!$A$61:$I$81,7,0))</f>
        <v>0.25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3.9092347074225788</v>
      </c>
      <c r="AW13" s="21">
        <f>EXP(-LN(2)/2)*AW12+(1-EXP(-LN(2)/2))/(LN(2)/2)*AQ13*AT13*VLOOKUP('Données projet'!$B$10,Paramètres!$A$1:$I$89,3,0)*0.475*44/12</f>
        <v>9.2409304830440977</v>
      </c>
      <c r="AX13" s="21">
        <f t="shared" si="6"/>
        <v>13.150165190466677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12</v>
      </c>
      <c r="BB13" s="12">
        <f>VLOOKUP(A13,'Données projet'!$A$87:$I$107,9,0)</f>
        <v>1.2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12</v>
      </c>
      <c r="BE13" s="13">
        <f>BD13*VLOOKUP('Données projet'!$B$11,Paramètres!$A$1:$I$89,3,0)*VLOOKUP('Données projet'!$B$11,Paramètres!$A$1:$I$89,5,0)</f>
        <v>6.7080000000000002</v>
      </c>
      <c r="BF13" s="13">
        <f t="shared" si="37"/>
        <v>2.477020993200687</v>
      </c>
      <c r="BG13" s="20">
        <f t="shared" si="7"/>
        <v>15.997244896491198</v>
      </c>
      <c r="BH13" s="59">
        <f t="shared" si="8"/>
        <v>309.33057822982454</v>
      </c>
      <c r="BI13" s="59">
        <f ca="1">AVERAGE(OFFSET($BH$3,0,0,'Données projet'!$E$11+1,1))-AVERAGE(OFFSET($H$3,0,0,'Données projet'!$E$11+1,1))</f>
        <v>326.31232746914907</v>
      </c>
      <c r="BJ13" s="59">
        <f t="shared" si="38"/>
        <v>330.17137761430297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36</v>
      </c>
      <c r="BW13" s="12">
        <f>VLOOKUP(A13,'Données projet'!$A$113:$I$133,9,0)</f>
        <v>3.6</v>
      </c>
      <c r="BX13" s="12">
        <f t="array" ref="BX13">INDEX(BW:BW,MIN(IF(ISNUMBER(BW13:BW209),ROW(BW13:BW209),"")))</f>
        <v>3.6</v>
      </c>
      <c r="BY13" s="12">
        <f>IF('Données projet'!$A$114&gt;35,BY12+BX13-CG12,IF(A13&lt;'Données projet'!$A$114,$BV$205^A13,IF(A13='Données projet'!$A$114,'Données projet'!$B$114,BY12+BX13-CG12)))</f>
        <v>36</v>
      </c>
      <c r="BZ13" s="13">
        <f>BY13*VLOOKUP('Données projet'!$B$12,Paramètres!$A$1:$I$89,3,0)*VLOOKUP('Données projet'!$B$12,Paramètres!$A$1:$I$89,5,0)</f>
        <v>19.655999999999999</v>
      </c>
      <c r="CA13" s="13">
        <f t="shared" si="39"/>
        <v>6.4044873715575275</v>
      </c>
      <c r="CB13" s="20">
        <f t="shared" si="10"/>
        <v>45.388682172129364</v>
      </c>
      <c r="CC13" s="59">
        <f t="shared" si="11"/>
        <v>338.72201550546265</v>
      </c>
      <c r="CD13" s="59">
        <f ca="1">AVERAGE(OFFSET($CC$3,0,0,'Données projet'!$E$12+1,1))-AVERAGE(OFFSET($H$3,0,0,'Données projet'!$E$12+1,1))</f>
        <v>210.04871822652808</v>
      </c>
      <c r="CE13" s="59">
        <f t="shared" si="40"/>
        <v>250.17540614049324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4.75</v>
      </c>
      <c r="CT13" s="12">
        <f>IF('Données projet'!$A$140&gt;35,CT12+CS13-DB12,IF(A13&lt;'Données projet'!$A$140,$CQ$205^A13,IF(A13='Données projet'!$A$140,'Données projet'!$B$140,CT12+CS13-DB12)))</f>
        <v>9.7467943448089507</v>
      </c>
      <c r="CU13" s="17">
        <f>CT13*VLOOKUP('Données projet'!$B$13,Paramètres!$A$1:$I$89,3,0)*VLOOKUP('Données projet'!$B$13,Paramètres!$A$1:$I$89,5,0)</f>
        <v>7.7545495807300009</v>
      </c>
      <c r="CV13" s="13">
        <f t="shared" si="41"/>
        <v>2.815556562271968</v>
      </c>
      <c r="CW13" s="20">
        <f t="shared" si="13"/>
        <v>18.409601532395097</v>
      </c>
      <c r="CX13" s="59">
        <f t="shared" si="14"/>
        <v>311.74293486572839</v>
      </c>
      <c r="CY13" s="59">
        <f ca="1">AVERAGE(OFFSET($CX$3,0,0,'Données projet'!$E$13+1,1))-AVERAGE(OFFSET($H$3,0,0,'Données projet'!$E$13+1,1))</f>
        <v>199.58763537752952</v>
      </c>
      <c r="CZ13" s="59">
        <f t="shared" si="42"/>
        <v>242.62852778451929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4.55</v>
      </c>
      <c r="DO13" s="12">
        <f>IF('Données projet'!$A$166&gt;35,DO12+DN13-DW12,IF(A13&lt;'Données projet'!$A$166,$DL$205^A13,IF(A13='Données projet'!$A$166,'Données projet'!$B$166,DO12+DN13-DW12)))</f>
        <v>9.5393920141694579</v>
      </c>
      <c r="DP13" s="17">
        <f>DO13*VLOOKUP('Données projet'!$B$14,Paramètres!$A$1:$I$89,3,0)*VLOOKUP('Données projet'!$B$14,Paramètres!$A$1:$I$89,5,0)</f>
        <v>5.7045564244733367</v>
      </c>
      <c r="DQ13" s="13">
        <f t="shared" si="43"/>
        <v>2.1465930463066791</v>
      </c>
      <c r="DR13" s="20">
        <f t="shared" si="16"/>
        <v>13.674085328275192</v>
      </c>
      <c r="DS13" s="59">
        <f t="shared" si="17"/>
        <v>307.00741866160848</v>
      </c>
      <c r="DT13" s="59">
        <f ca="1">AVERAGE(OFFSET($DS$3,0,0,'Données projet'!$E$14+1,1))-AVERAGE(OFFSET($H$3,0,0,'Données projet'!$E$14+1,1))</f>
        <v>216.94426559495264</v>
      </c>
      <c r="DU13" s="59">
        <f t="shared" si="44"/>
        <v>225.33715877618704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4.8</v>
      </c>
      <c r="EJ13" s="12">
        <f>IF('Données projet'!$A$192&gt;35,EJ12+EI13-ER12,IF(A13&lt;'Données projet'!$A$192,$EG$205^A13,IF(A13='Données projet'!$A$192,'Données projet'!$B$192,EJ12+EI13-ER12)))</f>
        <v>9.7979589711327133</v>
      </c>
      <c r="EK13" s="17">
        <f>EJ13*VLOOKUP('Données projet'!$B$15,Paramètres!$A$1:$I$89,3,0)*VLOOKUP('Données projet'!$B$15,Paramètres!$A$1:$I$89,5,0)</f>
        <v>4.7128182651148354</v>
      </c>
      <c r="EL13" s="13">
        <f t="shared" si="45"/>
        <v>1.8132717067015065</v>
      </c>
      <c r="EM13" s="20">
        <f t="shared" si="19"/>
        <v>11.36627336758013</v>
      </c>
      <c r="EN13" s="59">
        <f t="shared" si="20"/>
        <v>304.69960670091342</v>
      </c>
      <c r="EO13" s="59">
        <f ca="1">AVERAGE(OFFSET($EN$3,0,0,'Données projet'!$E$15+1,1))-AVERAGE(OFFSET($H$3,0,0,'Données projet'!$E$15+1,1))</f>
        <v>292.1792787220852</v>
      </c>
      <c r="EP13" s="59">
        <f t="shared" si="46"/>
        <v>273.69206144662144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311.33476117897868</v>
      </c>
      <c r="S14" s="59">
        <f ca="1">AVERAGE(OFFSET($R$3,0,0,'Données projet'!$E$9+1,1))-AVERAGE(OFFSET($H$3,0,0,'Données projet'!$E$9+1,1))</f>
        <v>215.23235148064941</v>
      </c>
      <c r="T14" s="59">
        <f t="shared" si="34"/>
        <v>184.07239726900434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14.2</v>
      </c>
      <c r="AI14" s="13">
        <f>IF('Données projet'!$A$62&gt;35,AI13+AH14-AQ13,IF(A14&lt;'Données projet'!$A$62,$AF$205^A14,IF(A14='Données projet'!$A$62,'Données projet'!$B$62,AI13+AH14-AQ13)))</f>
        <v>85.2</v>
      </c>
      <c r="AJ14" s="13">
        <f>AI14*VLOOKUP('Données projet'!$B$10,Paramètres!$A$1:$I$89,3,0)*VLOOKUP('Données projet'!$B$10,Paramètres!$A$1:$I$89,5,0)</f>
        <v>77.08896</v>
      </c>
      <c r="AK14" s="13">
        <f t="shared" si="35"/>
        <v>21.423891539868706</v>
      </c>
      <c r="AL14" s="20">
        <f t="shared" si="4"/>
        <v>171.57654976527132</v>
      </c>
      <c r="AM14" s="59">
        <f t="shared" si="5"/>
        <v>464.90988309860461</v>
      </c>
      <c r="AN14" s="59">
        <f ca="1">AVERAGE(OFFSET($AM$3,0,0,'Données projet'!$E$10+1,1))-AVERAGE(OFFSET($H$3,0,0,'Données projet'!$E$10+1,1))</f>
        <v>225.28075317732998</v>
      </c>
      <c r="AO14" s="59">
        <f t="shared" si="36"/>
        <v>358.43407531256207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3.8023364787703899</v>
      </c>
      <c r="AW14" s="21">
        <f>EXP(-LN(2)/2)*AW13+(1-EXP(-LN(2)/2))/(LN(2)/2)*AQ14*AT14*VLOOKUP('Données projet'!$B$10,Paramètres!$A$1:$I$89,3,0)*0.475*44/12</f>
        <v>6.53432460903396</v>
      </c>
      <c r="AX14" s="21">
        <f t="shared" si="6"/>
        <v>10.33666108780435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15</v>
      </c>
      <c r="BD14" s="12">
        <f>IF('Données projet'!$A$88&gt;35,BD13+BC14-BL13,IF(A14&lt;'Données projet'!$A$88,$BA$205^A14,IF(A14='Données projet'!$A$88,'Données projet'!$B$88,BD13+BC14-BL13)))</f>
        <v>27</v>
      </c>
      <c r="BE14" s="13">
        <f>BD14*VLOOKUP('Données projet'!$B$11,Paramètres!$A$1:$I$89,3,0)*VLOOKUP('Données projet'!$B$11,Paramètres!$A$1:$I$89,5,0)</f>
        <v>15.093</v>
      </c>
      <c r="BF14" s="13">
        <f t="shared" si="37"/>
        <v>5.0712866613861207</v>
      </c>
      <c r="BG14" s="20">
        <f t="shared" si="7"/>
        <v>35.11946593524749</v>
      </c>
      <c r="BH14" s="59">
        <f t="shared" si="8"/>
        <v>328.4527992685808</v>
      </c>
      <c r="BI14" s="59">
        <f ca="1">AVERAGE(OFFSET($BH$3,0,0,'Données projet'!$E$11+1,1))-AVERAGE(OFFSET($H$3,0,0,'Données projet'!$E$11+1,1))</f>
        <v>326.31232746914907</v>
      </c>
      <c r="BJ14" s="59">
        <f t="shared" si="38"/>
        <v>330.17137761430297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14.1</v>
      </c>
      <c r="BY14" s="12">
        <f>IF('Données projet'!$A$114&gt;35,BY13+BX14-CG13,IF(A14&lt;'Données projet'!$A$114,$BV$205^A14,IF(A14='Données projet'!$A$114,'Données projet'!$B$114,BY13+BX14-CG13)))</f>
        <v>50.1</v>
      </c>
      <c r="BZ14" s="13">
        <f>BY14*VLOOKUP('Données projet'!$B$12,Paramètres!$A$1:$I$89,3,0)*VLOOKUP('Données projet'!$B$12,Paramètres!$A$1:$I$89,5,0)</f>
        <v>27.354600000000001</v>
      </c>
      <c r="CA14" s="13">
        <f t="shared" si="39"/>
        <v>8.5765396264451574</v>
      </c>
      <c r="CB14" s="20">
        <f t="shared" si="10"/>
        <v>62.580068182725313</v>
      </c>
      <c r="CC14" s="59">
        <f t="shared" si="11"/>
        <v>355.91340151605863</v>
      </c>
      <c r="CD14" s="59">
        <f ca="1">AVERAGE(OFFSET($CC$3,0,0,'Données projet'!$E$12+1,1))-AVERAGE(OFFSET($H$3,0,0,'Données projet'!$E$12+1,1))</f>
        <v>210.04871822652808</v>
      </c>
      <c r="CE14" s="59">
        <f t="shared" si="40"/>
        <v>250.17540614049324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4.75</v>
      </c>
      <c r="CT14" s="12">
        <f>IF('Données projet'!$A$140&gt;35,CT13+CS14-DB13,IF(A14&lt;'Données projet'!$A$140,$CQ$205^A14,IF(A14='Données projet'!$A$140,'Données projet'!$B$140,CT13+CS14-DB13)))</f>
        <v>12.239057719016479</v>
      </c>
      <c r="CU14" s="17">
        <f>CT14*VLOOKUP('Données projet'!$B$13,Paramètres!$A$1:$I$89,3,0)*VLOOKUP('Données projet'!$B$13,Paramètres!$A$1:$I$89,5,0)</f>
        <v>9.7373943212495124</v>
      </c>
      <c r="CV14" s="13">
        <f t="shared" si="41"/>
        <v>3.4430242795238799</v>
      </c>
      <c r="CW14" s="20">
        <f t="shared" si="13"/>
        <v>22.955895729680325</v>
      </c>
      <c r="CX14" s="59">
        <f t="shared" si="14"/>
        <v>316.28922906301364</v>
      </c>
      <c r="CY14" s="59">
        <f ca="1">AVERAGE(OFFSET($CX$3,0,0,'Données projet'!$E$13+1,1))-AVERAGE(OFFSET($H$3,0,0,'Données projet'!$E$13+1,1))</f>
        <v>199.58763537752952</v>
      </c>
      <c r="CZ14" s="59">
        <f t="shared" si="42"/>
        <v>242.62852778451929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4.55</v>
      </c>
      <c r="DO14" s="12">
        <f>IF('Données projet'!$A$166&gt;35,DO13+DN14-DW13,IF(A14&lt;'Données projet'!$A$166,$DL$205^A14,IF(A14='Données projet'!$A$166,'Données projet'!$B$166,DO13+DN14-DW13)))</f>
        <v>11.952885678330434</v>
      </c>
      <c r="DP14" s="17">
        <f>DO14*VLOOKUP('Données projet'!$B$14,Paramètres!$A$1:$I$89,3,0)*VLOOKUP('Données projet'!$B$14,Paramètres!$A$1:$I$89,5,0)</f>
        <v>7.147825635641599</v>
      </c>
      <c r="DQ14" s="13">
        <f t="shared" si="43"/>
        <v>2.6199932165306663</v>
      </c>
      <c r="DR14" s="20">
        <f t="shared" si="16"/>
        <v>17.012284500866695</v>
      </c>
      <c r="DS14" s="59">
        <f t="shared" si="17"/>
        <v>310.34561783420003</v>
      </c>
      <c r="DT14" s="59">
        <f ca="1">AVERAGE(OFFSET($DS$3,0,0,'Données projet'!$E$14+1,1))-AVERAGE(OFFSET($H$3,0,0,'Données projet'!$E$14+1,1))</f>
        <v>216.94426559495264</v>
      </c>
      <c r="DU14" s="59">
        <f t="shared" si="44"/>
        <v>225.33715877618704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4.8</v>
      </c>
      <c r="EJ14" s="12">
        <f>IF('Données projet'!$A$192&gt;35,EJ13+EI14-ER13,IF(A14&lt;'Données projet'!$A$192,$EG$205^A14,IF(A14='Données projet'!$A$192,'Données projet'!$B$192,EJ13+EI14-ER13)))</f>
        <v>12.309748449085985</v>
      </c>
      <c r="EK14" s="17">
        <f>EJ14*VLOOKUP('Données projet'!$B$15,Paramètres!$A$1:$I$89,3,0)*VLOOKUP('Données projet'!$B$15,Paramètres!$A$1:$I$89,5,0)</f>
        <v>5.9209890040103588</v>
      </c>
      <c r="EL14" s="13">
        <f t="shared" si="45"/>
        <v>2.2183988334035152</v>
      </c>
      <c r="EM14" s="20">
        <f t="shared" si="19"/>
        <v>14.17610048349583</v>
      </c>
      <c r="EN14" s="59">
        <f t="shared" si="20"/>
        <v>307.50943381682913</v>
      </c>
      <c r="EO14" s="59">
        <f ca="1">AVERAGE(OFFSET($EN$3,0,0,'Données projet'!$E$15+1,1))-AVERAGE(OFFSET($H$3,0,0,'Données projet'!$E$15+1,1))</f>
        <v>292.1792787220852</v>
      </c>
      <c r="EP14" s="59">
        <f t="shared" si="46"/>
        <v>273.69206144662144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316.3404009375538</v>
      </c>
      <c r="S15" s="59">
        <f ca="1">AVERAGE(OFFSET($R$3,0,0,'Données projet'!$E$9+1,1))-AVERAGE(OFFSET($H$3,0,0,'Données projet'!$E$9+1,1))</f>
        <v>215.23235148064941</v>
      </c>
      <c r="T15" s="59">
        <f t="shared" si="34"/>
        <v>184.07239726900434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14.2</v>
      </c>
      <c r="AI15" s="13">
        <f>IF('Données projet'!$A$62&gt;35,AI14+AH15-AQ14,IF(A15&lt;'Données projet'!$A$62,$AF$205^A15,IF(A15='Données projet'!$A$62,'Données projet'!$B$62,AI14+AH15-AQ14)))</f>
        <v>99.4</v>
      </c>
      <c r="AJ15" s="13">
        <f>AI15*VLOOKUP('Données projet'!$B$10,Paramètres!$A$1:$I$89,3,0)*VLOOKUP('Données projet'!$B$10,Paramètres!$A$1:$I$89,5,0)</f>
        <v>89.937120000000007</v>
      </c>
      <c r="AK15" s="13">
        <f t="shared" si="35"/>
        <v>24.550059235245158</v>
      </c>
      <c r="AL15" s="20">
        <f t="shared" si="4"/>
        <v>199.39850383471867</v>
      </c>
      <c r="AM15" s="59">
        <f t="shared" si="5"/>
        <v>492.73183716805198</v>
      </c>
      <c r="AN15" s="59">
        <f ca="1">AVERAGE(OFFSET($AM$3,0,0,'Données projet'!$E$10+1,1))-AVERAGE(OFFSET($H$3,0,0,'Données projet'!$E$10+1,1))</f>
        <v>225.28075317732998</v>
      </c>
      <c r="AO15" s="59">
        <f t="shared" si="36"/>
        <v>358.43407531256207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3.6983613878022288</v>
      </c>
      <c r="AW15" s="21">
        <f>EXP(-LN(2)/2)*AW14+(1-EXP(-LN(2)/2))/(LN(2)/2)*AQ15*AT15*VLOOKUP('Données projet'!$B$10,Paramètres!$A$1:$I$89,3,0)*0.475*44/12</f>
        <v>4.6204652415220497</v>
      </c>
      <c r="AX15" s="21">
        <f t="shared" si="6"/>
        <v>8.3188266293242776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15</v>
      </c>
      <c r="BD15" s="12">
        <f>IF('Données projet'!$A$88&gt;35,BD14+BC15-BL14,IF(A15&lt;'Données projet'!$A$88,$BA$205^A15,IF(A15='Données projet'!$A$88,'Données projet'!$B$88,BD14+BC15-BL14)))</f>
        <v>42</v>
      </c>
      <c r="BE15" s="13">
        <f>BD15*VLOOKUP('Données projet'!$B$11,Paramètres!$A$1:$I$89,3,0)*VLOOKUP('Données projet'!$B$11,Paramètres!$A$1:$I$89,5,0)</f>
        <v>23.477999999999998</v>
      </c>
      <c r="BF15" s="13">
        <f t="shared" si="37"/>
        <v>7.4932153017418202</v>
      </c>
      <c r="BG15" s="20">
        <f t="shared" si="7"/>
        <v>53.941533317200332</v>
      </c>
      <c r="BH15" s="59">
        <f t="shared" si="8"/>
        <v>347.27486665053362</v>
      </c>
      <c r="BI15" s="59">
        <f ca="1">AVERAGE(OFFSET($BH$3,0,0,'Données projet'!$E$11+1,1))-AVERAGE(OFFSET($H$3,0,0,'Données projet'!$E$11+1,1))</f>
        <v>326.31232746914907</v>
      </c>
      <c r="BJ15" s="59">
        <f t="shared" si="38"/>
        <v>330.17137761430297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14.1</v>
      </c>
      <c r="BY15" s="12">
        <f>IF('Données projet'!$A$114&gt;35,BY14+BX15-CG14,IF(A15&lt;'Données projet'!$A$114,$BV$205^A15,IF(A15='Données projet'!$A$114,'Données projet'!$B$114,BY14+BX15-CG14)))</f>
        <v>64.2</v>
      </c>
      <c r="BZ15" s="13">
        <f>BY15*VLOOKUP('Données projet'!$B$12,Paramètres!$A$1:$I$89,3,0)*VLOOKUP('Données projet'!$B$12,Paramètres!$A$1:$I$89,5,0)</f>
        <v>35.053199999999997</v>
      </c>
      <c r="CA15" s="13">
        <f t="shared" si="39"/>
        <v>10.677594770675379</v>
      </c>
      <c r="CB15" s="20">
        <f t="shared" si="10"/>
        <v>79.64780089225961</v>
      </c>
      <c r="CC15" s="59">
        <f t="shared" si="11"/>
        <v>372.98113422559294</v>
      </c>
      <c r="CD15" s="59">
        <f ca="1">AVERAGE(OFFSET($CC$3,0,0,'Données projet'!$E$12+1,1))-AVERAGE(OFFSET($H$3,0,0,'Données projet'!$E$12+1,1))</f>
        <v>210.04871822652808</v>
      </c>
      <c r="CE15" s="59">
        <f t="shared" si="40"/>
        <v>250.17540614049324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4.75</v>
      </c>
      <c r="CT15" s="12">
        <f>IF('Données projet'!$A$140&gt;35,CT14+CS15-DB14,IF(A15&lt;'Données projet'!$A$140,$CQ$205^A15,IF(A15='Données projet'!$A$140,'Données projet'!$B$140,CT14+CS15-DB14)))</f>
        <v>15.368594899018873</v>
      </c>
      <c r="CU15" s="17">
        <f>CT15*VLOOKUP('Données projet'!$B$13,Paramètres!$A$1:$I$89,3,0)*VLOOKUP('Données projet'!$B$13,Paramètres!$A$1:$I$89,5,0)</f>
        <v>12.227254101659417</v>
      </c>
      <c r="CV15" s="13">
        <f t="shared" si="41"/>
        <v>4.2103278436094334</v>
      </c>
      <c r="CW15" s="20">
        <f t="shared" si="13"/>
        <v>28.628788554676579</v>
      </c>
      <c r="CX15" s="59">
        <f t="shared" si="14"/>
        <v>321.9621218880099</v>
      </c>
      <c r="CY15" s="59">
        <f ca="1">AVERAGE(OFFSET($CX$3,0,0,'Données projet'!$E$13+1,1))-AVERAGE(OFFSET($H$3,0,0,'Données projet'!$E$13+1,1))</f>
        <v>199.58763537752952</v>
      </c>
      <c r="CZ15" s="59">
        <f t="shared" si="42"/>
        <v>242.62852778451929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4.55</v>
      </c>
      <c r="DO15" s="12">
        <f>IF('Données projet'!$A$166&gt;35,DO14+DN15-DW14,IF(A15&lt;'Données projet'!$A$166,$DL$205^A15,IF(A15='Données projet'!$A$166,'Données projet'!$B$166,DO14+DN15-DW14)))</f>
        <v>14.97700019320108</v>
      </c>
      <c r="DP15" s="17">
        <f>DO15*VLOOKUP('Données projet'!$B$14,Paramètres!$A$1:$I$89,3,0)*VLOOKUP('Données projet'!$B$14,Paramètres!$A$1:$I$89,5,0)</f>
        <v>8.9562461155342472</v>
      </c>
      <c r="DQ15" s="13">
        <f t="shared" si="43"/>
        <v>3.1977949739831653</v>
      </c>
      <c r="DR15" s="20">
        <f t="shared" si="16"/>
        <v>21.168288230909493</v>
      </c>
      <c r="DS15" s="59">
        <f t="shared" si="17"/>
        <v>314.50162156424278</v>
      </c>
      <c r="DT15" s="59">
        <f ca="1">AVERAGE(OFFSET($DS$3,0,0,'Données projet'!$E$14+1,1))-AVERAGE(OFFSET($H$3,0,0,'Données projet'!$E$14+1,1))</f>
        <v>216.94426559495264</v>
      </c>
      <c r="DU15" s="59">
        <f t="shared" si="44"/>
        <v>225.33715877618704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4.8</v>
      </c>
      <c r="EJ15" s="12">
        <f>IF('Données projet'!$A$192&gt;35,EJ14+EI15-ER14,IF(A15&lt;'Données projet'!$A$192,$EG$205^A15,IF(A15='Données projet'!$A$192,'Données projet'!$B$192,EJ14+EI15-ER14)))</f>
        <v>15.465456359454105</v>
      </c>
      <c r="EK15" s="17">
        <f>EJ15*VLOOKUP('Données projet'!$B$15,Paramètres!$A$1:$I$89,3,0)*VLOOKUP('Données projet'!$B$15,Paramètres!$A$1:$I$89,5,0)</f>
        <v>7.4388845088974245</v>
      </c>
      <c r="EL15" s="13">
        <f t="shared" si="45"/>
        <v>2.7140407948008654</v>
      </c>
      <c r="EM15" s="20">
        <f t="shared" si="19"/>
        <v>17.683011570607853</v>
      </c>
      <c r="EN15" s="59">
        <f t="shared" si="20"/>
        <v>311.01634490394116</v>
      </c>
      <c r="EO15" s="59">
        <f ca="1">AVERAGE(OFFSET($EN$3,0,0,'Données projet'!$E$15+1,1))-AVERAGE(OFFSET($H$3,0,0,'Données projet'!$E$15+1,1))</f>
        <v>292.1792787220852</v>
      </c>
      <c r="EP15" s="59">
        <f t="shared" si="46"/>
        <v>273.69206144662144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322.74288029609767</v>
      </c>
      <c r="S16" s="59">
        <f ca="1">AVERAGE(OFFSET($R$3,0,0,'Données projet'!$E$9+1,1))-AVERAGE(OFFSET($H$3,0,0,'Données projet'!$E$9+1,1))</f>
        <v>215.23235148064941</v>
      </c>
      <c r="T16" s="59">
        <f t="shared" si="34"/>
        <v>184.07239726900434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14.2</v>
      </c>
      <c r="AI16" s="13">
        <f>IF('Données projet'!$A$62&gt;35,AI15+AH16-AQ15,IF(A16&lt;'Données projet'!$A$62,$AF$205^A16,IF(A16='Données projet'!$A$62,'Données projet'!$B$62,AI15+AH16-AQ15)))</f>
        <v>113.60000000000001</v>
      </c>
      <c r="AJ16" s="13">
        <f>AI16*VLOOKUP('Données projet'!$B$10,Paramètres!$A$1:$I$89,3,0)*VLOOKUP('Données projet'!$B$10,Paramètres!$A$1:$I$89,5,0)</f>
        <v>102.78528000000001</v>
      </c>
      <c r="AK16" s="13">
        <f t="shared" si="35"/>
        <v>27.624487443976534</v>
      </c>
      <c r="AL16" s="20">
        <f t="shared" si="4"/>
        <v>227.1303449649258</v>
      </c>
      <c r="AM16" s="59">
        <f t="shared" si="5"/>
        <v>520.46367829825908</v>
      </c>
      <c r="AN16" s="59">
        <f ca="1">AVERAGE(OFFSET($AM$3,0,0,'Données projet'!$E$10+1,1))-AVERAGE(OFFSET($H$3,0,0,'Données projet'!$E$10+1,1))</f>
        <v>225.28075317732998</v>
      </c>
      <c r="AO16" s="59">
        <f t="shared" si="36"/>
        <v>358.43407531256207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3.5972295011644042</v>
      </c>
      <c r="AW16" s="21">
        <f>EXP(-LN(2)/2)*AW15+(1-EXP(-LN(2)/2))/(LN(2)/2)*AQ16*AT16*VLOOKUP('Données projet'!$B$10,Paramètres!$A$1:$I$89,3,0)*0.475*44/12</f>
        <v>3.2671623045169809</v>
      </c>
      <c r="AX16" s="21">
        <f t="shared" si="6"/>
        <v>6.8643918056813851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15</v>
      </c>
      <c r="BD16" s="12">
        <f>IF('Données projet'!$A$88&gt;35,BD15+BC16-BL15,IF(A16&lt;'Données projet'!$A$88,$BA$205^A16,IF(A16='Données projet'!$A$88,'Données projet'!$B$88,BD15+BC16-BL15)))</f>
        <v>57</v>
      </c>
      <c r="BE16" s="13">
        <f>BD16*VLOOKUP('Données projet'!$B$11,Paramètres!$A$1:$I$89,3,0)*VLOOKUP('Données projet'!$B$11,Paramètres!$A$1:$I$89,5,0)</f>
        <v>31.863</v>
      </c>
      <c r="BF16" s="13">
        <f t="shared" si="37"/>
        <v>9.8142283995824151</v>
      </c>
      <c r="BG16" s="20">
        <f t="shared" si="7"/>
        <v>72.587839462606041</v>
      </c>
      <c r="BH16" s="59">
        <f t="shared" si="8"/>
        <v>365.92117279593936</v>
      </c>
      <c r="BI16" s="59">
        <f ca="1">AVERAGE(OFFSET($BH$3,0,0,'Données projet'!$E$11+1,1))-AVERAGE(OFFSET($H$3,0,0,'Données projet'!$E$11+1,1))</f>
        <v>326.31232746914907</v>
      </c>
      <c r="BJ16" s="59">
        <f t="shared" si="38"/>
        <v>330.17137761430297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14.1</v>
      </c>
      <c r="BY16" s="12">
        <f>IF('Données projet'!$A$114&gt;35,BY15+BX16-CG15,IF(A16&lt;'Données projet'!$A$114,$BV$205^A16,IF(A16='Données projet'!$A$114,'Données projet'!$B$114,BY15+BX16-CG15)))</f>
        <v>78.3</v>
      </c>
      <c r="BZ16" s="13">
        <f>BY16*VLOOKUP('Données projet'!$B$12,Paramètres!$A$1:$I$89,3,0)*VLOOKUP('Données projet'!$B$12,Paramètres!$A$1:$I$89,5,0)</f>
        <v>42.751799999999996</v>
      </c>
      <c r="CA16" s="13">
        <f t="shared" si="39"/>
        <v>12.725163670396148</v>
      </c>
      <c r="CB16" s="20">
        <f t="shared" si="10"/>
        <v>96.622378392606606</v>
      </c>
      <c r="CC16" s="59">
        <f t="shared" si="11"/>
        <v>389.95571172593992</v>
      </c>
      <c r="CD16" s="59">
        <f ca="1">AVERAGE(OFFSET($CC$3,0,0,'Données projet'!$E$12+1,1))-AVERAGE(OFFSET($H$3,0,0,'Données projet'!$E$12+1,1))</f>
        <v>210.04871822652808</v>
      </c>
      <c r="CE16" s="59">
        <f t="shared" si="40"/>
        <v>250.17540614049324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4.75</v>
      </c>
      <c r="CT16" s="12">
        <f>IF('Données projet'!$A$140&gt;35,CT15+CS16-DB15,IF(A16&lt;'Données projet'!$A$140,$CQ$205^A16,IF(A16='Données projet'!$A$140,'Données projet'!$B$140,CT15+CS16-DB15)))</f>
        <v>19.298357323959845</v>
      </c>
      <c r="CU16" s="17">
        <f>CT16*VLOOKUP('Données projet'!$B$13,Paramètres!$A$1:$I$89,3,0)*VLOOKUP('Données projet'!$B$13,Paramètres!$A$1:$I$89,5,0)</f>
        <v>15.353773086942452</v>
      </c>
      <c r="CV16" s="13">
        <f t="shared" si="41"/>
        <v>5.1486307128581252</v>
      </c>
      <c r="CW16" s="20">
        <f t="shared" si="13"/>
        <v>35.708353284652667</v>
      </c>
      <c r="CX16" s="59">
        <f t="shared" si="14"/>
        <v>329.04168661798599</v>
      </c>
      <c r="CY16" s="59">
        <f ca="1">AVERAGE(OFFSET($CX$3,0,0,'Données projet'!$E$13+1,1))-AVERAGE(OFFSET($H$3,0,0,'Données projet'!$E$13+1,1))</f>
        <v>199.58763537752952</v>
      </c>
      <c r="CZ16" s="59">
        <f t="shared" si="42"/>
        <v>242.62852778451929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4.55</v>
      </c>
      <c r="DO16" s="12">
        <f>IF('Données projet'!$A$166&gt;35,DO15+DN16-DW15,IF(A16&lt;'Données projet'!$A$166,$DL$205^A16,IF(A16='Données projet'!$A$166,'Données projet'!$B$166,DO15+DN16-DW15)))</f>
        <v>18.766224393311244</v>
      </c>
      <c r="DP16" s="17">
        <f>DO16*VLOOKUP('Données projet'!$B$14,Paramètres!$A$1:$I$89,3,0)*VLOOKUP('Données projet'!$B$14,Paramètres!$A$1:$I$89,5,0)</f>
        <v>11.222202187200125</v>
      </c>
      <c r="DQ16" s="13">
        <f t="shared" si="43"/>
        <v>3.903022584605345</v>
      </c>
      <c r="DR16" s="20">
        <f t="shared" si="16"/>
        <v>26.343099810894525</v>
      </c>
      <c r="DS16" s="59">
        <f t="shared" si="17"/>
        <v>319.67643314422781</v>
      </c>
      <c r="DT16" s="59">
        <f ca="1">AVERAGE(OFFSET($DS$3,0,0,'Données projet'!$E$14+1,1))-AVERAGE(OFFSET($H$3,0,0,'Données projet'!$E$14+1,1))</f>
        <v>216.94426559495264</v>
      </c>
      <c r="DU16" s="59">
        <f t="shared" si="44"/>
        <v>225.33715877618704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4.8</v>
      </c>
      <c r="EJ16" s="12">
        <f>IF('Données projet'!$A$192&gt;35,EJ15+EI16-ER15,IF(A16&lt;'Données projet'!$A$192,$EG$205^A16,IF(A16='Données projet'!$A$192,'Données projet'!$B$192,EJ15+EI16-ER15)))</f>
        <v>19.430156627119288</v>
      </c>
      <c r="EK16" s="17">
        <f>EJ16*VLOOKUP('Données projet'!$B$15,Paramètres!$A$1:$I$89,3,0)*VLOOKUP('Données projet'!$B$15,Paramètres!$A$1:$I$89,5,0)</f>
        <v>9.3459053376443784</v>
      </c>
      <c r="EL16" s="13">
        <f t="shared" si="45"/>
        <v>3.3204207128716408</v>
      </c>
      <c r="EM16" s="20">
        <f t="shared" si="19"/>
        <v>22.060517871315398</v>
      </c>
      <c r="EN16" s="59">
        <f t="shared" si="20"/>
        <v>315.39385120464874</v>
      </c>
      <c r="EO16" s="59">
        <f ca="1">AVERAGE(OFFSET($EN$3,0,0,'Données projet'!$E$15+1,1))-AVERAGE(OFFSET($H$3,0,0,'Données projet'!$E$15+1,1))</f>
        <v>292.1792787220852</v>
      </c>
      <c r="EP16" s="59">
        <f t="shared" si="46"/>
        <v>273.69206144662144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330.93327083690383</v>
      </c>
      <c r="S17" s="59">
        <f ca="1">AVERAGE(OFFSET($R$3,0,0,'Données projet'!$E$9+1,1))-AVERAGE(OFFSET($H$3,0,0,'Données projet'!$E$9+1,1))</f>
        <v>215.23235148064941</v>
      </c>
      <c r="T17" s="59">
        <f t="shared" si="34"/>
        <v>184.07239726900434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14.2</v>
      </c>
      <c r="AI17" s="13">
        <f>IF('Données projet'!$A$62&gt;35,AI16+AH17-AQ16,IF(A17&lt;'Données projet'!$A$62,$AF$205^A17,IF(A17='Données projet'!$A$62,'Données projet'!$B$62,AI16+AH17-AQ16)))</f>
        <v>127.80000000000001</v>
      </c>
      <c r="AJ17" s="13">
        <f>AI17*VLOOKUP('Données projet'!$B$10,Paramètres!$A$1:$I$89,3,0)*VLOOKUP('Données projet'!$B$10,Paramètres!$A$1:$I$89,5,0)</f>
        <v>115.63343999999999</v>
      </c>
      <c r="AK17" s="13">
        <f t="shared" si="35"/>
        <v>30.654384291094836</v>
      </c>
      <c r="AL17" s="20">
        <f t="shared" si="4"/>
        <v>254.78462730699016</v>
      </c>
      <c r="AM17" s="59">
        <f t="shared" si="5"/>
        <v>548.11796064032342</v>
      </c>
      <c r="AN17" s="59">
        <f ca="1">AVERAGE(OFFSET($AM$3,0,0,'Données projet'!$E$10+1,1))-AVERAGE(OFFSET($H$3,0,0,'Données projet'!$E$10+1,1))</f>
        <v>225.28075317732998</v>
      </c>
      <c r="AO17" s="59">
        <f t="shared" si="36"/>
        <v>358.43407531256207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3.4988630712849855</v>
      </c>
      <c r="AW17" s="21">
        <f>EXP(-LN(2)/2)*AW16+(1-EXP(-LN(2)/2))/(LN(2)/2)*AQ17*AT17*VLOOKUP('Données projet'!$B$10,Paramètres!$A$1:$I$89,3,0)*0.475*44/12</f>
        <v>2.3102326207610253</v>
      </c>
      <c r="AX17" s="21">
        <f t="shared" si="6"/>
        <v>5.8090956920460108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15</v>
      </c>
      <c r="BD17" s="12">
        <f>IF('Données projet'!$A$88&gt;35,BD16+BC17-BL16,IF(A17&lt;'Données projet'!$A$88,$BA$205^A17,IF(A17='Données projet'!$A$88,'Données projet'!$B$88,BD16+BC17-BL16)))</f>
        <v>72</v>
      </c>
      <c r="BE17" s="13">
        <f>BD17*VLOOKUP('Données projet'!$B$11,Paramètres!$A$1:$I$89,3,0)*VLOOKUP('Données projet'!$B$11,Paramètres!$A$1:$I$89,5,0)</f>
        <v>40.248000000000005</v>
      </c>
      <c r="BF17" s="13">
        <f t="shared" si="37"/>
        <v>12.064355669675363</v>
      </c>
      <c r="BG17" s="20">
        <f t="shared" si="7"/>
        <v>91.110686124684605</v>
      </c>
      <c r="BH17" s="59">
        <f t="shared" si="8"/>
        <v>384.44401945801792</v>
      </c>
      <c r="BI17" s="59">
        <f ca="1">AVERAGE(OFFSET($BH$3,0,0,'Données projet'!$E$11+1,1))-AVERAGE(OFFSET($H$3,0,0,'Données projet'!$E$11+1,1))</f>
        <v>326.31232746914907</v>
      </c>
      <c r="BJ17" s="59">
        <f t="shared" si="38"/>
        <v>330.17137761430297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14.1</v>
      </c>
      <c r="BY17" s="12">
        <f>IF('Données projet'!$A$114&gt;35,BY16+BX17-CG16,IF(A17&lt;'Données projet'!$A$114,$BV$205^A17,IF(A17='Données projet'!$A$114,'Données projet'!$B$114,BY16+BX17-CG16)))</f>
        <v>92.399999999999991</v>
      </c>
      <c r="BZ17" s="13">
        <f>BY17*VLOOKUP('Données projet'!$B$12,Paramètres!$A$1:$I$89,3,0)*VLOOKUP('Données projet'!$B$12,Paramètres!$A$1:$I$89,5,0)</f>
        <v>50.450399999999995</v>
      </c>
      <c r="CA17" s="13">
        <f t="shared" si="39"/>
        <v>14.730016649594965</v>
      </c>
      <c r="CB17" s="20">
        <f t="shared" si="10"/>
        <v>113.52255899804454</v>
      </c>
      <c r="CC17" s="59">
        <f t="shared" si="11"/>
        <v>406.85589233137785</v>
      </c>
      <c r="CD17" s="59">
        <f ca="1">AVERAGE(OFFSET($CC$3,0,0,'Données projet'!$E$12+1,1))-AVERAGE(OFFSET($H$3,0,0,'Données projet'!$E$12+1,1))</f>
        <v>210.04871822652808</v>
      </c>
      <c r="CE17" s="59">
        <f t="shared" si="40"/>
        <v>250.17540614049324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4.75</v>
      </c>
      <c r="CT17" s="12">
        <f>IF('Données projet'!$A$140&gt;35,CT16+CS17-DB16,IF(A17&lt;'Données projet'!$A$140,$CQ$205^A17,IF(A17='Données projet'!$A$140,'Données projet'!$B$140,CT16+CS17-DB16)))</f>
        <v>24.232963250726986</v>
      </c>
      <c r="CU17" s="17">
        <f>CT17*VLOOKUP('Données projet'!$B$13,Paramètres!$A$1:$I$89,3,0)*VLOOKUP('Données projet'!$B$13,Paramètres!$A$1:$I$89,5,0)</f>
        <v>19.279745562278389</v>
      </c>
      <c r="CV17" s="13">
        <f t="shared" si="41"/>
        <v>6.2960413540292901</v>
      </c>
      <c r="CW17" s="20">
        <f t="shared" si="13"/>
        <v>44.544495545902528</v>
      </c>
      <c r="CX17" s="59">
        <f t="shared" si="14"/>
        <v>337.87782887923584</v>
      </c>
      <c r="CY17" s="59">
        <f ca="1">AVERAGE(OFFSET($CX$3,0,0,'Données projet'!$E$13+1,1))-AVERAGE(OFFSET($H$3,0,0,'Données projet'!$E$13+1,1))</f>
        <v>199.58763537752952</v>
      </c>
      <c r="CZ17" s="59">
        <f t="shared" si="42"/>
        <v>242.62852778451929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4.55</v>
      </c>
      <c r="DO17" s="12">
        <f>IF('Données projet'!$A$166&gt;35,DO16+DN17-DW16,IF(A17&lt;'Données projet'!$A$166,$DL$205^A17,IF(A17='Données projet'!$A$166,'Données projet'!$B$166,DO16+DN17-DW16)))</f>
        <v>23.514133233434862</v>
      </c>
      <c r="DP17" s="17">
        <f>DO17*VLOOKUP('Données projet'!$B$14,Paramètres!$A$1:$I$89,3,0)*VLOOKUP('Données projet'!$B$14,Paramètres!$A$1:$I$89,5,0)</f>
        <v>14.061451673594048</v>
      </c>
      <c r="DQ17" s="13">
        <f t="shared" si="43"/>
        <v>4.7637779844792423</v>
      </c>
      <c r="DR17" s="20">
        <f t="shared" si="16"/>
        <v>32.787274987810981</v>
      </c>
      <c r="DS17" s="59">
        <f t="shared" si="17"/>
        <v>326.12060832114429</v>
      </c>
      <c r="DT17" s="59">
        <f ca="1">AVERAGE(OFFSET($DS$3,0,0,'Données projet'!$E$14+1,1))-AVERAGE(OFFSET($H$3,0,0,'Données projet'!$E$14+1,1))</f>
        <v>216.94426559495264</v>
      </c>
      <c r="DU17" s="59">
        <f t="shared" si="44"/>
        <v>225.33715877618704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4.8</v>
      </c>
      <c r="EJ17" s="12">
        <f>IF('Données projet'!$A$192&gt;35,EJ16+EI17-ER16,IF(A17&lt;'Données projet'!$A$192,$EG$205^A17,IF(A17='Données projet'!$A$192,'Données projet'!$B$192,EJ16+EI17-ER16)))</f>
        <v>24.411241270846887</v>
      </c>
      <c r="EK17" s="17">
        <f>EJ17*VLOOKUP('Données projet'!$B$15,Paramètres!$A$1:$I$89,3,0)*VLOOKUP('Données projet'!$B$15,Paramètres!$A$1:$I$89,5,0)</f>
        <v>11.741807051277354</v>
      </c>
      <c r="EL17" s="13">
        <f t="shared" si="45"/>
        <v>4.0622800259993692</v>
      </c>
      <c r="EM17" s="20">
        <f t="shared" si="19"/>
        <v>27.525451659590289</v>
      </c>
      <c r="EN17" s="59">
        <f t="shared" si="20"/>
        <v>320.85878499292357</v>
      </c>
      <c r="EO17" s="59">
        <f ca="1">AVERAGE(OFFSET($EN$3,0,0,'Données projet'!$E$15+1,1))-AVERAGE(OFFSET($H$3,0,0,'Données projet'!$E$15+1,1))</f>
        <v>292.1792787220852</v>
      </c>
      <c r="EP17" s="59">
        <f t="shared" si="46"/>
        <v>273.69206144662144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341.41246294557129</v>
      </c>
      <c r="S18" s="59">
        <f ca="1">AVERAGE(OFFSET($R$3,0,0,'Données projet'!$E$9+1,1))-AVERAGE(OFFSET($H$3,0,0,'Données projet'!$E$9+1,1))</f>
        <v>215.23235148064941</v>
      </c>
      <c r="T18" s="59">
        <f t="shared" si="34"/>
        <v>184.07239726900434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142</v>
      </c>
      <c r="AG18" s="12">
        <f>VLOOKUP(A18,'Données projet'!$A$61:$I$81,9,0)</f>
        <v>14.2</v>
      </c>
      <c r="AH18" s="12">
        <f t="array" ref="AH18">INDEX(AG:AG,MIN(IF(ISNUMBER(AG18:AG214),ROW(AG18:AG214),"")))</f>
        <v>14.2</v>
      </c>
      <c r="AI18" s="13">
        <f>IF('Données projet'!$A$62&gt;35,AI17+AH18-AQ17,IF(A18&lt;'Données projet'!$A$62,$AF$205^A18,IF(A18='Données projet'!$A$62,'Données projet'!$B$62,AI17+AH18-AQ17)))</f>
        <v>142</v>
      </c>
      <c r="AJ18" s="13">
        <f>AI18*VLOOKUP('Données projet'!$B$10,Paramètres!$A$1:$I$89,3,0)*VLOOKUP('Données projet'!$B$10,Paramètres!$A$1:$I$89,5,0)</f>
        <v>128.48160000000001</v>
      </c>
      <c r="AK18" s="13">
        <f t="shared" si="35"/>
        <v>33.645262125937215</v>
      </c>
      <c r="AL18" s="20">
        <f t="shared" si="4"/>
        <v>282.37095153600734</v>
      </c>
      <c r="AM18" s="59">
        <f t="shared" si="5"/>
        <v>575.70428486934065</v>
      </c>
      <c r="AN18" s="59">
        <f ca="1">AVERAGE(OFFSET($AM$3,0,0,'Données projet'!$E$10+1,1))-AVERAGE(OFFSET($H$3,0,0,'Données projet'!$E$10+1,1))</f>
        <v>225.28075317732998</v>
      </c>
      <c r="AO18" s="59">
        <f t="shared" si="36"/>
        <v>358.43407531256207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28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7.4999999999999997E-2</v>
      </c>
      <c r="AT18" s="16">
        <f>IF(ISNA(VLOOKUP(A18,'Données projet'!$A$61:$I$81,7,0)),0%,VLOOKUP(A18,'Données projet'!$A$61:$I$81,7,0))</f>
        <v>0.25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5.4953982367410337</v>
      </c>
      <c r="AW18" s="21">
        <f>EXP(-LN(2)/2)*AW17+(1-EXP(-LN(2)/2))/(LN(2)/2)*AQ18*AT18*VLOOKUP('Données projet'!$B$10,Paramètres!$A$1:$I$89,3,0)*0.475*44/12</f>
        <v>7.6095032186031775</v>
      </c>
      <c r="AX18" s="21">
        <f t="shared" si="6"/>
        <v>13.104901455344212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15</v>
      </c>
      <c r="BD18" s="12">
        <f>IF('Données projet'!$A$88&gt;35,BD17+BC18-BL17,IF(A18&lt;'Données projet'!$A$88,$BA$205^A18,IF(A18='Données projet'!$A$88,'Données projet'!$B$88,BD17+BC18-BL17)))</f>
        <v>87</v>
      </c>
      <c r="BE18" s="13">
        <f>BD18*VLOOKUP('Données projet'!$B$11,Paramètres!$A$1:$I$89,3,0)*VLOOKUP('Données projet'!$B$11,Paramètres!$A$1:$I$89,5,0)</f>
        <v>48.632999999999996</v>
      </c>
      <c r="BF18" s="13">
        <f t="shared" si="37"/>
        <v>14.260158409918978</v>
      </c>
      <c r="BG18" s="20">
        <f t="shared" si="7"/>
        <v>109.53891756394221</v>
      </c>
      <c r="BH18" s="59">
        <f t="shared" si="8"/>
        <v>402.87225089727553</v>
      </c>
      <c r="BI18" s="59">
        <f ca="1">AVERAGE(OFFSET($BH$3,0,0,'Données projet'!$E$11+1,1))-AVERAGE(OFFSET($H$3,0,0,'Données projet'!$E$11+1,1))</f>
        <v>326.31232746914907</v>
      </c>
      <c r="BJ18" s="59">
        <f t="shared" si="38"/>
        <v>330.17137761430297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14.1</v>
      </c>
      <c r="BY18" s="12">
        <f>IF('Données projet'!$A$114&gt;35,BY17+BX18-CG17,IF(A18&lt;'Données projet'!$A$114,$BV$205^A18,IF(A18='Données projet'!$A$114,'Données projet'!$B$114,BY17+BX18-CG17)))</f>
        <v>106.49999999999999</v>
      </c>
      <c r="BZ18" s="13">
        <f>BY18*VLOOKUP('Données projet'!$B$12,Paramètres!$A$1:$I$89,3,0)*VLOOKUP('Données projet'!$B$12,Paramètres!$A$1:$I$89,5,0)</f>
        <v>58.148999999999987</v>
      </c>
      <c r="CA18" s="13">
        <f t="shared" si="39"/>
        <v>16.699428066773574</v>
      </c>
      <c r="CB18" s="20">
        <f t="shared" si="10"/>
        <v>130.36101221629727</v>
      </c>
      <c r="CC18" s="59">
        <f t="shared" si="11"/>
        <v>423.69434554963061</v>
      </c>
      <c r="CD18" s="59">
        <f ca="1">AVERAGE(OFFSET($CC$3,0,0,'Données projet'!$E$12+1,1))-AVERAGE(OFFSET($H$3,0,0,'Données projet'!$E$12+1,1))</f>
        <v>210.04871822652808</v>
      </c>
      <c r="CE18" s="59">
        <f t="shared" si="40"/>
        <v>250.17540614049324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4.75</v>
      </c>
      <c r="CT18" s="12">
        <f>IF('Données projet'!$A$140&gt;35,CT17+CS18-DB17,IF(A18&lt;'Données projet'!$A$140,$CQ$205^A18,IF(A18='Données projet'!$A$140,'Données projet'!$B$140,CT17+CS18-DB17)))</f>
        <v>30.429351993705815</v>
      </c>
      <c r="CU18" s="17">
        <f>CT18*VLOOKUP('Données projet'!$B$13,Paramètres!$A$1:$I$89,3,0)*VLOOKUP('Données projet'!$B$13,Paramètres!$A$1:$I$89,5,0)</f>
        <v>24.209592446192346</v>
      </c>
      <c r="CV18" s="13">
        <f t="shared" si="41"/>
        <v>7.6991609890859385</v>
      </c>
      <c r="CW18" s="20">
        <f t="shared" si="13"/>
        <v>55.574412233109683</v>
      </c>
      <c r="CX18" s="59">
        <f t="shared" si="14"/>
        <v>348.907745566443</v>
      </c>
      <c r="CY18" s="59">
        <f ca="1">AVERAGE(OFFSET($CX$3,0,0,'Données projet'!$E$13+1,1))-AVERAGE(OFFSET($H$3,0,0,'Données projet'!$E$13+1,1))</f>
        <v>199.58763537752952</v>
      </c>
      <c r="CZ18" s="59">
        <f t="shared" si="42"/>
        <v>242.62852778451929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4.55</v>
      </c>
      <c r="DO18" s="12">
        <f>IF('Données projet'!$A$166&gt;35,DO17+DN18-DW17,IF(A18&lt;'Données projet'!$A$166,$DL$205^A18,IF(A18='Données projet'!$A$166,'Données projet'!$B$166,DO17+DN18-DW17)))</f>
        <v>29.463276689625356</v>
      </c>
      <c r="DP18" s="17">
        <f>DO18*VLOOKUP('Données projet'!$B$14,Paramètres!$A$1:$I$89,3,0)*VLOOKUP('Données projet'!$B$14,Paramètres!$A$1:$I$89,5,0)</f>
        <v>17.619039460395964</v>
      </c>
      <c r="DQ18" s="13">
        <f t="shared" si="43"/>
        <v>5.8143605868229411</v>
      </c>
      <c r="DR18" s="20">
        <f t="shared" si="16"/>
        <v>40.81317174890625</v>
      </c>
      <c r="DS18" s="59">
        <f t="shared" si="17"/>
        <v>334.14650508223957</v>
      </c>
      <c r="DT18" s="59">
        <f ca="1">AVERAGE(OFFSET($DS$3,0,0,'Données projet'!$E$14+1,1))-AVERAGE(OFFSET($H$3,0,0,'Données projet'!$E$14+1,1))</f>
        <v>216.94426559495264</v>
      </c>
      <c r="DU18" s="59">
        <f t="shared" si="44"/>
        <v>225.33715877618704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4.8</v>
      </c>
      <c r="EJ18" s="12">
        <f>IF('Données projet'!$A$192&gt;35,EJ17+EI18-ER17,IF(A18&lt;'Données projet'!$A$192,$EG$205^A18,IF(A18='Données projet'!$A$192,'Données projet'!$B$192,EJ17+EI18-ER17)))</f>
        <v>30.669269003821089</v>
      </c>
      <c r="EK18" s="17">
        <f>EJ18*VLOOKUP('Données projet'!$B$15,Paramètres!$A$1:$I$89,3,0)*VLOOKUP('Données projet'!$B$15,Paramètres!$A$1:$I$89,5,0)</f>
        <v>14.751918390837945</v>
      </c>
      <c r="EL18" s="13">
        <f t="shared" si="45"/>
        <v>4.9698879860804466</v>
      </c>
      <c r="EM18" s="20">
        <f t="shared" si="19"/>
        <v>34.348812773132863</v>
      </c>
      <c r="EN18" s="59">
        <f t="shared" si="20"/>
        <v>327.68214610646618</v>
      </c>
      <c r="EO18" s="59">
        <f ca="1">AVERAGE(OFFSET($EN$3,0,0,'Données projet'!$E$15+1,1))-AVERAGE(OFFSET($H$3,0,0,'Données projet'!$E$15+1,1))</f>
        <v>292.1792787220852</v>
      </c>
      <c r="EP18" s="59">
        <f t="shared" si="46"/>
        <v>273.69206144662144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354.82208993415543</v>
      </c>
      <c r="S19" s="59">
        <f ca="1">AVERAGE(OFFSET($R$3,0,0,'Données projet'!$E$9+1,1))-AVERAGE(OFFSET($H$3,0,0,'Données projet'!$E$9+1,1))</f>
        <v>215.23235148064941</v>
      </c>
      <c r="T19" s="59">
        <f t="shared" si="34"/>
        <v>184.07239726900434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11.2</v>
      </c>
      <c r="AI19" s="13">
        <f>IF('Données projet'!$A$62&gt;35,AI18+AH19-AQ18,IF(A19&lt;'Données projet'!$A$62,$AF$205^A19,IF(A19='Données projet'!$A$62,'Données projet'!$B$62,AI18+AH19-AQ18)))</f>
        <v>125.19999999999999</v>
      </c>
      <c r="AJ19" s="13">
        <f>AI19*VLOOKUP('Données projet'!$B$10,Paramètres!$A$1:$I$89,3,0)*VLOOKUP('Données projet'!$B$10,Paramètres!$A$1:$I$89,5,0)</f>
        <v>113.28095999999998</v>
      </c>
      <c r="AK19" s="13">
        <f t="shared" si="35"/>
        <v>30.102677097724456</v>
      </c>
      <c r="AL19" s="20">
        <f t="shared" si="4"/>
        <v>249.72650127853672</v>
      </c>
      <c r="AM19" s="59">
        <f t="shared" si="5"/>
        <v>543.05983461186997</v>
      </c>
      <c r="AN19" s="59">
        <f ca="1">AVERAGE(OFFSET($AM$3,0,0,'Données projet'!$E$10+1,1))-AVERAGE(OFFSET($H$3,0,0,'Données projet'!$E$10+1,1))</f>
        <v>225.28075317732998</v>
      </c>
      <c r="AO19" s="59">
        <f t="shared" si="36"/>
        <v>358.43407531256207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5.3451262829669171</v>
      </c>
      <c r="AW19" s="21">
        <f>EXP(-LN(2)/2)*AW18+(1-EXP(-LN(2)/2))/(LN(2)/2)*AQ19*AT19*VLOOKUP('Données projet'!$B$10,Paramètres!$A$1:$I$89,3,0)*0.475*44/12</f>
        <v>5.3807313273351669</v>
      </c>
      <c r="AX19" s="21">
        <f t="shared" si="6"/>
        <v>10.725857610302084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15</v>
      </c>
      <c r="BD19" s="12">
        <f>IF('Données projet'!$A$88&gt;35,BD18+BC19-BL18,IF(A19&lt;'Données projet'!$A$88,$BA$205^A19,IF(A19='Données projet'!$A$88,'Données projet'!$B$88,BD18+BC19-BL18)))</f>
        <v>102</v>
      </c>
      <c r="BE19" s="13">
        <f>BD19*VLOOKUP('Données projet'!$B$11,Paramètres!$A$1:$I$89,3,0)*VLOOKUP('Données projet'!$B$11,Paramètres!$A$1:$I$89,5,0)</f>
        <v>57.018000000000001</v>
      </c>
      <c r="BF19" s="13">
        <f t="shared" si="37"/>
        <v>16.412103612717626</v>
      </c>
      <c r="BG19" s="20">
        <f t="shared" si="7"/>
        <v>127.89076379214985</v>
      </c>
      <c r="BH19" s="59">
        <f t="shared" si="8"/>
        <v>421.22409712548318</v>
      </c>
      <c r="BI19" s="59">
        <f ca="1">AVERAGE(OFFSET($BH$3,0,0,'Données projet'!$E$11+1,1))-AVERAGE(OFFSET($H$3,0,0,'Données projet'!$E$11+1,1))</f>
        <v>326.31232746914907</v>
      </c>
      <c r="BJ19" s="59">
        <f t="shared" si="38"/>
        <v>330.17137761430297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14.1</v>
      </c>
      <c r="BY19" s="12">
        <f>IF('Données projet'!$A$114&gt;35,BY18+BX19-CG18,IF(A19&lt;'Données projet'!$A$114,$BV$205^A19,IF(A19='Données projet'!$A$114,'Données projet'!$B$114,BY18+BX19-CG18)))</f>
        <v>120.59999999999998</v>
      </c>
      <c r="BZ19" s="13">
        <f>BY19*VLOOKUP('Données projet'!$B$12,Paramètres!$A$1:$I$89,3,0)*VLOOKUP('Données projet'!$B$12,Paramètres!$A$1:$I$89,5,0)</f>
        <v>65.847599999999986</v>
      </c>
      <c r="CA19" s="13">
        <f t="shared" si="39"/>
        <v>18.63862905611526</v>
      </c>
      <c r="CB19" s="20">
        <f t="shared" si="10"/>
        <v>147.14684893940071</v>
      </c>
      <c r="CC19" s="59">
        <f t="shared" si="11"/>
        <v>440.48018227273406</v>
      </c>
      <c r="CD19" s="59">
        <f ca="1">AVERAGE(OFFSET($CC$3,0,0,'Données projet'!$E$12+1,1))-AVERAGE(OFFSET($H$3,0,0,'Données projet'!$E$12+1,1))</f>
        <v>210.04871822652808</v>
      </c>
      <c r="CE19" s="59">
        <f t="shared" si="40"/>
        <v>250.17540614049324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4.75</v>
      </c>
      <c r="CT19" s="12">
        <f>IF('Données projet'!$A$140&gt;35,CT18+CS19-DB18,IF(A19&lt;'Données projet'!$A$140,$CQ$205^A19,IF(A19='Données projet'!$A$140,'Données projet'!$B$140,CT18+CS19-DB18)))</f>
        <v>38.21016246244956</v>
      </c>
      <c r="CU19" s="17">
        <f>CT19*VLOOKUP('Données projet'!$B$13,Paramètres!$A$1:$I$89,3,0)*VLOOKUP('Données projet'!$B$13,Paramètres!$A$1:$I$89,5,0)</f>
        <v>30.400005255124871</v>
      </c>
      <c r="CV19" s="13">
        <f t="shared" si="41"/>
        <v>9.4149762688466279</v>
      </c>
      <c r="CW19" s="20">
        <f t="shared" si="13"/>
        <v>69.344426154250357</v>
      </c>
      <c r="CX19" s="59">
        <f t="shared" si="14"/>
        <v>362.67775948758367</v>
      </c>
      <c r="CY19" s="59">
        <f ca="1">AVERAGE(OFFSET($CX$3,0,0,'Données projet'!$E$13+1,1))-AVERAGE(OFFSET($H$3,0,0,'Données projet'!$E$13+1,1))</f>
        <v>199.58763537752952</v>
      </c>
      <c r="CZ19" s="59">
        <f t="shared" si="42"/>
        <v>242.62852778451929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4.55</v>
      </c>
      <c r="DO19" s="12">
        <f>IF('Données projet'!$A$166&gt;35,DO18+DN19-DW18,IF(A19&lt;'Données projet'!$A$166,$DL$205^A19,IF(A19='Données projet'!$A$166,'Données projet'!$B$166,DO18+DN19-DW18)))</f>
        <v>36.917570580704506</v>
      </c>
      <c r="DP19" s="17">
        <f>DO19*VLOOKUP('Données projet'!$B$14,Paramètres!$A$1:$I$89,3,0)*VLOOKUP('Données projet'!$B$14,Paramètres!$A$1:$I$89,5,0)</f>
        <v>22.076707207261297</v>
      </c>
      <c r="DQ19" s="13">
        <f t="shared" si="43"/>
        <v>7.0966340462853541</v>
      </c>
      <c r="DR19" s="20">
        <f t="shared" si="16"/>
        <v>50.810236016593741</v>
      </c>
      <c r="DS19" s="59">
        <f t="shared" si="17"/>
        <v>344.14356934992708</v>
      </c>
      <c r="DT19" s="59">
        <f ca="1">AVERAGE(OFFSET($DS$3,0,0,'Données projet'!$E$14+1,1))-AVERAGE(OFFSET($H$3,0,0,'Données projet'!$E$14+1,1))</f>
        <v>216.94426559495264</v>
      </c>
      <c r="DU19" s="59">
        <f t="shared" si="44"/>
        <v>225.33715877618704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4.8</v>
      </c>
      <c r="EJ19" s="12">
        <f>IF('Données projet'!$A$192&gt;35,EJ18+EI19-ER18,IF(A19&lt;'Données projet'!$A$192,$EG$205^A19,IF(A19='Données projet'!$A$192,'Données projet'!$B$192,EJ18+EI19-ER18)))</f>
        <v>38.531594964491077</v>
      </c>
      <c r="EK19" s="17">
        <f>EJ19*VLOOKUP('Données projet'!$B$15,Paramètres!$A$1:$I$89,3,0)*VLOOKUP('Données projet'!$B$15,Paramètres!$A$1:$I$89,5,0)</f>
        <v>18.533697177920207</v>
      </c>
      <c r="EL19" s="13">
        <f t="shared" si="45"/>
        <v>6.0802767007944762</v>
      </c>
      <c r="EM19" s="20">
        <f t="shared" si="19"/>
        <v>42.869337838761396</v>
      </c>
      <c r="EN19" s="59">
        <f t="shared" si="20"/>
        <v>336.20267117209471</v>
      </c>
      <c r="EO19" s="59">
        <f ca="1">AVERAGE(OFFSET($EN$3,0,0,'Données projet'!$E$15+1,1))-AVERAGE(OFFSET($H$3,0,0,'Données projet'!$E$15+1,1))</f>
        <v>292.1792787220852</v>
      </c>
      <c r="EP19" s="59">
        <f t="shared" si="46"/>
        <v>273.69206144662144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371.98418210076898</v>
      </c>
      <c r="S20" s="59">
        <f ca="1">AVERAGE(OFFSET($R$3,0,0,'Données projet'!$E$9+1,1))-AVERAGE(OFFSET($H$3,0,0,'Données projet'!$E$9+1,1))</f>
        <v>215.23235148064941</v>
      </c>
      <c r="T20" s="59">
        <f t="shared" si="34"/>
        <v>184.07239726900434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11.2</v>
      </c>
      <c r="AI20" s="13">
        <f>IF('Données projet'!$A$62&gt;35,AI19+AH20-AQ19,IF(A20&lt;'Données projet'!$A$62,$AF$205^A20,IF(A20='Données projet'!$A$62,'Données projet'!$B$62,AI19+AH20-AQ19)))</f>
        <v>136.39999999999998</v>
      </c>
      <c r="AJ20" s="13">
        <f>AI20*VLOOKUP('Données projet'!$B$10,Paramètres!$A$1:$I$89,3,0)*VLOOKUP('Données projet'!$B$10,Paramètres!$A$1:$I$89,5,0)</f>
        <v>123.41471999999997</v>
      </c>
      <c r="AK20" s="13">
        <f t="shared" si="35"/>
        <v>32.470121424237341</v>
      </c>
      <c r="AL20" s="20">
        <f t="shared" si="4"/>
        <v>271.49943214721333</v>
      </c>
      <c r="AM20" s="59">
        <f t="shared" si="5"/>
        <v>564.83276548054664</v>
      </c>
      <c r="AN20" s="59">
        <f ca="1">AVERAGE(OFFSET($AM$3,0,0,'Données projet'!$E$10+1,1))-AVERAGE(OFFSET($H$3,0,0,'Données projet'!$E$10+1,1))</f>
        <v>225.28075317732998</v>
      </c>
      <c r="AO20" s="59">
        <f t="shared" si="36"/>
        <v>358.43407531256207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5.1989635236712122</v>
      </c>
      <c r="AW20" s="21">
        <f>EXP(-LN(2)/2)*AW19+(1-EXP(-LN(2)/2))/(LN(2)/2)*AQ20*AT20*VLOOKUP('Données projet'!$B$10,Paramètres!$A$1:$I$89,3,0)*0.475*44/12</f>
        <v>3.8047516093015896</v>
      </c>
      <c r="AX20" s="21">
        <f t="shared" si="6"/>
        <v>9.0037151329728022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15</v>
      </c>
      <c r="BD20" s="12">
        <f>IF('Données projet'!$A$88&gt;35,BD19+BC20-BL19,IF(A20&lt;'Données projet'!$A$88,$BA$205^A20,IF(A20='Données projet'!$A$88,'Données projet'!$B$88,BD19+BC20-BL19)))</f>
        <v>117</v>
      </c>
      <c r="BE20" s="13">
        <f>BD20*VLOOKUP('Données projet'!$B$11,Paramètres!$A$1:$I$89,3,0)*VLOOKUP('Données projet'!$B$11,Paramètres!$A$1:$I$89,5,0)</f>
        <v>65.403000000000006</v>
      </c>
      <c r="BF20" s="13">
        <f t="shared" si="37"/>
        <v>18.527386684584471</v>
      </c>
      <c r="BG20" s="20">
        <f t="shared" si="7"/>
        <v>146.17875680898462</v>
      </c>
      <c r="BH20" s="59">
        <f t="shared" si="8"/>
        <v>439.5120901423179</v>
      </c>
      <c r="BI20" s="59">
        <f ca="1">AVERAGE(OFFSET($BH$3,0,0,'Données projet'!$E$11+1,1))-AVERAGE(OFFSET($H$3,0,0,'Données projet'!$E$11+1,1))</f>
        <v>326.31232746914907</v>
      </c>
      <c r="BJ20" s="59">
        <f t="shared" si="38"/>
        <v>330.17137761430297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14.1</v>
      </c>
      <c r="BY20" s="12">
        <f>IF('Données projet'!$A$114&gt;35,BY19+BX20-CG19,IF(A20&lt;'Données projet'!$A$114,$BV$205^A20,IF(A20='Données projet'!$A$114,'Données projet'!$B$114,BY19+BX20-CG19)))</f>
        <v>134.69999999999999</v>
      </c>
      <c r="BZ20" s="13">
        <f>BY20*VLOOKUP('Données projet'!$B$12,Paramètres!$A$1:$I$89,3,0)*VLOOKUP('Données projet'!$B$12,Paramètres!$A$1:$I$89,5,0)</f>
        <v>73.546199999999985</v>
      </c>
      <c r="CA20" s="13">
        <f t="shared" si="39"/>
        <v>20.551555184696866</v>
      </c>
      <c r="CB20" s="20">
        <f t="shared" si="10"/>
        <v>163.88692361334699</v>
      </c>
      <c r="CC20" s="59">
        <f t="shared" si="11"/>
        <v>457.22025694668031</v>
      </c>
      <c r="CD20" s="59">
        <f ca="1">AVERAGE(OFFSET($CC$3,0,0,'Données projet'!$E$12+1,1))-AVERAGE(OFFSET($H$3,0,0,'Données projet'!$E$12+1,1))</f>
        <v>210.04871822652808</v>
      </c>
      <c r="CE20" s="59">
        <f t="shared" si="40"/>
        <v>250.17540614049324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4.75</v>
      </c>
      <c r="CT20" s="12">
        <f>IF('Données projet'!$A$140&gt;35,CT19+CS20-DB19,IF(A20&lt;'Données projet'!$A$140,$CQ$205^A20,IF(A20='Données projet'!$A$140,'Données projet'!$B$140,CT19+CS20-DB19)))</f>
        <v>47.980532602494719</v>
      </c>
      <c r="CU20" s="17">
        <f>CT20*VLOOKUP('Données projet'!$B$13,Paramètres!$A$1:$I$89,3,0)*VLOOKUP('Données projet'!$B$13,Paramètres!$A$1:$I$89,5,0)</f>
        <v>38.173311738544804</v>
      </c>
      <c r="CV20" s="13">
        <f t="shared" si="41"/>
        <v>11.513173743035207</v>
      </c>
      <c r="CW20" s="20">
        <f t="shared" si="13"/>
        <v>86.537295547085179</v>
      </c>
      <c r="CX20" s="59">
        <f t="shared" si="14"/>
        <v>379.87062888041851</v>
      </c>
      <c r="CY20" s="59">
        <f ca="1">AVERAGE(OFFSET($CX$3,0,0,'Données projet'!$E$13+1,1))-AVERAGE(OFFSET($H$3,0,0,'Données projet'!$E$13+1,1))</f>
        <v>199.58763537752952</v>
      </c>
      <c r="CZ20" s="59">
        <f t="shared" si="42"/>
        <v>242.62852778451929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4.55</v>
      </c>
      <c r="DO20" s="12">
        <f>IF('Données projet'!$A$166&gt;35,DO19+DN20-DW19,IF(A20&lt;'Données projet'!$A$166,$DL$205^A20,IF(A20='Données projet'!$A$166,'Données projet'!$B$166,DO19+DN20-DW19)))</f>
        <v>46.257822303288052</v>
      </c>
      <c r="DP20" s="17">
        <f>DO20*VLOOKUP('Données projet'!$B$14,Paramètres!$A$1:$I$89,3,0)*VLOOKUP('Données projet'!$B$14,Paramètres!$A$1:$I$89,5,0)</f>
        <v>27.66217773736626</v>
      </c>
      <c r="DQ20" s="13">
        <f t="shared" si="43"/>
        <v>8.6616944434151719</v>
      </c>
      <c r="DR20" s="20">
        <f t="shared" si="16"/>
        <v>63.264077381527663</v>
      </c>
      <c r="DS20" s="59">
        <f t="shared" si="17"/>
        <v>356.59741071486098</v>
      </c>
      <c r="DT20" s="59">
        <f ca="1">AVERAGE(OFFSET($DS$3,0,0,'Données projet'!$E$14+1,1))-AVERAGE(OFFSET($H$3,0,0,'Données projet'!$E$14+1,1))</f>
        <v>216.94426559495264</v>
      </c>
      <c r="DU20" s="59">
        <f t="shared" si="44"/>
        <v>225.33715877618704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4.8</v>
      </c>
      <c r="EJ20" s="12">
        <f>IF('Données projet'!$A$192&gt;35,EJ19+EI20-ER19,IF(A20&lt;'Données projet'!$A$192,$EG$205^A20,IF(A20='Données projet'!$A$192,'Données projet'!$B$192,EJ19+EI20-ER19)))</f>
        <v>48.409494543955958</v>
      </c>
      <c r="EK20" s="17">
        <f>EJ20*VLOOKUP('Données projet'!$B$15,Paramètres!$A$1:$I$89,3,0)*VLOOKUP('Données projet'!$B$15,Paramètres!$A$1:$I$89,5,0)</f>
        <v>23.284966875642816</v>
      </c>
      <c r="EL20" s="13">
        <f t="shared" si="45"/>
        <v>7.4387521130794694</v>
      </c>
      <c r="EM20" s="20">
        <f t="shared" si="19"/>
        <v>53.510477238691315</v>
      </c>
      <c r="EN20" s="59">
        <f t="shared" si="20"/>
        <v>346.84381057202461</v>
      </c>
      <c r="EO20" s="59">
        <f ca="1">AVERAGE(OFFSET($EN$3,0,0,'Données projet'!$E$15+1,1))-AVERAGE(OFFSET($H$3,0,0,'Données projet'!$E$15+1,1))</f>
        <v>292.1792787220852</v>
      </c>
      <c r="EP20" s="59">
        <f t="shared" si="46"/>
        <v>273.69206144662144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393.95202082891387</v>
      </c>
      <c r="S21" s="59">
        <f ca="1">AVERAGE(OFFSET($R$3,0,0,'Données projet'!$E$9+1,1))-AVERAGE(OFFSET($H$3,0,0,'Données projet'!$E$9+1,1))</f>
        <v>215.23235148064941</v>
      </c>
      <c r="T21" s="59">
        <f t="shared" si="34"/>
        <v>184.07239726900434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11.2</v>
      </c>
      <c r="AI21" s="13">
        <f>IF('Données projet'!$A$62&gt;35,AI20+AH21-AQ20,IF(A21&lt;'Données projet'!$A$62,$AF$205^A21,IF(A21='Données projet'!$A$62,'Données projet'!$B$62,AI20+AH21-AQ20)))</f>
        <v>147.59999999999997</v>
      </c>
      <c r="AJ21" s="13">
        <f>AI21*VLOOKUP('Données projet'!$B$10,Paramètres!$A$1:$I$89,3,0)*VLOOKUP('Données projet'!$B$10,Paramètres!$A$1:$I$89,5,0)</f>
        <v>133.54847999999996</v>
      </c>
      <c r="AK21" s="13">
        <f t="shared" si="35"/>
        <v>34.81501932379426</v>
      </c>
      <c r="AL21" s="20">
        <f t="shared" si="4"/>
        <v>293.23309465560823</v>
      </c>
      <c r="AM21" s="59">
        <f t="shared" si="5"/>
        <v>586.56642798894154</v>
      </c>
      <c r="AN21" s="59">
        <f ca="1">AVERAGE(OFFSET($AM$3,0,0,'Données projet'!$E$10+1,1))-AVERAGE(OFFSET($H$3,0,0,'Données projet'!$E$10+1,1))</f>
        <v>225.28075317732998</v>
      </c>
      <c r="AO21" s="59">
        <f t="shared" si="36"/>
        <v>358.43407531256207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5.0567975927148137</v>
      </c>
      <c r="AW21" s="21">
        <f>EXP(-LN(2)/2)*AW20+(1-EXP(-LN(2)/2))/(LN(2)/2)*AQ21*AT21*VLOOKUP('Données projet'!$B$10,Paramètres!$A$1:$I$89,3,0)*0.475*44/12</f>
        <v>2.6903656636675839</v>
      </c>
      <c r="AX21" s="21">
        <f t="shared" si="6"/>
        <v>7.7471632563823976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15</v>
      </c>
      <c r="BD21" s="12">
        <f>IF('Données projet'!$A$88&gt;35,BD20+BC21-BL20,IF(A21&lt;'Données projet'!$A$88,$BA$205^A21,IF(A21='Données projet'!$A$88,'Données projet'!$B$88,BD20+BC21-BL20)))</f>
        <v>132</v>
      </c>
      <c r="BE21" s="13">
        <f>BD21*VLOOKUP('Données projet'!$B$11,Paramètres!$A$1:$I$89,3,0)*VLOOKUP('Données projet'!$B$11,Paramètres!$A$1:$I$89,5,0)</f>
        <v>73.787999999999997</v>
      </c>
      <c r="BF21" s="13">
        <f t="shared" si="37"/>
        <v>20.611246816293939</v>
      </c>
      <c r="BG21" s="20">
        <f t="shared" si="7"/>
        <v>164.41202153837858</v>
      </c>
      <c r="BH21" s="59">
        <f t="shared" si="8"/>
        <v>457.74535487171192</v>
      </c>
      <c r="BI21" s="59">
        <f ca="1">AVERAGE(OFFSET($BH$3,0,0,'Données projet'!$E$11+1,1))-AVERAGE(OFFSET($H$3,0,0,'Données projet'!$E$11+1,1))</f>
        <v>326.31232746914907</v>
      </c>
      <c r="BJ21" s="59">
        <f t="shared" si="38"/>
        <v>330.17137761430297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14.1</v>
      </c>
      <c r="BY21" s="12">
        <f>IF('Données projet'!$A$114&gt;35,BY20+BX21-CG20,IF(A21&lt;'Données projet'!$A$114,$BV$205^A21,IF(A21='Données projet'!$A$114,'Données projet'!$B$114,BY20+BX21-CG20)))</f>
        <v>148.79999999999998</v>
      </c>
      <c r="BZ21" s="13">
        <f>BY21*VLOOKUP('Données projet'!$B$12,Paramètres!$A$1:$I$89,3,0)*VLOOKUP('Données projet'!$B$12,Paramètres!$A$1:$I$89,5,0)</f>
        <v>81.244799999999984</v>
      </c>
      <c r="CA21" s="13">
        <f t="shared" si="39"/>
        <v>22.441270156928962</v>
      </c>
      <c r="CB21" s="20">
        <f t="shared" si="10"/>
        <v>180.58657218998459</v>
      </c>
      <c r="CC21" s="59">
        <f t="shared" si="11"/>
        <v>473.91990552331788</v>
      </c>
      <c r="CD21" s="59">
        <f ca="1">AVERAGE(OFFSET($CC$3,0,0,'Données projet'!$E$12+1,1))-AVERAGE(OFFSET($H$3,0,0,'Données projet'!$E$12+1,1))</f>
        <v>210.04871822652808</v>
      </c>
      <c r="CE21" s="59">
        <f t="shared" si="40"/>
        <v>250.17540614049324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4.75</v>
      </c>
      <c r="CT21" s="12">
        <f>IF('Données projet'!$A$140&gt;35,CT20+CS21-DB20,IF(A21&lt;'Données projet'!$A$140,$CQ$205^A21,IF(A21='Données projet'!$A$140,'Données projet'!$B$140,CT20+CS21-DB20)))</f>
        <v>60.249194467085609</v>
      </c>
      <c r="CU21" s="17">
        <f>CT21*VLOOKUP('Données projet'!$B$13,Paramètres!$A$1:$I$89,3,0)*VLOOKUP('Données projet'!$B$13,Paramètres!$A$1:$I$89,5,0)</f>
        <v>47.934259118013308</v>
      </c>
      <c r="CV21" s="13">
        <f t="shared" si="41"/>
        <v>14.078970127192205</v>
      </c>
      <c r="CW21" s="20">
        <f t="shared" si="13"/>
        <v>108.00637426873294</v>
      </c>
      <c r="CX21" s="59">
        <f t="shared" si="14"/>
        <v>401.33970760206626</v>
      </c>
      <c r="CY21" s="59">
        <f ca="1">AVERAGE(OFFSET($CX$3,0,0,'Données projet'!$E$13+1,1))-AVERAGE(OFFSET($H$3,0,0,'Données projet'!$E$13+1,1))</f>
        <v>199.58763537752952</v>
      </c>
      <c r="CZ21" s="59">
        <f t="shared" si="42"/>
        <v>242.62852778451929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4.55</v>
      </c>
      <c r="DO21" s="12">
        <f>IF('Données projet'!$A$166&gt;35,DO20+DN21-DW20,IF(A21&lt;'Données projet'!$A$166,$DL$205^A21,IF(A21='Données projet'!$A$166,'Données projet'!$B$166,DO20+DN21-DW20)))</f>
        <v>57.961184622505009</v>
      </c>
      <c r="DP21" s="17">
        <f>DO21*VLOOKUP('Données projet'!$B$14,Paramètres!$A$1:$I$89,3,0)*VLOOKUP('Données projet'!$B$14,Paramètres!$A$1:$I$89,5,0)</f>
        <v>34.660788404258</v>
      </c>
      <c r="DQ21" s="13">
        <f t="shared" si="43"/>
        <v>10.571906363180744</v>
      </c>
      <c r="DR21" s="20">
        <f t="shared" si="16"/>
        <v>78.780276719955808</v>
      </c>
      <c r="DS21" s="59">
        <f t="shared" si="17"/>
        <v>372.11361005328911</v>
      </c>
      <c r="DT21" s="59">
        <f ca="1">AVERAGE(OFFSET($DS$3,0,0,'Données projet'!$E$14+1,1))-AVERAGE(OFFSET($H$3,0,0,'Données projet'!$E$14+1,1))</f>
        <v>216.94426559495264</v>
      </c>
      <c r="DU21" s="59">
        <f t="shared" si="44"/>
        <v>225.33715877618704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4.8</v>
      </c>
      <c r="EJ21" s="12">
        <f>IF('Données projet'!$A$192&gt;35,EJ20+EI21-ER20,IF(A21&lt;'Données projet'!$A$192,$EG$205^A21,IF(A21='Données projet'!$A$192,'Données projet'!$B$192,EJ20+EI21-ER20)))</f>
        <v>60.819677051026375</v>
      </c>
      <c r="EK21" s="17">
        <f>EJ21*VLOOKUP('Données projet'!$B$15,Paramètres!$A$1:$I$89,3,0)*VLOOKUP('Données projet'!$B$15,Paramètres!$A$1:$I$89,5,0)</f>
        <v>29.254264661543687</v>
      </c>
      <c r="EL21" s="13">
        <f t="shared" si="45"/>
        <v>9.1007425686094034</v>
      </c>
      <c r="EM21" s="20">
        <f t="shared" si="19"/>
        <v>66.801637592516627</v>
      </c>
      <c r="EN21" s="59">
        <f t="shared" si="20"/>
        <v>360.13497092584993</v>
      </c>
      <c r="EO21" s="59">
        <f ca="1">AVERAGE(OFFSET($EN$3,0,0,'Données projet'!$E$15+1,1))-AVERAGE(OFFSET($H$3,0,0,'Données projet'!$E$15+1,1))</f>
        <v>292.1792787220852</v>
      </c>
      <c r="EP21" s="59">
        <f t="shared" si="46"/>
        <v>273.69206144662144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422.07536317537841</v>
      </c>
      <c r="S22" s="59">
        <f ca="1">AVERAGE(OFFSET($R$3,0,0,'Données projet'!$E$9+1,1))-AVERAGE(OFFSET($H$3,0,0,'Données projet'!$E$9+1,1))</f>
        <v>215.23235148064941</v>
      </c>
      <c r="T22" s="59">
        <f t="shared" si="34"/>
        <v>184.07239726900434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11.2</v>
      </c>
      <c r="AI22" s="13">
        <f>IF('Données projet'!$A$62&gt;35,AI21+AH22-AQ21,IF(A22&lt;'Données projet'!$A$62,$AF$205^A22,IF(A22='Données projet'!$A$62,'Données projet'!$B$62,AI21+AH22-AQ21)))</f>
        <v>158.79999999999995</v>
      </c>
      <c r="AJ22" s="13">
        <f>AI22*VLOOKUP('Données projet'!$B$10,Paramètres!$A$1:$I$89,3,0)*VLOOKUP('Données projet'!$B$10,Paramètres!$A$1:$I$89,5,0)</f>
        <v>143.68223999999995</v>
      </c>
      <c r="AK22" s="13">
        <f t="shared" si="35"/>
        <v>37.139276165277678</v>
      </c>
      <c r="AL22" s="20">
        <f t="shared" si="4"/>
        <v>314.93080732119182</v>
      </c>
      <c r="AM22" s="59">
        <f t="shared" si="5"/>
        <v>608.26414065452514</v>
      </c>
      <c r="AN22" s="59">
        <f ca="1">AVERAGE(OFFSET($AM$3,0,0,'Données projet'!$E$10+1,1))-AVERAGE(OFFSET($H$3,0,0,'Données projet'!$E$10+1,1))</f>
        <v>225.28075317732998</v>
      </c>
      <c r="AO22" s="59">
        <f t="shared" si="36"/>
        <v>358.43407531256207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4.9185191966165993</v>
      </c>
      <c r="AW22" s="21">
        <f>EXP(-LN(2)/2)*AW21+(1-EXP(-LN(2)/2))/(LN(2)/2)*AQ22*AT22*VLOOKUP('Données projet'!$B$10,Paramètres!$A$1:$I$89,3,0)*0.475*44/12</f>
        <v>1.902375804650795</v>
      </c>
      <c r="AX22" s="21">
        <f t="shared" si="6"/>
        <v>6.8208950012673943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15</v>
      </c>
      <c r="BD22" s="12">
        <f>IF('Données projet'!$A$88&gt;35,BD21+BC22-BL21,IF(A22&lt;'Données projet'!$A$88,$BA$205^A22,IF(A22='Données projet'!$A$88,'Données projet'!$B$88,BD21+BC22-BL21)))</f>
        <v>147</v>
      </c>
      <c r="BE22" s="13">
        <f>BD22*VLOOKUP('Données projet'!$B$11,Paramètres!$A$1:$I$89,3,0)*VLOOKUP('Données projet'!$B$11,Paramètres!$A$1:$I$89,5,0)</f>
        <v>82.173000000000002</v>
      </c>
      <c r="BF22" s="13">
        <f t="shared" si="37"/>
        <v>22.667662370396656</v>
      </c>
      <c r="BG22" s="20">
        <f t="shared" si="7"/>
        <v>182.59748696177417</v>
      </c>
      <c r="BH22" s="59">
        <f t="shared" si="8"/>
        <v>475.93082029510748</v>
      </c>
      <c r="BI22" s="59">
        <f ca="1">AVERAGE(OFFSET($BH$3,0,0,'Données projet'!$E$11+1,1))-AVERAGE(OFFSET($H$3,0,0,'Données projet'!$E$11+1,1))</f>
        <v>326.31232746914907</v>
      </c>
      <c r="BJ22" s="59">
        <f t="shared" si="38"/>
        <v>330.17137761430297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14.1</v>
      </c>
      <c r="BY22" s="12">
        <f>IF('Données projet'!$A$114&gt;35,BY21+BX22-CG21,IF(A22&lt;'Données projet'!$A$114,$BV$205^A22,IF(A22='Données projet'!$A$114,'Données projet'!$B$114,BY21+BX22-CG21)))</f>
        <v>162.89999999999998</v>
      </c>
      <c r="BZ22" s="13">
        <f>BY22*VLOOKUP('Données projet'!$B$12,Paramètres!$A$1:$I$89,3,0)*VLOOKUP('Données projet'!$B$12,Paramètres!$A$1:$I$89,5,0)</f>
        <v>88.943399999999997</v>
      </c>
      <c r="CA22" s="13">
        <f t="shared" si="39"/>
        <v>24.310223636565393</v>
      </c>
      <c r="CB22" s="20">
        <f t="shared" si="10"/>
        <v>197.25006116701806</v>
      </c>
      <c r="CC22" s="59">
        <f t="shared" si="11"/>
        <v>490.58339450035135</v>
      </c>
      <c r="CD22" s="59">
        <f ca="1">AVERAGE(OFFSET($CC$3,0,0,'Données projet'!$E$12+1,1))-AVERAGE(OFFSET($H$3,0,0,'Données projet'!$E$12+1,1))</f>
        <v>210.04871822652808</v>
      </c>
      <c r="CE22" s="59">
        <f t="shared" si="40"/>
        <v>250.17540614049324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4.75</v>
      </c>
      <c r="CT22" s="12">
        <f>IF('Données projet'!$A$140&gt;35,CT21+CS22-DB21,IF(A22&lt;'Données projet'!$A$140,$CQ$205^A22,IF(A22='Données projet'!$A$140,'Données projet'!$B$140,CT21+CS22-DB21)))</f>
        <v>75.65496331618381</v>
      </c>
      <c r="CU22" s="17">
        <f>CT22*VLOOKUP('Données projet'!$B$13,Paramètres!$A$1:$I$89,3,0)*VLOOKUP('Données projet'!$B$13,Paramètres!$A$1:$I$89,5,0)</f>
        <v>60.191088814355844</v>
      </c>
      <c r="CV22" s="13">
        <f t="shared" si="41"/>
        <v>17.216573315614252</v>
      </c>
      <c r="CW22" s="20">
        <f t="shared" si="13"/>
        <v>134.81834487636456</v>
      </c>
      <c r="CX22" s="59">
        <f t="shared" si="14"/>
        <v>428.15167820969788</v>
      </c>
      <c r="CY22" s="59">
        <f ca="1">AVERAGE(OFFSET($CX$3,0,0,'Données projet'!$E$13+1,1))-AVERAGE(OFFSET($H$3,0,0,'Données projet'!$E$13+1,1))</f>
        <v>199.58763537752952</v>
      </c>
      <c r="CZ22" s="59">
        <f t="shared" si="42"/>
        <v>242.62852778451929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4.55</v>
      </c>
      <c r="DO22" s="12">
        <f>IF('Données projet'!$A$166&gt;35,DO21+DN22-DW21,IF(A22&lt;'Données projet'!$A$166,$DL$205^A22,IF(A22='Données projet'!$A$166,'Données projet'!$B$166,DO21+DN22-DW21)))</f>
        <v>72.625531327818578</v>
      </c>
      <c r="DP22" s="17">
        <f>DO22*VLOOKUP('Données projet'!$B$14,Paramètres!$A$1:$I$89,3,0)*VLOOKUP('Données projet'!$B$14,Paramètres!$A$1:$I$89,5,0)</f>
        <v>43.430067734035511</v>
      </c>
      <c r="DQ22" s="13">
        <f t="shared" si="43"/>
        <v>12.903388001273598</v>
      </c>
      <c r="DR22" s="20">
        <f t="shared" si="16"/>
        <v>98.114102072330027</v>
      </c>
      <c r="DS22" s="59">
        <f t="shared" si="17"/>
        <v>391.44743540566333</v>
      </c>
      <c r="DT22" s="59">
        <f ca="1">AVERAGE(OFFSET($DS$3,0,0,'Données projet'!$E$14+1,1))-AVERAGE(OFFSET($H$3,0,0,'Données projet'!$E$14+1,1))</f>
        <v>216.94426559495264</v>
      </c>
      <c r="DU22" s="59">
        <f t="shared" si="44"/>
        <v>225.33715877618704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4.8</v>
      </c>
      <c r="EJ22" s="12">
        <f>IF('Données projet'!$A$192&gt;35,EJ21+EI22-ER21,IF(A22&lt;'Données projet'!$A$192,$EG$205^A22,IF(A22='Données projet'!$A$192,'Données projet'!$B$192,EJ21+EI22-ER21)))</f>
        <v>76.411314586902208</v>
      </c>
      <c r="EK22" s="17">
        <f>EJ22*VLOOKUP('Données projet'!$B$15,Paramètres!$A$1:$I$89,3,0)*VLOOKUP('Données projet'!$B$15,Paramètres!$A$1:$I$89,5,0)</f>
        <v>36.753842316299966</v>
      </c>
      <c r="EL22" s="13">
        <f t="shared" si="45"/>
        <v>11.134060396295732</v>
      </c>
      <c r="EM22" s="20">
        <f t="shared" si="19"/>
        <v>83.404763891104167</v>
      </c>
      <c r="EN22" s="59">
        <f t="shared" si="20"/>
        <v>376.73809722443747</v>
      </c>
      <c r="EO22" s="59">
        <f ca="1">AVERAGE(OFFSET($EN$3,0,0,'Données projet'!$E$15+1,1))-AVERAGE(OFFSET($H$3,0,0,'Données projet'!$E$15+1,1))</f>
        <v>292.1792787220852</v>
      </c>
      <c r="EP22" s="59">
        <f t="shared" si="46"/>
        <v>273.69206144662144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458.08410667645524</v>
      </c>
      <c r="S23" s="59">
        <f ca="1">AVERAGE(OFFSET($R$3,0,0,'Données projet'!$E$9+1,1))-AVERAGE(OFFSET($H$3,0,0,'Données projet'!$E$9+1,1))</f>
        <v>215.23235148064941</v>
      </c>
      <c r="T23" s="59">
        <f t="shared" si="34"/>
        <v>184.07239726900434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12.5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2.1257077612234943</v>
      </c>
      <c r="AB23" s="21">
        <f>EXP(-LN(2)/2)*AB22+(1-EXP(-LN(2)/2))/(LN(2)/2)*V23*Y23*VLOOKUP('Données projet'!$B$9,Paramètres!$A$1:$I$89,3,0)*0.475*44/12</f>
        <v>3.3117794702649124</v>
      </c>
      <c r="AC23" s="22">
        <f t="shared" si="3"/>
        <v>5.4374872314884062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170</v>
      </c>
      <c r="AG23" s="12">
        <f>VLOOKUP(A23,'Données projet'!$A$61:$I$81,9,0)</f>
        <v>11.2</v>
      </c>
      <c r="AH23" s="12">
        <f t="array" ref="AH23">INDEX(AG:AG,MIN(IF(ISNUMBER(AG23:AG219),ROW(AG23:AG219),"")))</f>
        <v>11.2</v>
      </c>
      <c r="AI23" s="13">
        <f>IF('Données projet'!$A$62&gt;35,AI22+AH23-AQ22,IF(A23&lt;'Données projet'!$A$62,$AF$205^A23,IF(A23='Données projet'!$A$62,'Données projet'!$B$62,AI22+AH23-AQ22)))</f>
        <v>169.99999999999994</v>
      </c>
      <c r="AJ23" s="13">
        <f>AI23*VLOOKUP('Données projet'!$B$10,Paramètres!$A$1:$I$89,3,0)*VLOOKUP('Données projet'!$B$10,Paramètres!$A$1:$I$89,5,0)</f>
        <v>153.81599999999995</v>
      </c>
      <c r="AK23" s="13">
        <f t="shared" si="35"/>
        <v>39.444513325737027</v>
      </c>
      <c r="AL23" s="20">
        <f t="shared" si="4"/>
        <v>336.59539404232521</v>
      </c>
      <c r="AM23" s="59">
        <f t="shared" si="5"/>
        <v>629.92872737565858</v>
      </c>
      <c r="AN23" s="59">
        <f ca="1">AVERAGE(OFFSET($AM$3,0,0,'Données projet'!$E$10+1,1))-AVERAGE(OFFSET($H$3,0,0,'Données projet'!$E$10+1,1))</f>
        <v>225.28075317732998</v>
      </c>
      <c r="AO23" s="59">
        <f t="shared" si="36"/>
        <v>358.43407531256207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20</v>
      </c>
      <c r="AR23" s="16">
        <f>IF(ISNA(VLOOKUP(A23,'Données projet'!$A$61:$I$81,5,0)),0%,VLOOKUP(A23,'Données projet'!$A$61:$I$81,5,0)*VLOOKUP('Données projet'!$B$10,Paramètres!$A$1:$I$89,7,0))</f>
        <v>0.03</v>
      </c>
      <c r="AS23" s="16">
        <f>IF(ISNA(VLOOKUP(A23,'Données projet'!$A$61:$I$81,6,0)),0%,VLOOKUP(A23,'Données projet'!$A$61:$I$81,6,0)*VLOOKUP('Données projet'!$B$10,Paramètres!$A$1:$I$89,7,0))</f>
        <v>0.13500000000000001</v>
      </c>
      <c r="AT23" s="16">
        <f>IF(ISNA(VLOOKUP(A23,'Données projet'!$A$61:$I$81,7,0)),0%,VLOOKUP(A23,'Données projet'!$A$61:$I$81,7,0))</f>
        <v>0.45</v>
      </c>
      <c r="AU23" s="21">
        <f>EXP(-LN(2)/35)*AU22+(1-EXP(-LN(2)/35))/(LN(2)/35)*AQ23*AR23*VLOOKUP('Données projet'!$B$10,Paramètres!$A$1:$I$89,3,0)*0.475*44/12</f>
        <v>0.60013775964084792</v>
      </c>
      <c r="AV23" s="21">
        <f>EXP(-LN(2)/25)*AV22+(1-EXP(-LN(2)/25))/(LN(2)/25)*Calculateur!AQ23*Calculateur!AS23*VLOOKUP('Données projet'!$B$10,Paramètres!$A$1:$I$89,3,0)*0.475*44/12</f>
        <v>7.4740085792797117</v>
      </c>
      <c r="AW23" s="21">
        <f>EXP(-LN(2)/2)*AW22+(1-EXP(-LN(2)/2))/(LN(2)/2)*AQ23*AT23*VLOOKUP('Données projet'!$B$10,Paramètres!$A$1:$I$89,3,0)*0.475*44/12</f>
        <v>9.0285112028483887</v>
      </c>
      <c r="AX23" s="21">
        <f t="shared" si="6"/>
        <v>17.102657541768949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162</v>
      </c>
      <c r="BB23" s="12">
        <f>VLOOKUP(A23,'Données projet'!$A$87:$I$107,9,0)</f>
        <v>15</v>
      </c>
      <c r="BC23" s="12">
        <f t="array" ref="BC23">INDEX(BB:BB,MIN(IF(ISNUMBER(BB23:BB219),ROW(BB23:BB219),"")))</f>
        <v>15</v>
      </c>
      <c r="BD23" s="12">
        <f>IF('Données projet'!$A$88&gt;35,BD22+BC23-BL22,IF(A23&lt;'Données projet'!$A$88,$BA$205^A23,IF(A23='Données projet'!$A$88,'Données projet'!$B$88,BD22+BC23-BL22)))</f>
        <v>162</v>
      </c>
      <c r="BE23" s="13">
        <f>BD23*VLOOKUP('Données projet'!$B$11,Paramètres!$A$1:$I$89,3,0)*VLOOKUP('Données projet'!$B$11,Paramètres!$A$1:$I$89,5,0)</f>
        <v>90.557999999999993</v>
      </c>
      <c r="BF23" s="13">
        <f t="shared" si="37"/>
        <v>24.699752708509138</v>
      </c>
      <c r="BG23" s="20">
        <f t="shared" si="7"/>
        <v>200.74058596732007</v>
      </c>
      <c r="BH23" s="59">
        <f t="shared" si="8"/>
        <v>494.07391930065342</v>
      </c>
      <c r="BI23" s="59">
        <f ca="1">AVERAGE(OFFSET($BH$3,0,0,'Données projet'!$E$11+1,1))-AVERAGE(OFFSET($H$3,0,0,'Données projet'!$E$11+1,1))</f>
        <v>326.31232746914907</v>
      </c>
      <c r="BJ23" s="59">
        <f t="shared" si="38"/>
        <v>330.17137761430297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12.796760722565436</v>
      </c>
      <c r="BR23" s="21">
        <f>EXP(-LN(2)/2)*BR22+(1-EXP(-LN(2)/2))/(LN(2)/2)*BL23*BO23*VLOOKUP('Données projet'!$B$11,Paramètres!$A$1:$I$89,3,0)*0.475*44/12</f>
        <v>19.936912410994776</v>
      </c>
      <c r="BS23" s="22">
        <f t="shared" si="9"/>
        <v>32.73367313356021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177</v>
      </c>
      <c r="BW23" s="12">
        <f>VLOOKUP(A23,'Données projet'!$A$113:$I$133,9,0)</f>
        <v>14.1</v>
      </c>
      <c r="BX23" s="12">
        <f t="array" ref="BX23">INDEX(BW:BW,MIN(IF(ISNUMBER(BW23:BW219),ROW(BW23:BW219),"")))</f>
        <v>14.1</v>
      </c>
      <c r="BY23" s="12">
        <f>IF('Données projet'!$A$114&gt;35,BY22+BX23-CG22,IF(A23&lt;'Données projet'!$A$114,$BV$205^A23,IF(A23='Données projet'!$A$114,'Données projet'!$B$114,BY22+BX23-CG22)))</f>
        <v>176.99999999999997</v>
      </c>
      <c r="BZ23" s="13">
        <f>BY23*VLOOKUP('Données projet'!$B$12,Paramètres!$A$1:$I$89,3,0)*VLOOKUP('Données projet'!$B$12,Paramètres!$A$1:$I$89,5,0)</f>
        <v>96.641999999999996</v>
      </c>
      <c r="CA23" s="13">
        <f t="shared" si="39"/>
        <v>26.160416982548217</v>
      </c>
      <c r="CB23" s="20">
        <f t="shared" si="10"/>
        <v>213.88087624460479</v>
      </c>
      <c r="CC23" s="59">
        <f t="shared" si="11"/>
        <v>507.21420957793811</v>
      </c>
      <c r="CD23" s="59">
        <f ca="1">AVERAGE(OFFSET($CC$3,0,0,'Données projet'!$E$12+1,1))-AVERAGE(OFFSET($H$3,0,0,'Données projet'!$E$12+1,1))</f>
        <v>210.04871822652808</v>
      </c>
      <c r="CE23" s="59">
        <f t="shared" si="40"/>
        <v>250.17540614049324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81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17.531291645290491</v>
      </c>
      <c r="CM23" s="21">
        <f>EXP(-LN(2)/2)*CM22+(1-EXP(-LN(2)/2))/(LN(2)/2)*CG23*CJ23*VLOOKUP('Données projet'!$B$12,Paramètres!$A$1:$I$89,3,0)*0.475*44/12</f>
        <v>25.037052795202737</v>
      </c>
      <c r="CN23" s="22">
        <f t="shared" si="12"/>
        <v>42.568344440493227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95</v>
      </c>
      <c r="CR23" s="12">
        <f>VLOOKUP(A23,'Données projet'!$A$139:$I$159,9,0)</f>
        <v>4.75</v>
      </c>
      <c r="CS23" s="12">
        <f t="array" ref="CS23">INDEX(CR:CR,MIN(IF(ISNUMBER(CR23:CR219),ROW(CR23:CR219),"")))</f>
        <v>4.75</v>
      </c>
      <c r="CT23" s="12">
        <f>IF('Données projet'!$A$140&gt;35,CT22+CS23-DB22,IF(A23&lt;'Données projet'!$A$140,$CQ$205^A23,IF(A23='Données projet'!$A$140,'Données projet'!$B$140,CT22+CS23-DB22)))</f>
        <v>95</v>
      </c>
      <c r="CU23" s="17">
        <f>CT23*VLOOKUP('Données projet'!$B$13,Paramètres!$A$1:$I$89,3,0)*VLOOKUP('Données projet'!$B$13,Paramètres!$A$1:$I$89,5,0)</f>
        <v>75.582000000000008</v>
      </c>
      <c r="CV23" s="13">
        <f t="shared" si="41"/>
        <v>21.053414706764137</v>
      </c>
      <c r="CW23" s="20">
        <f t="shared" si="13"/>
        <v>168.30668061428091</v>
      </c>
      <c r="CX23" s="59">
        <f t="shared" si="14"/>
        <v>461.64001394761419</v>
      </c>
      <c r="CY23" s="59">
        <f ca="1">AVERAGE(OFFSET($CX$3,0,0,'Données projet'!$E$13+1,1))-AVERAGE(OFFSET($H$3,0,0,'Données projet'!$E$13+1,1))</f>
        <v>199.58763537752952</v>
      </c>
      <c r="CZ23" s="59">
        <f t="shared" si="42"/>
        <v>242.62852778451929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4.9912906541261721</v>
      </c>
      <c r="DH23" s="21">
        <f>EXP(-LN(2)/2)*DH22+(1-EXP(-LN(2)/2))/(LN(2)/2)*DB23*DE23*VLOOKUP('Données projet'!$B$13,Paramètres!$A$1:$I$89,3,0)*0.475*44/12</f>
        <v>8.0697026425455061</v>
      </c>
      <c r="DI23" s="22">
        <f t="shared" si="15"/>
        <v>13.060993296671679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91</v>
      </c>
      <c r="DM23" s="12">
        <f>VLOOKUP(A23,'Données projet'!$A$165:$I$185,9,0)</f>
        <v>4.55</v>
      </c>
      <c r="DN23" s="12">
        <f t="array" ref="DN23">INDEX(DM:DM,MIN(IF(ISNUMBER(DM23:DM219),ROW(DM23:DM219),"")))</f>
        <v>4.55</v>
      </c>
      <c r="DO23" s="12">
        <f>IF('Données projet'!$A$166&gt;35,DO22+DN23-DW22,IF(A23&lt;'Données projet'!$A$166,$DL$205^A23,IF(A23='Données projet'!$A$166,'Données projet'!$B$166,DO22+DN23-DW22)))</f>
        <v>91</v>
      </c>
      <c r="DP23" s="17">
        <f>DO23*VLOOKUP('Données projet'!$B$14,Paramètres!$A$1:$I$89,3,0)*VLOOKUP('Données projet'!$B$14,Paramètres!$A$1:$I$89,5,0)</f>
        <v>54.417999999999999</v>
      </c>
      <c r="DQ23" s="13">
        <f t="shared" si="43"/>
        <v>15.749044324804036</v>
      </c>
      <c r="DR23" s="20">
        <f t="shared" si="16"/>
        <v>122.20760219903367</v>
      </c>
      <c r="DS23" s="59">
        <f t="shared" si="17"/>
        <v>415.54093553236697</v>
      </c>
      <c r="DT23" s="59">
        <f ca="1">AVERAGE(OFFSET($DS$3,0,0,'Données projet'!$E$14+1,1))-AVERAGE(OFFSET($H$3,0,0,'Données projet'!$E$14+1,1))</f>
        <v>216.94426559495264</v>
      </c>
      <c r="DU23" s="59">
        <f t="shared" si="44"/>
        <v>225.33715877618704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3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0.22500000000000001</v>
      </c>
      <c r="DZ23" s="16">
        <f>IF(ISNA(VLOOKUP(A23,'Données projet'!$A$165:$I$185,7,0)),0%,VLOOKUP(A23,'Données projet'!$A$165:$I$185,7,0))</f>
        <v>0.5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0.53335940190698583</v>
      </c>
      <c r="EC23" s="21">
        <f>EXP(-LN(2)/2)*EC22+(1-EXP(-LN(2)/2))/(LN(2)/2)*DW23*DZ23*VLOOKUP('Données projet'!$B$14,Paramètres!$A$1:$I$89,3,0)*0.475*44/12</f>
        <v>1.0156123708812399</v>
      </c>
      <c r="ED23" s="22">
        <f t="shared" si="18"/>
        <v>1.5489717727882257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96</v>
      </c>
      <c r="EH23" s="12">
        <f>VLOOKUP(A23,'Données projet'!$A$191:$I$211,9,0)</f>
        <v>4.8</v>
      </c>
      <c r="EI23" s="12">
        <f t="array" ref="EI23">INDEX(EH:EH,MIN(IF(ISNUMBER(EH23:EH219),ROW(EH23:EH219),"")))</f>
        <v>4.8</v>
      </c>
      <c r="EJ23" s="12">
        <f>IF('Données projet'!$A$192&gt;35,EJ22+EI23-ER22,IF(A23&lt;'Données projet'!$A$192,$EG$205^A23,IF(A23='Données projet'!$A$192,'Données projet'!$B$192,EJ22+EI23-ER22)))</f>
        <v>96</v>
      </c>
      <c r="EK23" s="17">
        <f>EJ23*VLOOKUP('Données projet'!$B$15,Paramètres!$A$1:$I$89,3,0)*VLOOKUP('Données projet'!$B$15,Paramètres!$A$1:$I$89,5,0)</f>
        <v>46.175999999999995</v>
      </c>
      <c r="EL23" s="13">
        <f t="shared" si="45"/>
        <v>13.621668778540489</v>
      </c>
      <c r="EM23" s="20">
        <f t="shared" si="19"/>
        <v>104.14760645595801</v>
      </c>
      <c r="EN23" s="59">
        <f t="shared" si="20"/>
        <v>397.48093978929131</v>
      </c>
      <c r="EO23" s="59">
        <f ca="1">AVERAGE(OFFSET($EN$3,0,0,'Données projet'!$E$15+1,1))-AVERAGE(OFFSET($H$3,0,0,'Données projet'!$E$15+1,1))</f>
        <v>292.1792787220852</v>
      </c>
      <c r="EP23" s="59">
        <f t="shared" si="46"/>
        <v>273.69206144662144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0.27500000000000002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154.69999999999999</v>
      </c>
      <c r="O24" s="13">
        <f>N24*VLOOKUP('Données projet'!$B$9,Paramètres!$A$1:$I$89,3,0)*VLOOKUP('Données projet'!$B$9,Paramètres!$A$1:$I$89,5,0)</f>
        <v>72.399599999999992</v>
      </c>
      <c r="P24" s="13">
        <f t="shared" si="33"/>
        <v>20.268188832715463</v>
      </c>
      <c r="Q24" s="20">
        <f t="shared" si="2"/>
        <v>161.3963988836461</v>
      </c>
      <c r="R24" s="59">
        <f t="shared" si="0"/>
        <v>454.72973221697941</v>
      </c>
      <c r="S24" s="59">
        <f ca="1">AVERAGE(OFFSET($R$3,0,0,'Données projet'!$E$9+1,1))-AVERAGE(OFFSET($H$3,0,0,'Données projet'!$E$9+1,1))</f>
        <v>215.23235148064941</v>
      </c>
      <c r="T24" s="59">
        <f t="shared" si="34"/>
        <v>184.07239726900434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2.0675801707067252</v>
      </c>
      <c r="AB24" s="21">
        <f>EXP(-LN(2)/2)*AB23+(1-EXP(-LN(2)/2))/(LN(2)/2)*V24*Y24*VLOOKUP('Données projet'!$B$9,Paramètres!$A$1:$I$89,3,0)*0.475*44/12</f>
        <v>2.341781721218712</v>
      </c>
      <c r="AC24" s="22">
        <f t="shared" si="3"/>
        <v>4.4093618919254371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8.6</v>
      </c>
      <c r="AI24" s="13">
        <f>IF('Données projet'!$A$62&gt;35,AI23+AH24-AQ23,IF(A24&lt;'Données projet'!$A$62,$AF$205^A24,IF(A24='Données projet'!$A$62,'Données projet'!$B$62,AI23+AH24-AQ23)))</f>
        <v>158.59999999999994</v>
      </c>
      <c r="AJ24" s="13">
        <f>AI24*VLOOKUP('Données projet'!$B$10,Paramètres!$A$1:$I$89,3,0)*VLOOKUP('Données projet'!$B$10,Paramètres!$A$1:$I$89,5,0)</f>
        <v>143.50127999999995</v>
      </c>
      <c r="AK24" s="13">
        <f t="shared" si="35"/>
        <v>37.097942826522399</v>
      </c>
      <c r="AL24" s="20">
        <f t="shared" si="4"/>
        <v>314.54364642285981</v>
      </c>
      <c r="AM24" s="59">
        <f t="shared" si="5"/>
        <v>607.87697975619312</v>
      </c>
      <c r="AN24" s="59">
        <f ca="1">AVERAGE(OFFSET($AM$3,0,0,'Données projet'!$E$10+1,1))-AVERAGE(OFFSET($H$3,0,0,'Données projet'!$E$10+1,1))</f>
        <v>225.28075317732998</v>
      </c>
      <c r="AO24" s="59">
        <f t="shared" si="36"/>
        <v>358.43407531256207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0.58836942422218008</v>
      </c>
      <c r="AV24" s="21">
        <f>EXP(-LN(2)/25)*AV23+(1-EXP(-LN(2)/25))/(LN(2)/25)*Calculateur!AQ24*Calculateur!AS24*VLOOKUP('Données projet'!$B$10,Paramètres!$A$1:$I$89,3,0)*0.475*44/12</f>
        <v>7.2696314216382794</v>
      </c>
      <c r="AW24" s="21">
        <f>EXP(-LN(2)/2)*AW23+(1-EXP(-LN(2)/2))/(LN(2)/2)*AQ24*AT24*VLOOKUP('Données projet'!$B$10,Paramètres!$A$1:$I$89,3,0)*0.475*44/12</f>
        <v>6.3841214955528089</v>
      </c>
      <c r="AX24" s="21">
        <f t="shared" si="6"/>
        <v>14.242122341413268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22.2</v>
      </c>
      <c r="BD24" s="12">
        <f>IF('Données projet'!$A$88&gt;35,BD23+BC24-BL23,IF(A24&lt;'Données projet'!$A$88,$BA$205^A24,IF(A24='Données projet'!$A$88,'Données projet'!$B$88,BD23+BC24-BL23)))</f>
        <v>121.19999999999999</v>
      </c>
      <c r="BE24" s="13">
        <f>BD24*VLOOKUP('Données projet'!$B$11,Paramètres!$A$1:$I$89,3,0)*VLOOKUP('Données projet'!$B$11,Paramètres!$A$1:$I$89,5,0)</f>
        <v>67.750799999999998</v>
      </c>
      <c r="BF24" s="13">
        <f t="shared" si="37"/>
        <v>19.113844706860473</v>
      </c>
      <c r="BG24" s="20">
        <f t="shared" si="7"/>
        <v>151.28925619778201</v>
      </c>
      <c r="BH24" s="59">
        <f t="shared" si="8"/>
        <v>444.6225895311153</v>
      </c>
      <c r="BI24" s="59">
        <f ca="1">AVERAGE(OFFSET($BH$3,0,0,'Données projet'!$E$11+1,1))-AVERAGE(OFFSET($H$3,0,0,'Données projet'!$E$11+1,1))</f>
        <v>326.31232746914907</v>
      </c>
      <c r="BJ24" s="59">
        <f t="shared" si="38"/>
        <v>330.17137761430297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12.446832627654485</v>
      </c>
      <c r="BR24" s="21">
        <f>EXP(-LN(2)/2)*BR23+(1-EXP(-LN(2)/2))/(LN(2)/2)*BL24*BO24*VLOOKUP('Données projet'!$B$11,Paramètres!$A$1:$I$89,3,0)*0.475*44/12</f>
        <v>14.097525961736647</v>
      </c>
      <c r="BS24" s="22">
        <f t="shared" si="9"/>
        <v>26.54435858939113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16.399999999999999</v>
      </c>
      <c r="BY24" s="12">
        <f>IF('Données projet'!$A$114&gt;35,BY23+BX24-CG23,IF(A24&lt;'Données projet'!$A$114,$BV$205^A24,IF(A24='Données projet'!$A$114,'Données projet'!$B$114,BY23+BX24-CG23)))</f>
        <v>112.39999999999998</v>
      </c>
      <c r="BZ24" s="13">
        <f>BY24*VLOOKUP('Données projet'!$B$12,Paramètres!$A$1:$I$89,3,0)*VLOOKUP('Données projet'!$B$12,Paramètres!$A$1:$I$89,5,0)</f>
        <v>61.370399999999989</v>
      </c>
      <c r="CA24" s="13">
        <f t="shared" si="39"/>
        <v>17.514292424921972</v>
      </c>
      <c r="CB24" s="20">
        <f t="shared" si="10"/>
        <v>137.39083930673908</v>
      </c>
      <c r="CC24" s="59">
        <f t="shared" si="11"/>
        <v>430.72417264007242</v>
      </c>
      <c r="CD24" s="59">
        <f ca="1">AVERAGE(OFFSET($CC$3,0,0,'Données projet'!$E$12+1,1))-AVERAGE(OFFSET($H$3,0,0,'Données projet'!$E$12+1,1))</f>
        <v>210.04871822652808</v>
      </c>
      <c r="CE24" s="59">
        <f t="shared" si="40"/>
        <v>250.17540614049324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17.051897553319463</v>
      </c>
      <c r="CM24" s="21">
        <f>EXP(-LN(2)/2)*CM23+(1-EXP(-LN(2)/2))/(LN(2)/2)*CG24*CJ24*VLOOKUP('Données projet'!$B$12,Paramètres!$A$1:$I$89,3,0)*0.475*44/12</f>
        <v>17.703869812413462</v>
      </c>
      <c r="CN24" s="22">
        <f t="shared" si="12"/>
        <v>34.755767365732922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12.2</v>
      </c>
      <c r="CT24" s="12">
        <f>IF('Données projet'!$A$140&gt;35,CT23+CS24-DB23,IF(A24&lt;'Données projet'!$A$140,$CQ$205^A24,IF(A24='Données projet'!$A$140,'Données projet'!$B$140,CT23+CS24-DB23)))</f>
        <v>64.2</v>
      </c>
      <c r="CU24" s="17">
        <f>CT24*VLOOKUP('Données projet'!$B$13,Paramètres!$A$1:$I$89,3,0)*VLOOKUP('Données projet'!$B$13,Paramètres!$A$1:$I$89,5,0)</f>
        <v>51.077520000000007</v>
      </c>
      <c r="CV24" s="13">
        <f t="shared" si="41"/>
        <v>14.891687648984377</v>
      </c>
      <c r="CW24" s="20">
        <f t="shared" si="13"/>
        <v>114.89636998864779</v>
      </c>
      <c r="CX24" s="59">
        <f t="shared" si="14"/>
        <v>408.22970332198111</v>
      </c>
      <c r="CY24" s="59">
        <f ca="1">AVERAGE(OFFSET($CX$3,0,0,'Données projet'!$E$13+1,1))-AVERAGE(OFFSET($H$3,0,0,'Données projet'!$E$13+1,1))</f>
        <v>199.58763537752952</v>
      </c>
      <c r="CZ24" s="59">
        <f t="shared" si="42"/>
        <v>242.62852778451929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4.8548035487085244</v>
      </c>
      <c r="DH24" s="21">
        <f>EXP(-LN(2)/2)*DH23+(1-EXP(-LN(2)/2))/(LN(2)/2)*DB24*DE24*VLOOKUP('Données projet'!$B$13,Paramètres!$A$1:$I$89,3,0)*0.475*44/12</f>
        <v>5.7061414607029297</v>
      </c>
      <c r="DI24" s="22">
        <f t="shared" si="15"/>
        <v>10.560945009411455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13</v>
      </c>
      <c r="DO24" s="12">
        <f>IF('Données projet'!$A$166&gt;35,DO23+DN24-DW23,IF(A24&lt;'Données projet'!$A$166,$DL$205^A24,IF(A24='Données projet'!$A$166,'Données projet'!$B$166,DO23+DN24-DW23)))</f>
        <v>101</v>
      </c>
      <c r="DP24" s="17">
        <f>DO24*VLOOKUP('Données projet'!$B$14,Paramètres!$A$1:$I$89,3,0)*VLOOKUP('Données projet'!$B$14,Paramètres!$A$1:$I$89,5,0)</f>
        <v>60.398000000000003</v>
      </c>
      <c r="DQ24" s="13">
        <f t="shared" si="43"/>
        <v>17.26885714728807</v>
      </c>
      <c r="DR24" s="20">
        <f t="shared" si="16"/>
        <v>135.26977619819337</v>
      </c>
      <c r="DS24" s="59">
        <f t="shared" si="17"/>
        <v>428.60310953152668</v>
      </c>
      <c r="DT24" s="59">
        <f ca="1">AVERAGE(OFFSET($DS$3,0,0,'Données projet'!$E$14+1,1))-AVERAGE(OFFSET($H$3,0,0,'Données projet'!$E$14+1,1))</f>
        <v>216.94426559495264</v>
      </c>
      <c r="DU24" s="59">
        <f t="shared" si="44"/>
        <v>225.33715877618704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0.51877466101368741</v>
      </c>
      <c r="EC24" s="21">
        <f>EXP(-LN(2)/2)*EC23+(1-EXP(-LN(2)/2))/(LN(2)/2)*DW24*DZ24*VLOOKUP('Données projet'!$B$14,Paramètres!$A$1:$I$89,3,0)*0.475*44/12</f>
        <v>0.71814639450707174</v>
      </c>
      <c r="ED24" s="22">
        <f t="shared" si="18"/>
        <v>1.2369210555207593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22.2</v>
      </c>
      <c r="EJ24" s="12">
        <f>IF('Données projet'!$A$192&gt;35,EJ23+EI24-ER23,IF(A24&lt;'Données projet'!$A$192,$EG$205^A24,IF(A24='Données projet'!$A$192,'Données projet'!$B$192,EJ23+EI24-ER23)))</f>
        <v>118.2</v>
      </c>
      <c r="EK24" s="17">
        <f>EJ24*VLOOKUP('Données projet'!$B$15,Paramètres!$A$1:$I$89,3,0)*VLOOKUP('Données projet'!$B$15,Paramètres!$A$1:$I$89,5,0)</f>
        <v>56.854200000000006</v>
      </c>
      <c r="EL24" s="13">
        <f t="shared" si="45"/>
        <v>16.370436389534291</v>
      </c>
      <c r="EM24" s="20">
        <f t="shared" si="19"/>
        <v>127.5329083784389</v>
      </c>
      <c r="EN24" s="59">
        <f t="shared" si="20"/>
        <v>420.8662417117722</v>
      </c>
      <c r="EO24" s="59">
        <f ca="1">AVERAGE(OFFSET($EN$3,0,0,'Données projet'!$E$15+1,1))-AVERAGE(OFFSET($H$3,0,0,'Données projet'!$E$15+1,1))</f>
        <v>292.1792787220852</v>
      </c>
      <c r="EP24" s="59">
        <f t="shared" si="46"/>
        <v>273.69206144662144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163.89999999999998</v>
      </c>
      <c r="O25" s="13">
        <f>N25*VLOOKUP('Données projet'!$B$9,Paramètres!$A$1:$I$89,3,0)*VLOOKUP('Données projet'!$B$9,Paramètres!$A$1:$I$89,5,0)</f>
        <v>76.705199999999991</v>
      </c>
      <c r="P25" s="13">
        <f t="shared" si="33"/>
        <v>21.32962715676695</v>
      </c>
      <c r="Q25" s="20">
        <f t="shared" si="2"/>
        <v>170.74399063136909</v>
      </c>
      <c r="R25" s="59">
        <f t="shared" si="0"/>
        <v>464.07732396470237</v>
      </c>
      <c r="S25" s="59">
        <f ca="1">AVERAGE(OFFSET($R$3,0,0,'Données projet'!$E$9+1,1))-AVERAGE(OFFSET($H$3,0,0,'Données projet'!$E$9+1,1))</f>
        <v>215.23235148064941</v>
      </c>
      <c r="T25" s="59">
        <f t="shared" si="34"/>
        <v>184.07239726900434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2.0110420822094341</v>
      </c>
      <c r="AB25" s="21">
        <f>EXP(-LN(2)/2)*AB24+(1-EXP(-LN(2)/2))/(LN(2)/2)*V25*Y25*VLOOKUP('Données projet'!$B$9,Paramètres!$A$1:$I$89,3,0)*0.475*44/12</f>
        <v>1.6558897351324564</v>
      </c>
      <c r="AC25" s="22">
        <f t="shared" si="3"/>
        <v>3.6669318173418906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8.6</v>
      </c>
      <c r="AI25" s="13">
        <f>IF('Données projet'!$A$62&gt;35,AI24+AH25-AQ24,IF(A25&lt;'Données projet'!$A$62,$AF$205^A25,IF(A25='Données projet'!$A$62,'Données projet'!$B$62,AI24+AH25-AQ24)))</f>
        <v>167.19999999999993</v>
      </c>
      <c r="AJ25" s="13">
        <f>AI25*VLOOKUP('Données projet'!$B$10,Paramètres!$A$1:$I$89,3,0)*VLOOKUP('Données projet'!$B$10,Paramètres!$A$1:$I$89,5,0)</f>
        <v>151.28255999999993</v>
      </c>
      <c r="AK25" s="13">
        <f t="shared" si="35"/>
        <v>38.86990739921886</v>
      </c>
      <c r="AL25" s="20">
        <f t="shared" si="4"/>
        <v>331.18221405363937</v>
      </c>
      <c r="AM25" s="59">
        <f t="shared" si="5"/>
        <v>624.51554738697268</v>
      </c>
      <c r="AN25" s="59">
        <f ca="1">AVERAGE(OFFSET($AM$3,0,0,'Données projet'!$E$10+1,1))-AVERAGE(OFFSET($H$3,0,0,'Données projet'!$E$10+1,1))</f>
        <v>225.28075317732998</v>
      </c>
      <c r="AO25" s="59">
        <f t="shared" si="36"/>
        <v>358.43407531256207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0.5768318586830965</v>
      </c>
      <c r="AV25" s="21">
        <f>EXP(-LN(2)/25)*AV24+(1-EXP(-LN(2)/25))/(LN(2)/25)*Calculateur!AQ25*Calculateur!AS25*VLOOKUP('Données projet'!$B$10,Paramètres!$A$1:$I$89,3,0)*0.475*44/12</f>
        <v>7.0708429681202789</v>
      </c>
      <c r="AW25" s="21">
        <f>EXP(-LN(2)/2)*AW24+(1-EXP(-LN(2)/2))/(LN(2)/2)*AQ25*AT25*VLOOKUP('Données projet'!$B$10,Paramètres!$A$1:$I$89,3,0)*0.475*44/12</f>
        <v>4.5142556014241952</v>
      </c>
      <c r="AX25" s="21">
        <f t="shared" si="6"/>
        <v>12.161930428227571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22.2</v>
      </c>
      <c r="BD25" s="12">
        <f>IF('Données projet'!$A$88&gt;35,BD24+BC25-BL24,IF(A25&lt;'Données projet'!$A$88,$BA$205^A25,IF(A25='Données projet'!$A$88,'Données projet'!$B$88,BD24+BC25-BL24)))</f>
        <v>143.39999999999998</v>
      </c>
      <c r="BE25" s="13">
        <f>BD25*VLOOKUP('Données projet'!$B$11,Paramètres!$A$1:$I$89,3,0)*VLOOKUP('Données projet'!$B$11,Paramètres!$A$1:$I$89,5,0)</f>
        <v>80.160599999999988</v>
      </c>
      <c r="BF25" s="13">
        <f t="shared" si="37"/>
        <v>22.176447079115164</v>
      </c>
      <c r="BG25" s="20">
        <f t="shared" si="7"/>
        <v>178.23702366279221</v>
      </c>
      <c r="BH25" s="59">
        <f t="shared" si="8"/>
        <v>471.5703569961255</v>
      </c>
      <c r="BI25" s="59">
        <f ca="1">AVERAGE(OFFSET($BH$3,0,0,'Données projet'!$E$11+1,1))-AVERAGE(OFFSET($H$3,0,0,'Données projet'!$E$11+1,1))</f>
        <v>326.31232746914907</v>
      </c>
      <c r="BJ25" s="59">
        <f t="shared" si="38"/>
        <v>330.17137761430297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12.106473334900793</v>
      </c>
      <c r="BR25" s="21">
        <f>EXP(-LN(2)/2)*BR24+(1-EXP(-LN(2)/2))/(LN(2)/2)*BL25*BO25*VLOOKUP('Données projet'!$B$11,Paramètres!$A$1:$I$89,3,0)*0.475*44/12</f>
        <v>9.9684562054973895</v>
      </c>
      <c r="BS25" s="22">
        <f t="shared" si="9"/>
        <v>22.07492954039818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16.399999999999999</v>
      </c>
      <c r="BY25" s="12">
        <f>IF('Données projet'!$A$114&gt;35,BY24+BX25-CG24,IF(A25&lt;'Données projet'!$A$114,$BV$205^A25,IF(A25='Données projet'!$A$114,'Données projet'!$B$114,BY24+BX25-CG24)))</f>
        <v>128.79999999999998</v>
      </c>
      <c r="BZ25" s="13">
        <f>BY25*VLOOKUP('Données projet'!$B$12,Paramètres!$A$1:$I$89,3,0)*VLOOKUP('Données projet'!$B$12,Paramètres!$A$1:$I$89,5,0)</f>
        <v>70.324799999999982</v>
      </c>
      <c r="CA25" s="13">
        <f t="shared" si="39"/>
        <v>19.754095114409182</v>
      </c>
      <c r="CB25" s="20">
        <f t="shared" si="10"/>
        <v>156.88740899092929</v>
      </c>
      <c r="CC25" s="59">
        <f t="shared" si="11"/>
        <v>450.22074232426257</v>
      </c>
      <c r="CD25" s="59">
        <f ca="1">AVERAGE(OFFSET($CC$3,0,0,'Données projet'!$E$12+1,1))-AVERAGE(OFFSET($H$3,0,0,'Données projet'!$E$12+1,1))</f>
        <v>210.04871822652808</v>
      </c>
      <c r="CE25" s="59">
        <f t="shared" si="40"/>
        <v>250.17540614049324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16.585612518003622</v>
      </c>
      <c r="CM25" s="21">
        <f>EXP(-LN(2)/2)*CM24+(1-EXP(-LN(2)/2))/(LN(2)/2)*CG25*CJ25*VLOOKUP('Données projet'!$B$12,Paramètres!$A$1:$I$89,3,0)*0.475*44/12</f>
        <v>12.51852639760137</v>
      </c>
      <c r="CN25" s="22">
        <f t="shared" si="12"/>
        <v>29.104138915604992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12.2</v>
      </c>
      <c r="CT25" s="12">
        <f>IF('Données projet'!$A$140&gt;35,CT24+CS25-DB24,IF(A25&lt;'Données projet'!$A$140,$CQ$205^A25,IF(A25='Données projet'!$A$140,'Données projet'!$B$140,CT24+CS25-DB24)))</f>
        <v>76.400000000000006</v>
      </c>
      <c r="CU25" s="17">
        <f>CT25*VLOOKUP('Données projet'!$B$13,Paramètres!$A$1:$I$89,3,0)*VLOOKUP('Données projet'!$B$13,Paramètres!$A$1:$I$89,5,0)</f>
        <v>60.783840000000012</v>
      </c>
      <c r="CV25" s="13">
        <f t="shared" si="41"/>
        <v>17.366298404318218</v>
      </c>
      <c r="CW25" s="20">
        <f t="shared" si="13"/>
        <v>136.11149105418758</v>
      </c>
      <c r="CX25" s="59">
        <f t="shared" si="14"/>
        <v>429.4448243875209</v>
      </c>
      <c r="CY25" s="59">
        <f ca="1">AVERAGE(OFFSET($CX$3,0,0,'Données projet'!$E$13+1,1))-AVERAGE(OFFSET($H$3,0,0,'Données projet'!$E$13+1,1))</f>
        <v>199.58763537752952</v>
      </c>
      <c r="CZ25" s="59">
        <f t="shared" si="42"/>
        <v>242.62852778451929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4.7220486903660666</v>
      </c>
      <c r="DH25" s="21">
        <f>EXP(-LN(2)/2)*DH24+(1-EXP(-LN(2)/2))/(LN(2)/2)*DB25*DE25*VLOOKUP('Données projet'!$B$13,Paramètres!$A$1:$I$89,3,0)*0.475*44/12</f>
        <v>4.034851321272753</v>
      </c>
      <c r="DI25" s="22">
        <f t="shared" si="15"/>
        <v>8.7569000116388196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13</v>
      </c>
      <c r="DO25" s="12">
        <f>IF('Données projet'!$A$166&gt;35,DO24+DN25-DW24,IF(A25&lt;'Données projet'!$A$166,$DL$205^A25,IF(A25='Données projet'!$A$166,'Données projet'!$B$166,DO24+DN25-DW24)))</f>
        <v>114</v>
      </c>
      <c r="DP25" s="17">
        <f>DO25*VLOOKUP('Données projet'!$B$14,Paramètres!$A$1:$I$89,3,0)*VLOOKUP('Données projet'!$B$14,Paramètres!$A$1:$I$89,5,0)</f>
        <v>68.172000000000011</v>
      </c>
      <c r="DQ25" s="13">
        <f t="shared" si="43"/>
        <v>19.21880399855084</v>
      </c>
      <c r="DR25" s="20">
        <f t="shared" si="16"/>
        <v>152.20565029747607</v>
      </c>
      <c r="DS25" s="59">
        <f t="shared" si="17"/>
        <v>445.53898363080941</v>
      </c>
      <c r="DT25" s="59">
        <f ca="1">AVERAGE(OFFSET($DS$3,0,0,'Données projet'!$E$14+1,1))-AVERAGE(OFFSET($H$3,0,0,'Données projet'!$E$14+1,1))</f>
        <v>216.94426559495264</v>
      </c>
      <c r="DU25" s="59">
        <f t="shared" si="44"/>
        <v>225.33715877618704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0.50458874062709436</v>
      </c>
      <c r="EC25" s="21">
        <f>EXP(-LN(2)/2)*EC24+(1-EXP(-LN(2)/2))/(LN(2)/2)*DW25*DZ25*VLOOKUP('Données projet'!$B$14,Paramètres!$A$1:$I$89,3,0)*0.475*44/12</f>
        <v>0.50780618544062006</v>
      </c>
      <c r="ED25" s="22">
        <f t="shared" si="18"/>
        <v>1.0123949260677145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22.2</v>
      </c>
      <c r="EJ25" s="12">
        <f>IF('Données projet'!$A$192&gt;35,EJ24+EI25-ER24,IF(A25&lt;'Données projet'!$A$192,$EG$205^A25,IF(A25='Données projet'!$A$192,'Données projet'!$B$192,EJ24+EI25-ER24)))</f>
        <v>140.4</v>
      </c>
      <c r="EK25" s="17">
        <f>EJ25*VLOOKUP('Données projet'!$B$15,Paramètres!$A$1:$I$89,3,0)*VLOOKUP('Données projet'!$B$15,Paramètres!$A$1:$I$89,5,0)</f>
        <v>67.53240000000001</v>
      </c>
      <c r="EL25" s="13">
        <f t="shared" si="45"/>
        <v>19.059391490646973</v>
      </c>
      <c r="EM25" s="20">
        <f t="shared" si="19"/>
        <v>150.81403684621014</v>
      </c>
      <c r="EN25" s="59">
        <f t="shared" si="20"/>
        <v>444.14737017954349</v>
      </c>
      <c r="EO25" s="59">
        <f ca="1">AVERAGE(OFFSET($EN$3,0,0,'Données projet'!$E$15+1,1))-AVERAGE(OFFSET($H$3,0,0,'Données projet'!$E$15+1,1))</f>
        <v>292.1792787220852</v>
      </c>
      <c r="EP25" s="59">
        <f t="shared" si="46"/>
        <v>273.69206144662144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173.09999999999997</v>
      </c>
      <c r="O26" s="13">
        <f>N26*VLOOKUP('Données projet'!$B$9,Paramètres!$A$1:$I$89,3,0)*VLOOKUP('Données projet'!$B$9,Paramètres!$A$1:$I$89,5,0)</f>
        <v>81.010799999999989</v>
      </c>
      <c r="P26" s="13">
        <f t="shared" si="33"/>
        <v>22.384149091932141</v>
      </c>
      <c r="Q26" s="20">
        <f t="shared" si="2"/>
        <v>180.07953633511511</v>
      </c>
      <c r="R26" s="59">
        <f t="shared" si="0"/>
        <v>473.41286966844842</v>
      </c>
      <c r="S26" s="59">
        <f ca="1">AVERAGE(OFFSET($R$3,0,0,'Données projet'!$E$9+1,1))-AVERAGE(OFFSET($H$3,0,0,'Données projet'!$E$9+1,1))</f>
        <v>215.23235148064941</v>
      </c>
      <c r="T26" s="59">
        <f t="shared" si="34"/>
        <v>184.07239726900434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1.9560500307153104</v>
      </c>
      <c r="AB26" s="21">
        <f>EXP(-LN(2)/2)*AB25+(1-EXP(-LN(2)/2))/(LN(2)/2)*V26*Y26*VLOOKUP('Données projet'!$B$9,Paramètres!$A$1:$I$89,3,0)*0.475*44/12</f>
        <v>1.170890860609356</v>
      </c>
      <c r="AC26" s="22">
        <f t="shared" si="3"/>
        <v>3.1269408913246663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8.6</v>
      </c>
      <c r="AI26" s="13">
        <f>IF('Données projet'!$A$62&gt;35,AI25+AH26-AQ25,IF(A26&lt;'Données projet'!$A$62,$AF$205^A26,IF(A26='Données projet'!$A$62,'Données projet'!$B$62,AI25+AH26-AQ25)))</f>
        <v>175.79999999999993</v>
      </c>
      <c r="AJ26" s="13">
        <f>AI26*VLOOKUP('Données projet'!$B$10,Paramètres!$A$1:$I$89,3,0)*VLOOKUP('Données projet'!$B$10,Paramètres!$A$1:$I$89,5,0)</f>
        <v>159.06383999999994</v>
      </c>
      <c r="AK26" s="13">
        <f t="shared" si="35"/>
        <v>40.631289844793223</v>
      </c>
      <c r="AL26" s="20">
        <f t="shared" si="4"/>
        <v>347.80235114634814</v>
      </c>
      <c r="AM26" s="59">
        <f t="shared" si="5"/>
        <v>641.13568447968146</v>
      </c>
      <c r="AN26" s="59">
        <f ca="1">AVERAGE(OFFSET($AM$3,0,0,'Données projet'!$E$10+1,1))-AVERAGE(OFFSET($H$3,0,0,'Données projet'!$E$10+1,1))</f>
        <v>225.28075317732998</v>
      </c>
      <c r="AO26" s="59">
        <f t="shared" si="36"/>
        <v>358.43407531256207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0.56552053776701416</v>
      </c>
      <c r="AV26" s="21">
        <f>EXP(-LN(2)/25)*AV25+(1-EXP(-LN(2)/25))/(LN(2)/25)*Calculateur!AQ26*Calculateur!AS26*VLOOKUP('Données projet'!$B$10,Paramètres!$A$1:$I$89,3,0)*0.475*44/12</f>
        <v>6.877490395317559</v>
      </c>
      <c r="AW26" s="21">
        <f>EXP(-LN(2)/2)*AW25+(1-EXP(-LN(2)/2))/(LN(2)/2)*AQ26*AT26*VLOOKUP('Données projet'!$B$10,Paramètres!$A$1:$I$89,3,0)*0.475*44/12</f>
        <v>3.1920607477764049</v>
      </c>
      <c r="AX26" s="21">
        <f t="shared" si="6"/>
        <v>10.635071680860978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22.2</v>
      </c>
      <c r="BD26" s="12">
        <f>IF('Données projet'!$A$88&gt;35,BD25+BC26-BL25,IF(A26&lt;'Données projet'!$A$88,$BA$205^A26,IF(A26='Données projet'!$A$88,'Données projet'!$B$88,BD25+BC26-BL25)))</f>
        <v>165.59999999999997</v>
      </c>
      <c r="BE26" s="13">
        <f>BD26*VLOOKUP('Données projet'!$B$11,Paramètres!$A$1:$I$89,3,0)*VLOOKUP('Données projet'!$B$11,Paramètres!$A$1:$I$89,5,0)</f>
        <v>92.570399999999978</v>
      </c>
      <c r="BF26" s="13">
        <f t="shared" si="37"/>
        <v>25.184123943972491</v>
      </c>
      <c r="BG26" s="20">
        <f t="shared" si="7"/>
        <v>205.08912920241869</v>
      </c>
      <c r="BH26" s="59">
        <f t="shared" si="8"/>
        <v>498.422462535752</v>
      </c>
      <c r="BI26" s="59">
        <f ca="1">AVERAGE(OFFSET($BH$3,0,0,'Données projet'!$E$11+1,1))-AVERAGE(OFFSET($H$3,0,0,'Données projet'!$E$11+1,1))</f>
        <v>326.31232746914907</v>
      </c>
      <c r="BJ26" s="59">
        <f t="shared" si="38"/>
        <v>330.17137761430297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11.775421184906168</v>
      </c>
      <c r="BR26" s="21">
        <f>EXP(-LN(2)/2)*BR25+(1-EXP(-LN(2)/2))/(LN(2)/2)*BL26*BO26*VLOOKUP('Données projet'!$B$11,Paramètres!$A$1:$I$89,3,0)*0.475*44/12</f>
        <v>7.0487629808683252</v>
      </c>
      <c r="BS26" s="22">
        <f t="shared" si="9"/>
        <v>18.824184165774493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16.399999999999999</v>
      </c>
      <c r="BY26" s="12">
        <f>IF('Données projet'!$A$114&gt;35,BY25+BX26-CG25,IF(A26&lt;'Données projet'!$A$114,$BV$205^A26,IF(A26='Données projet'!$A$114,'Données projet'!$B$114,BY25+BX26-CG25)))</f>
        <v>145.19999999999999</v>
      </c>
      <c r="BZ26" s="13">
        <f>BY26*VLOOKUP('Données projet'!$B$12,Paramètres!$A$1:$I$89,3,0)*VLOOKUP('Données projet'!$B$12,Paramètres!$A$1:$I$89,5,0)</f>
        <v>79.279199999999989</v>
      </c>
      <c r="CA26" s="13">
        <f t="shared" si="39"/>
        <v>21.960852053344638</v>
      </c>
      <c r="CB26" s="20">
        <f t="shared" si="10"/>
        <v>176.32642399290856</v>
      </c>
      <c r="CC26" s="59">
        <f t="shared" si="11"/>
        <v>469.6597573262419</v>
      </c>
      <c r="CD26" s="59">
        <f ca="1">AVERAGE(OFFSET($CC$3,0,0,'Données projet'!$E$12+1,1))-AVERAGE(OFFSET($H$3,0,0,'Données projet'!$E$12+1,1))</f>
        <v>210.04871822652808</v>
      </c>
      <c r="CE26" s="59">
        <f t="shared" si="40"/>
        <v>250.17540614049324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16.132078071499357</v>
      </c>
      <c r="CM26" s="21">
        <f>EXP(-LN(2)/2)*CM25+(1-EXP(-LN(2)/2))/(LN(2)/2)*CG26*CJ26*VLOOKUP('Données projet'!$B$12,Paramètres!$A$1:$I$89,3,0)*0.475*44/12</f>
        <v>8.851934906206731</v>
      </c>
      <c r="CN26" s="22">
        <f t="shared" si="12"/>
        <v>24.984012977706087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12.2</v>
      </c>
      <c r="CT26" s="12">
        <f>IF('Données projet'!$A$140&gt;35,CT25+CS26-DB25,IF(A26&lt;'Données projet'!$A$140,$CQ$205^A26,IF(A26='Données projet'!$A$140,'Données projet'!$B$140,CT25+CS26-DB25)))</f>
        <v>88.600000000000009</v>
      </c>
      <c r="CU26" s="17">
        <f>CT26*VLOOKUP('Données projet'!$B$13,Paramètres!$A$1:$I$89,3,0)*VLOOKUP('Données projet'!$B$13,Paramètres!$A$1:$I$89,5,0)</f>
        <v>70.490160000000017</v>
      </c>
      <c r="CV26" s="13">
        <f t="shared" si="41"/>
        <v>19.795132097024002</v>
      </c>
      <c r="CW26" s="20">
        <f t="shared" si="13"/>
        <v>157.24688373565013</v>
      </c>
      <c r="CX26" s="59">
        <f t="shared" si="14"/>
        <v>450.58021706898342</v>
      </c>
      <c r="CY26" s="59">
        <f ca="1">AVERAGE(OFFSET($CX$3,0,0,'Données projet'!$E$13+1,1))-AVERAGE(OFFSET($H$3,0,0,'Données projet'!$E$13+1,1))</f>
        <v>199.58763537752952</v>
      </c>
      <c r="CZ26" s="59">
        <f t="shared" si="42"/>
        <v>242.62852778451929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4.592924020606258</v>
      </c>
      <c r="DH26" s="21">
        <f>EXP(-LN(2)/2)*DH25+(1-EXP(-LN(2)/2))/(LN(2)/2)*DB26*DE26*VLOOKUP('Données projet'!$B$13,Paramètres!$A$1:$I$89,3,0)*0.475*44/12</f>
        <v>2.8530707303514649</v>
      </c>
      <c r="DI26" s="22">
        <f t="shared" si="15"/>
        <v>7.4459947509577233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13</v>
      </c>
      <c r="DO26" s="12">
        <f>IF('Données projet'!$A$166&gt;35,DO25+DN26-DW25,IF(A26&lt;'Données projet'!$A$166,$DL$205^A26,IF(A26='Données projet'!$A$166,'Données projet'!$B$166,DO25+DN26-DW25)))</f>
        <v>127</v>
      </c>
      <c r="DP26" s="17">
        <f>DO26*VLOOKUP('Données projet'!$B$14,Paramètres!$A$1:$I$89,3,0)*VLOOKUP('Données projet'!$B$14,Paramètres!$A$1:$I$89,5,0)</f>
        <v>75.945999999999998</v>
      </c>
      <c r="DQ26" s="13">
        <f t="shared" si="43"/>
        <v>21.142979995226831</v>
      </c>
      <c r="DR26" s="20">
        <f t="shared" si="16"/>
        <v>169.09664015835338</v>
      </c>
      <c r="DS26" s="59">
        <f t="shared" si="17"/>
        <v>462.42997349168672</v>
      </c>
      <c r="DT26" s="59">
        <f ca="1">AVERAGE(OFFSET($DS$3,0,0,'Données projet'!$E$14+1,1))-AVERAGE(OFFSET($H$3,0,0,'Données projet'!$E$14+1,1))</f>
        <v>216.94426559495264</v>
      </c>
      <c r="DU26" s="59">
        <f t="shared" si="44"/>
        <v>225.33715877618704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0.49079073497947784</v>
      </c>
      <c r="EC26" s="21">
        <f>EXP(-LN(2)/2)*EC25+(1-EXP(-LN(2)/2))/(LN(2)/2)*DW26*DZ26*VLOOKUP('Données projet'!$B$14,Paramètres!$A$1:$I$89,3,0)*0.475*44/12</f>
        <v>0.35907319725353593</v>
      </c>
      <c r="ED26" s="22">
        <f t="shared" si="18"/>
        <v>0.84986393223301371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22.2</v>
      </c>
      <c r="EJ26" s="12">
        <f>IF('Données projet'!$A$192&gt;35,EJ25+EI26-ER25,IF(A26&lt;'Données projet'!$A$192,$EG$205^A26,IF(A26='Données projet'!$A$192,'Données projet'!$B$192,EJ25+EI26-ER25)))</f>
        <v>162.6</v>
      </c>
      <c r="EK26" s="17">
        <f>EJ26*VLOOKUP('Données projet'!$B$15,Paramètres!$A$1:$I$89,3,0)*VLOOKUP('Données projet'!$B$15,Paramètres!$A$1:$I$89,5,0)</f>
        <v>78.210599999999999</v>
      </c>
      <c r="EL26" s="13">
        <f t="shared" si="45"/>
        <v>21.699092173018201</v>
      </c>
      <c r="EM26" s="20">
        <f t="shared" si="19"/>
        <v>174.00938053467337</v>
      </c>
      <c r="EN26" s="59">
        <f t="shared" si="20"/>
        <v>467.34271386800668</v>
      </c>
      <c r="EO26" s="59">
        <f ca="1">AVERAGE(OFFSET($EN$3,0,0,'Données projet'!$E$15+1,1))-AVERAGE(OFFSET($H$3,0,0,'Données projet'!$E$15+1,1))</f>
        <v>292.1792787220852</v>
      </c>
      <c r="EP26" s="59">
        <f t="shared" si="46"/>
        <v>273.69206144662144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182.29999999999995</v>
      </c>
      <c r="O27" s="13">
        <f>N27*VLOOKUP('Données projet'!$B$9,Paramètres!$A$1:$I$89,3,0)*VLOOKUP('Données projet'!$B$9,Paramètres!$A$1:$I$89,5,0)</f>
        <v>85.316399999999987</v>
      </c>
      <c r="P27" s="13">
        <f t="shared" si="33"/>
        <v>23.432164150529264</v>
      </c>
      <c r="Q27" s="20">
        <f t="shared" si="2"/>
        <v>189.40374922883845</v>
      </c>
      <c r="R27" s="59">
        <f t="shared" si="0"/>
        <v>482.73708256217174</v>
      </c>
      <c r="S27" s="59">
        <f ca="1">AVERAGE(OFFSET($R$3,0,0,'Données projet'!$E$9+1,1))-AVERAGE(OFFSET($H$3,0,0,'Données projet'!$E$9+1,1))</f>
        <v>215.23235148064941</v>
      </c>
      <c r="T27" s="59">
        <f t="shared" si="34"/>
        <v>184.07239726900434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1.9025617397611998</v>
      </c>
      <c r="AB27" s="21">
        <f>EXP(-LN(2)/2)*AB26+(1-EXP(-LN(2)/2))/(LN(2)/2)*V27*Y27*VLOOKUP('Données projet'!$B$9,Paramètres!$A$1:$I$89,3,0)*0.475*44/12</f>
        <v>0.8279448675662282</v>
      </c>
      <c r="AC27" s="22">
        <f t="shared" si="3"/>
        <v>2.730506607327428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8.6</v>
      </c>
      <c r="AI27" s="13">
        <f>IF('Données projet'!$A$62&gt;35,AI26+AH27-AQ26,IF(A27&lt;'Données projet'!$A$62,$AF$205^A27,IF(A27='Données projet'!$A$62,'Données projet'!$B$62,AI26+AH27-AQ26)))</f>
        <v>184.39999999999992</v>
      </c>
      <c r="AJ27" s="13">
        <f>AI27*VLOOKUP('Données projet'!$B$10,Paramètres!$A$1:$I$89,3,0)*VLOOKUP('Données projet'!$B$10,Paramètres!$A$1:$I$89,5,0)</f>
        <v>166.84511999999992</v>
      </c>
      <c r="AK27" s="13">
        <f t="shared" si="35"/>
        <v>42.382666918050084</v>
      </c>
      <c r="AL27" s="20">
        <f t="shared" si="4"/>
        <v>364.40506221560372</v>
      </c>
      <c r="AM27" s="59">
        <f t="shared" si="5"/>
        <v>657.73839554893698</v>
      </c>
      <c r="AN27" s="59">
        <f ca="1">AVERAGE(OFFSET($AM$3,0,0,'Données projet'!$E$10+1,1))-AVERAGE(OFFSET($H$3,0,0,'Données projet'!$E$10+1,1))</f>
        <v>225.28075317732998</v>
      </c>
      <c r="AO27" s="59">
        <f t="shared" si="36"/>
        <v>358.43407531256207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0.55443102495487173</v>
      </c>
      <c r="AV27" s="21">
        <f>EXP(-LN(2)/25)*AV26+(1-EXP(-LN(2)/25))/(LN(2)/25)*Calculateur!AQ27*Calculateur!AS27*VLOOKUP('Données projet'!$B$10,Paramètres!$A$1:$I$89,3,0)*0.475*44/12</f>
        <v>6.6894250587860995</v>
      </c>
      <c r="AW27" s="21">
        <f>EXP(-LN(2)/2)*AW26+(1-EXP(-LN(2)/2))/(LN(2)/2)*AQ27*AT27*VLOOKUP('Données projet'!$B$10,Paramètres!$A$1:$I$89,3,0)*0.475*44/12</f>
        <v>2.2571278007120976</v>
      </c>
      <c r="AX27" s="21">
        <f t="shared" si="6"/>
        <v>9.5009838844530687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22.2</v>
      </c>
      <c r="BD27" s="12">
        <f>IF('Données projet'!$A$88&gt;35,BD26+BC27-BL26,IF(A27&lt;'Données projet'!$A$88,$BA$205^A27,IF(A27='Données projet'!$A$88,'Données projet'!$B$88,BD26+BC27-BL26)))</f>
        <v>187.79999999999995</v>
      </c>
      <c r="BE27" s="13">
        <f>BD27*VLOOKUP('Données projet'!$B$11,Paramètres!$A$1:$I$89,3,0)*VLOOKUP('Données projet'!$B$11,Paramètres!$A$1:$I$89,5,0)</f>
        <v>104.98019999999997</v>
      </c>
      <c r="BF27" s="13">
        <f t="shared" si="37"/>
        <v>28.145084690033578</v>
      </c>
      <c r="BG27" s="20">
        <f t="shared" si="7"/>
        <v>231.85987083514172</v>
      </c>
      <c r="BH27" s="59">
        <f t="shared" si="8"/>
        <v>525.19320416847506</v>
      </c>
      <c r="BI27" s="59">
        <f ca="1">AVERAGE(OFFSET($BH$3,0,0,'Données projet'!$E$11+1,1))-AVERAGE(OFFSET($H$3,0,0,'Données projet'!$E$11+1,1))</f>
        <v>326.31232746914907</v>
      </c>
      <c r="BJ27" s="59">
        <f t="shared" si="38"/>
        <v>330.17137761430297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11.453421673362422</v>
      </c>
      <c r="BR27" s="21">
        <f>EXP(-LN(2)/2)*BR26+(1-EXP(-LN(2)/2))/(LN(2)/2)*BL27*BO27*VLOOKUP('Données projet'!$B$11,Paramètres!$A$1:$I$89,3,0)*0.475*44/12</f>
        <v>4.9842281027486957</v>
      </c>
      <c r="BS27" s="22">
        <f t="shared" si="9"/>
        <v>16.437649776111119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16.399999999999999</v>
      </c>
      <c r="BY27" s="12">
        <f>IF('Données projet'!$A$114&gt;35,BY26+BX27-CG26,IF(A27&lt;'Données projet'!$A$114,$BV$205^A27,IF(A27='Données projet'!$A$114,'Données projet'!$B$114,BY26+BX27-CG26)))</f>
        <v>161.6</v>
      </c>
      <c r="BZ27" s="13">
        <f>BY27*VLOOKUP('Données projet'!$B$12,Paramètres!$A$1:$I$89,3,0)*VLOOKUP('Données projet'!$B$12,Paramètres!$A$1:$I$89,5,0)</f>
        <v>88.23360000000001</v>
      </c>
      <c r="CA27" s="13">
        <f t="shared" si="39"/>
        <v>24.138721634312098</v>
      </c>
      <c r="CB27" s="20">
        <f t="shared" si="10"/>
        <v>195.7151268464269</v>
      </c>
      <c r="CC27" s="59">
        <f t="shared" si="11"/>
        <v>489.04846017976024</v>
      </c>
      <c r="CD27" s="59">
        <f ca="1">AVERAGE(OFFSET($CC$3,0,0,'Données projet'!$E$12+1,1))-AVERAGE(OFFSET($H$3,0,0,'Données projet'!$E$12+1,1))</f>
        <v>210.04871822652808</v>
      </c>
      <c r="CE27" s="59">
        <f t="shared" si="40"/>
        <v>250.17540614049324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15.690945548285091</v>
      </c>
      <c r="CM27" s="21">
        <f>EXP(-LN(2)/2)*CM26+(1-EXP(-LN(2)/2))/(LN(2)/2)*CG27*CJ27*VLOOKUP('Données projet'!$B$12,Paramètres!$A$1:$I$89,3,0)*0.475*44/12</f>
        <v>6.259263198800685</v>
      </c>
      <c r="CN27" s="22">
        <f t="shared" si="12"/>
        <v>21.950208747085775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12.2</v>
      </c>
      <c r="CT27" s="12">
        <f>IF('Données projet'!$A$140&gt;35,CT26+CS27-DB26,IF(A27&lt;'Données projet'!$A$140,$CQ$205^A27,IF(A27='Données projet'!$A$140,'Données projet'!$B$140,CT26+CS27-DB26)))</f>
        <v>100.80000000000001</v>
      </c>
      <c r="CU27" s="17">
        <f>CT27*VLOOKUP('Données projet'!$B$13,Paramètres!$A$1:$I$89,3,0)*VLOOKUP('Données projet'!$B$13,Paramètres!$A$1:$I$89,5,0)</f>
        <v>80.196480000000022</v>
      </c>
      <c r="CV27" s="13">
        <f t="shared" si="41"/>
        <v>22.185217649516332</v>
      </c>
      <c r="CW27" s="20">
        <f t="shared" si="13"/>
        <v>178.31479007290764</v>
      </c>
      <c r="CX27" s="59">
        <f t="shared" si="14"/>
        <v>471.64812340624098</v>
      </c>
      <c r="CY27" s="59">
        <f ca="1">AVERAGE(OFFSET($CX$3,0,0,'Données projet'!$E$13+1,1))-AVERAGE(OFFSET($H$3,0,0,'Données projet'!$E$13+1,1))</f>
        <v>199.58763537752952</v>
      </c>
      <c r="CZ27" s="59">
        <f t="shared" si="42"/>
        <v>242.62852778451929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4.4673302717314032</v>
      </c>
      <c r="DH27" s="21">
        <f>EXP(-LN(2)/2)*DH26+(1-EXP(-LN(2)/2))/(LN(2)/2)*DB27*DE27*VLOOKUP('Données projet'!$B$13,Paramètres!$A$1:$I$89,3,0)*0.475*44/12</f>
        <v>2.0174256606363765</v>
      </c>
      <c r="DI27" s="22">
        <f t="shared" si="15"/>
        <v>6.4847559323677793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13</v>
      </c>
      <c r="DO27" s="12">
        <f>IF('Données projet'!$A$166&gt;35,DO26+DN27-DW26,IF(A27&lt;'Données projet'!$A$166,$DL$205^A27,IF(A27='Données projet'!$A$166,'Données projet'!$B$166,DO26+DN27-DW26)))</f>
        <v>140</v>
      </c>
      <c r="DP27" s="17">
        <f>DO27*VLOOKUP('Données projet'!$B$14,Paramètres!$A$1:$I$89,3,0)*VLOOKUP('Données projet'!$B$14,Paramètres!$A$1:$I$89,5,0)</f>
        <v>83.720000000000013</v>
      </c>
      <c r="DQ27" s="13">
        <f t="shared" si="43"/>
        <v>23.044323503842598</v>
      </c>
      <c r="DR27" s="20">
        <f t="shared" si="16"/>
        <v>185.9478634358592</v>
      </c>
      <c r="DS27" s="59">
        <f t="shared" si="17"/>
        <v>479.28119676919255</v>
      </c>
      <c r="DT27" s="59">
        <f ca="1">AVERAGE(OFFSET($DS$3,0,0,'Données projet'!$E$14+1,1))-AVERAGE(OFFSET($H$3,0,0,'Données projet'!$E$14+1,1))</f>
        <v>216.94426559495264</v>
      </c>
      <c r="DU27" s="59">
        <f t="shared" si="44"/>
        <v>225.33715877618704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0.47737003652190096</v>
      </c>
      <c r="EC27" s="21">
        <f>EXP(-LN(2)/2)*EC26+(1-EXP(-LN(2)/2))/(LN(2)/2)*DW27*DZ27*VLOOKUP('Données projet'!$B$14,Paramètres!$A$1:$I$89,3,0)*0.475*44/12</f>
        <v>0.25390309272031009</v>
      </c>
      <c r="ED27" s="22">
        <f t="shared" si="18"/>
        <v>0.731273129242211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22.2</v>
      </c>
      <c r="EJ27" s="12">
        <f>IF('Données projet'!$A$192&gt;35,EJ26+EI27-ER26,IF(A27&lt;'Données projet'!$A$192,$EG$205^A27,IF(A27='Données projet'!$A$192,'Données projet'!$B$192,EJ26+EI27-ER26)))</f>
        <v>184.79999999999998</v>
      </c>
      <c r="EK27" s="17">
        <f>EJ27*VLOOKUP('Données projet'!$B$15,Paramètres!$A$1:$I$89,3,0)*VLOOKUP('Données projet'!$B$15,Paramètres!$A$1:$I$89,5,0)</f>
        <v>88.888799999999989</v>
      </c>
      <c r="EL27" s="13">
        <f t="shared" si="45"/>
        <v>24.297036846372382</v>
      </c>
      <c r="EM27" s="20">
        <f t="shared" si="19"/>
        <v>197.13199917409852</v>
      </c>
      <c r="EN27" s="59">
        <f t="shared" si="20"/>
        <v>490.46533250743187</v>
      </c>
      <c r="EO27" s="59">
        <f ca="1">AVERAGE(OFFSET($EN$3,0,0,'Données projet'!$E$15+1,1))-AVERAGE(OFFSET($H$3,0,0,'Données projet'!$E$15+1,1))</f>
        <v>292.1792787220852</v>
      </c>
      <c r="EP27" s="59">
        <f t="shared" si="46"/>
        <v>273.69206144662144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191.49999999999994</v>
      </c>
      <c r="O28" s="13">
        <f>N28*VLOOKUP('Données projet'!$B$9,Paramètres!$A$1:$I$89,3,0)*VLOOKUP('Données projet'!$B$9,Paramètres!$A$1:$I$89,5,0)</f>
        <v>89.621999999999986</v>
      </c>
      <c r="P28" s="13">
        <f t="shared" si="33"/>
        <v>24.47403817697321</v>
      </c>
      <c r="Q28" s="20">
        <f t="shared" si="2"/>
        <v>198.71726649156165</v>
      </c>
      <c r="R28" s="59">
        <f t="shared" si="0"/>
        <v>492.05059982489496</v>
      </c>
      <c r="S28" s="59">
        <f ca="1">AVERAGE(OFFSET($R$3,0,0,'Données projet'!$E$9+1,1))-AVERAGE(OFFSET($H$3,0,0,'Données projet'!$E$9+1,1))</f>
        <v>215.23235148064941</v>
      </c>
      <c r="T28" s="59">
        <f t="shared" si="34"/>
        <v>184.07239726900434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1.8505360889360563</v>
      </c>
      <c r="AB28" s="21">
        <f>EXP(-LN(2)/2)*AB27+(1-EXP(-LN(2)/2))/(LN(2)/2)*V28*Y28*VLOOKUP('Données projet'!$B$9,Paramètres!$A$1:$I$89,3,0)*0.475*44/12</f>
        <v>0.58544543030467799</v>
      </c>
      <c r="AC28" s="22">
        <f t="shared" si="3"/>
        <v>2.4359815192407344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193</v>
      </c>
      <c r="AG28" s="12">
        <f>VLOOKUP(A28,'Données projet'!$A$61:$I$81,9,0)</f>
        <v>8.6</v>
      </c>
      <c r="AH28" s="12">
        <f t="array" ref="AH28">INDEX(AG:AG,MIN(IF(ISNUMBER(AG28:AG224),ROW(AG28:AG224),"")))</f>
        <v>8.6</v>
      </c>
      <c r="AI28" s="13">
        <f>IF('Données projet'!$A$62&gt;35,AI27+AH28-AQ27,IF(A28&lt;'Données projet'!$A$62,$AF$205^A28,IF(A28='Données projet'!$A$62,'Données projet'!$B$62,AI27+AH28-AQ27)))</f>
        <v>192.99999999999991</v>
      </c>
      <c r="AJ28" s="13">
        <f>AI28*VLOOKUP('Données projet'!$B$10,Paramètres!$A$1:$I$89,3,0)*VLOOKUP('Données projet'!$B$10,Paramètres!$A$1:$I$89,5,0)</f>
        <v>174.6263999999999</v>
      </c>
      <c r="AK28" s="13">
        <f t="shared" si="35"/>
        <v>44.124558536403974</v>
      </c>
      <c r="AL28" s="20">
        <f t="shared" si="4"/>
        <v>380.99125278423679</v>
      </c>
      <c r="AM28" s="59">
        <f t="shared" si="5"/>
        <v>674.32458611757011</v>
      </c>
      <c r="AN28" s="59">
        <f ca="1">AVERAGE(OFFSET($AM$3,0,0,'Données projet'!$E$10+1,1))-AVERAGE(OFFSET($H$3,0,0,'Données projet'!$E$10+1,1))</f>
        <v>225.28075317732998</v>
      </c>
      <c r="AO28" s="59">
        <f t="shared" si="36"/>
        <v>358.43407531256207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14</v>
      </c>
      <c r="AR28" s="16">
        <f>IF(ISNA(VLOOKUP(A28,'Données projet'!$A$61:$I$81,5,0)),0%,VLOOKUP(A28,'Données projet'!$A$61:$I$81,5,0)*VLOOKUP('Données projet'!$B$10,Paramètres!$A$1:$I$89,7,0))</f>
        <v>0.06</v>
      </c>
      <c r="AS28" s="16">
        <f>IF(ISNA(VLOOKUP(A28,'Données projet'!$A$61:$I$81,6,0)),0%,VLOOKUP(A28,'Données projet'!$A$61:$I$81,6,0)*VLOOKUP('Données projet'!$B$10,Paramètres!$A$1:$I$89,7,0))</f>
        <v>0.12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1.3837518342222275</v>
      </c>
      <c r="AV28" s="21">
        <f>EXP(-LN(2)/25)*AV27+(1-EXP(-LN(2)/25))/(LN(2)/25)*Calculateur!AQ28*Calculateur!AS28*VLOOKUP('Données projet'!$B$10,Paramètres!$A$1:$I$89,3,0)*0.475*44/12</f>
        <v>8.1802717868820576</v>
      </c>
      <c r="AW28" s="21">
        <f>EXP(-LN(2)/2)*AW27+(1-EXP(-LN(2)/2))/(LN(2)/2)*AQ28*AT28*VLOOKUP('Données projet'!$B$10,Paramètres!$A$1:$I$89,3,0)*0.475*44/12</f>
        <v>6.3767680269639513</v>
      </c>
      <c r="AX28" s="21">
        <f t="shared" si="6"/>
        <v>15.940791648068236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22.2</v>
      </c>
      <c r="BD28" s="12">
        <f>IF('Données projet'!$A$88&gt;35,BD27+BC28-BL27,IF(A28&lt;'Données projet'!$A$88,$BA$205^A28,IF(A28='Données projet'!$A$88,'Données projet'!$B$88,BD27+BC28-BL27)))</f>
        <v>209.99999999999994</v>
      </c>
      <c r="BE28" s="13">
        <f>BD28*VLOOKUP('Données projet'!$B$11,Paramètres!$A$1:$I$89,3,0)*VLOOKUP('Données projet'!$B$11,Paramètres!$A$1:$I$89,5,0)</f>
        <v>117.38999999999996</v>
      </c>
      <c r="BF28" s="13">
        <f t="shared" si="37"/>
        <v>31.065482772413461</v>
      </c>
      <c r="BG28" s="20">
        <f t="shared" si="7"/>
        <v>258.55996582862002</v>
      </c>
      <c r="BH28" s="59">
        <f t="shared" si="8"/>
        <v>551.89329916195334</v>
      </c>
      <c r="BI28" s="59">
        <f ca="1">AVERAGE(OFFSET($BH$3,0,0,'Données projet'!$E$11+1,1))-AVERAGE(OFFSET($H$3,0,0,'Données projet'!$E$11+1,1))</f>
        <v>326.31232746914907</v>
      </c>
      <c r="BJ28" s="59">
        <f t="shared" si="38"/>
        <v>330.17137761430297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11.140227255395057</v>
      </c>
      <c r="BR28" s="21">
        <f>EXP(-LN(2)/2)*BR27+(1-EXP(-LN(2)/2))/(LN(2)/2)*BL28*BO28*VLOOKUP('Données projet'!$B$11,Paramètres!$A$1:$I$89,3,0)*0.475*44/12</f>
        <v>3.524381490434163</v>
      </c>
      <c r="BS28" s="22">
        <f t="shared" si="9"/>
        <v>14.66460874582922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16.399999999999999</v>
      </c>
      <c r="BY28" s="12">
        <f>IF('Données projet'!$A$114&gt;35,BY27+BX28-CG27,IF(A28&lt;'Données projet'!$A$114,$BV$205^A28,IF(A28='Données projet'!$A$114,'Données projet'!$B$114,BY27+BX28-CG27)))</f>
        <v>178</v>
      </c>
      <c r="BZ28" s="13">
        <f>BY28*VLOOKUP('Données projet'!$B$12,Paramètres!$A$1:$I$89,3,0)*VLOOKUP('Données projet'!$B$12,Paramètres!$A$1:$I$89,5,0)</f>
        <v>97.187999999999988</v>
      </c>
      <c r="CA28" s="13">
        <f t="shared" si="39"/>
        <v>26.290969297460332</v>
      </c>
      <c r="CB28" s="20">
        <f t="shared" si="10"/>
        <v>215.0592048597434</v>
      </c>
      <c r="CC28" s="59">
        <f t="shared" si="11"/>
        <v>508.39253819307669</v>
      </c>
      <c r="CD28" s="59">
        <f ca="1">AVERAGE(OFFSET($CC$3,0,0,'Données projet'!$E$12+1,1))-AVERAGE(OFFSET($H$3,0,0,'Données projet'!$E$12+1,1))</f>
        <v>210.04871822652808</v>
      </c>
      <c r="CE28" s="59">
        <f t="shared" si="40"/>
        <v>250.17540614049324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15.261875817116271</v>
      </c>
      <c r="CM28" s="21">
        <f>EXP(-LN(2)/2)*CM27+(1-EXP(-LN(2)/2))/(LN(2)/2)*CG28*CJ28*VLOOKUP('Données projet'!$B$12,Paramètres!$A$1:$I$89,3,0)*0.475*44/12</f>
        <v>4.4259674531033655</v>
      </c>
      <c r="CN28" s="22">
        <f t="shared" si="12"/>
        <v>19.687843270219638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12.2</v>
      </c>
      <c r="CT28" s="12">
        <f>IF('Données projet'!$A$140&gt;35,CT27+CS28-DB27,IF(A28&lt;'Données projet'!$A$140,$CQ$205^A28,IF(A28='Données projet'!$A$140,'Données projet'!$B$140,CT27+CS28-DB27)))</f>
        <v>113.00000000000001</v>
      </c>
      <c r="CU28" s="17">
        <f>CT28*VLOOKUP('Données projet'!$B$13,Paramètres!$A$1:$I$89,3,0)*VLOOKUP('Données projet'!$B$13,Paramètres!$A$1:$I$89,5,0)</f>
        <v>89.902800000000013</v>
      </c>
      <c r="CV28" s="13">
        <f t="shared" si="41"/>
        <v>24.541781220398729</v>
      </c>
      <c r="CW28" s="20">
        <f t="shared" si="13"/>
        <v>199.32431229219446</v>
      </c>
      <c r="CX28" s="59">
        <f t="shared" si="14"/>
        <v>492.65764562552778</v>
      </c>
      <c r="CY28" s="59">
        <f ca="1">AVERAGE(OFFSET($CX$3,0,0,'Données projet'!$E$13+1,1))-AVERAGE(OFFSET($H$3,0,0,'Données projet'!$E$13+1,1))</f>
        <v>199.58763537752952</v>
      </c>
      <c r="CZ28" s="59">
        <f t="shared" si="42"/>
        <v>242.62852778451929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4.3451708905242192</v>
      </c>
      <c r="DH28" s="21">
        <f>EXP(-LN(2)/2)*DH27+(1-EXP(-LN(2)/2))/(LN(2)/2)*DB28*DE28*VLOOKUP('Données projet'!$B$13,Paramètres!$A$1:$I$89,3,0)*0.475*44/12</f>
        <v>1.4265353651757324</v>
      </c>
      <c r="DI28" s="22">
        <f t="shared" si="15"/>
        <v>5.7717062556999519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13</v>
      </c>
      <c r="DO28" s="12">
        <f>IF('Données projet'!$A$166&gt;35,DO27+DN28-DW27,IF(A28&lt;'Données projet'!$A$166,$DL$205^A28,IF(A28='Données projet'!$A$166,'Données projet'!$B$166,DO27+DN28-DW27)))</f>
        <v>153</v>
      </c>
      <c r="DP28" s="17">
        <f>DO28*VLOOKUP('Données projet'!$B$14,Paramètres!$A$1:$I$89,3,0)*VLOOKUP('Données projet'!$B$14,Paramètres!$A$1:$I$89,5,0)</f>
        <v>91.494000000000014</v>
      </c>
      <c r="DQ28" s="13">
        <f t="shared" si="43"/>
        <v>24.925195840896542</v>
      </c>
      <c r="DR28" s="20">
        <f t="shared" si="16"/>
        <v>202.76343275622813</v>
      </c>
      <c r="DS28" s="59">
        <f t="shared" si="17"/>
        <v>496.09676608956147</v>
      </c>
      <c r="DT28" s="59">
        <f ca="1">AVERAGE(OFFSET($DS$3,0,0,'Données projet'!$E$14+1,1))-AVERAGE(OFFSET($H$3,0,0,'Données projet'!$E$14+1,1))</f>
        <v>216.94426559495264</v>
      </c>
      <c r="DU28" s="59">
        <f t="shared" si="44"/>
        <v>225.33715877618704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0.4643163277694104</v>
      </c>
      <c r="EC28" s="21">
        <f>EXP(-LN(2)/2)*EC27+(1-EXP(-LN(2)/2))/(LN(2)/2)*DW28*DZ28*VLOOKUP('Données projet'!$B$14,Paramètres!$A$1:$I$89,3,0)*0.475*44/12</f>
        <v>0.17953659862676799</v>
      </c>
      <c r="ED28" s="22">
        <f t="shared" si="18"/>
        <v>0.64385292639617842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22.2</v>
      </c>
      <c r="EJ28" s="12">
        <f>IF('Données projet'!$A$192&gt;35,EJ27+EI28-ER27,IF(A28&lt;'Données projet'!$A$192,$EG$205^A28,IF(A28='Données projet'!$A$192,'Données projet'!$B$192,EJ27+EI28-ER27)))</f>
        <v>206.99999999999997</v>
      </c>
      <c r="EK28" s="17">
        <f>EJ28*VLOOKUP('Données projet'!$B$15,Paramètres!$A$1:$I$89,3,0)*VLOOKUP('Données projet'!$B$15,Paramètres!$A$1:$I$89,5,0)</f>
        <v>99.566999999999993</v>
      </c>
      <c r="EL28" s="13">
        <f t="shared" si="45"/>
        <v>26.858815231289142</v>
      </c>
      <c r="EM28" s="20">
        <f t="shared" si="19"/>
        <v>220.19162819449525</v>
      </c>
      <c r="EN28" s="59">
        <f t="shared" si="20"/>
        <v>513.52496152782851</v>
      </c>
      <c r="EO28" s="59">
        <f ca="1">AVERAGE(OFFSET($EN$3,0,0,'Données projet'!$E$15+1,1))-AVERAGE(OFFSET($H$3,0,0,'Données projet'!$E$15+1,1))</f>
        <v>292.1792787220852</v>
      </c>
      <c r="EP28" s="59">
        <f t="shared" si="46"/>
        <v>273.69206144662144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200.69999999999993</v>
      </c>
      <c r="O29" s="13">
        <f>N29*VLOOKUP('Données projet'!$B$9,Paramètres!$A$1:$I$89,3,0)*VLOOKUP('Données projet'!$B$9,Paramètres!$A$1:$I$89,5,0)</f>
        <v>93.927599999999956</v>
      </c>
      <c r="P29" s="13">
        <f t="shared" si="33"/>
        <v>25.510099877901624</v>
      </c>
      <c r="Q29" s="20">
        <f t="shared" si="2"/>
        <v>208.02066062067857</v>
      </c>
      <c r="R29" s="59">
        <f t="shared" si="0"/>
        <v>501.35399395401191</v>
      </c>
      <c r="S29" s="59">
        <f ca="1">AVERAGE(OFFSET($R$3,0,0,'Données projet'!$E$9+1,1))-AVERAGE(OFFSET($H$3,0,0,'Données projet'!$E$9+1,1))</f>
        <v>215.23235148064941</v>
      </c>
      <c r="T29" s="59">
        <f t="shared" si="34"/>
        <v>184.07239726900434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1.7999330822686364</v>
      </c>
      <c r="AB29" s="21">
        <f>EXP(-LN(2)/2)*AB28+(1-EXP(-LN(2)/2))/(LN(2)/2)*V29*Y29*VLOOKUP('Données projet'!$B$9,Paramètres!$A$1:$I$89,3,0)*0.475*44/12</f>
        <v>0.4139724337831141</v>
      </c>
      <c r="AC29" s="22">
        <f t="shared" si="3"/>
        <v>2.2139055160517502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6.8</v>
      </c>
      <c r="AI29" s="13">
        <f>IF('Données projet'!$A$62&gt;35,AI28+AH29-AQ28,IF(A29&lt;'Données projet'!$A$62,$AF$205^A29,IF(A29='Données projet'!$A$62,'Données projet'!$B$62,AI28+AH29-AQ28)))</f>
        <v>185.79999999999993</v>
      </c>
      <c r="AJ29" s="13">
        <f>AI29*VLOOKUP('Données projet'!$B$10,Paramètres!$A$1:$I$89,3,0)*VLOOKUP('Données projet'!$B$10,Paramètres!$A$1:$I$89,5,0)</f>
        <v>168.11183999999994</v>
      </c>
      <c r="AK29" s="13">
        <f t="shared" si="35"/>
        <v>42.666864059506466</v>
      </c>
      <c r="AL29" s="20">
        <f t="shared" si="4"/>
        <v>367.10624290364035</v>
      </c>
      <c r="AM29" s="59">
        <f t="shared" si="5"/>
        <v>660.43957623697361</v>
      </c>
      <c r="AN29" s="59">
        <f ca="1">AVERAGE(OFFSET($AM$3,0,0,'Données projet'!$E$10+1,1))-AVERAGE(OFFSET($H$3,0,0,'Données projet'!$E$10+1,1))</f>
        <v>225.28075317732998</v>
      </c>
      <c r="AO29" s="59">
        <f t="shared" si="36"/>
        <v>358.43407531256207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1.3566173047584098</v>
      </c>
      <c r="AV29" s="21">
        <f>EXP(-LN(2)/25)*AV28+(1-EXP(-LN(2)/25))/(LN(2)/25)*Calculateur!AQ29*Calculateur!AS29*VLOOKUP('Données projet'!$B$10,Paramètres!$A$1:$I$89,3,0)*0.475*44/12</f>
        <v>7.9565818246879711</v>
      </c>
      <c r="AW29" s="21">
        <f>EXP(-LN(2)/2)*AW28+(1-EXP(-LN(2)/2))/(LN(2)/2)*AQ29*AT29*VLOOKUP('Données projet'!$B$10,Paramètres!$A$1:$I$89,3,0)*0.475*44/12</f>
        <v>4.509055913919771</v>
      </c>
      <c r="AX29" s="21">
        <f t="shared" si="6"/>
        <v>13.822255043366152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22.2</v>
      </c>
      <c r="BD29" s="12">
        <f>IF('Données projet'!$A$88&gt;35,BD28+BC29-BL28,IF(A29&lt;'Données projet'!$A$88,$BA$205^A29,IF(A29='Données projet'!$A$88,'Données projet'!$B$88,BD28+BC29-BL28)))</f>
        <v>232.19999999999993</v>
      </c>
      <c r="BE29" s="13">
        <f>BD29*VLOOKUP('Données projet'!$B$11,Paramètres!$A$1:$I$89,3,0)*VLOOKUP('Données projet'!$B$11,Paramètres!$A$1:$I$89,5,0)</f>
        <v>129.79979999999998</v>
      </c>
      <c r="BF29" s="13">
        <f t="shared" si="37"/>
        <v>33.950094841766401</v>
      </c>
      <c r="BG29" s="20">
        <f t="shared" si="7"/>
        <v>285.19773351607643</v>
      </c>
      <c r="BH29" s="59">
        <f t="shared" si="8"/>
        <v>578.53106684940974</v>
      </c>
      <c r="BI29" s="59">
        <f ca="1">AVERAGE(OFFSET($BH$3,0,0,'Données projet'!$E$11+1,1))-AVERAGE(OFFSET($H$3,0,0,'Données projet'!$E$11+1,1))</f>
        <v>326.31232746914907</v>
      </c>
      <c r="BJ29" s="59">
        <f t="shared" si="38"/>
        <v>330.17137761430297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10.83559715525719</v>
      </c>
      <c r="BR29" s="21">
        <f>EXP(-LN(2)/2)*BR28+(1-EXP(-LN(2)/2))/(LN(2)/2)*BL29*BO29*VLOOKUP('Données projet'!$B$11,Paramètres!$A$1:$I$89,3,0)*0.475*44/12</f>
        <v>2.4921140513743483</v>
      </c>
      <c r="BS29" s="22">
        <f t="shared" si="9"/>
        <v>13.327711206631538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194.4</v>
      </c>
      <c r="BZ29" s="13">
        <f>BY29*VLOOKUP('Données projet'!$B$12,Paramètres!$A$1:$I$89,3,0)*VLOOKUP('Données projet'!$B$12,Paramètres!$A$1:$I$89,5,0)</f>
        <v>106.14239999999999</v>
      </c>
      <c r="CA29" s="13">
        <f t="shared" si="39"/>
        <v>28.420224211524975</v>
      </c>
      <c r="CB29" s="20">
        <f t="shared" si="10"/>
        <v>234.36323716840596</v>
      </c>
      <c r="CC29" s="59">
        <f t="shared" si="11"/>
        <v>527.6965705017393</v>
      </c>
      <c r="CD29" s="59">
        <f ca="1">AVERAGE(OFFSET($CC$3,0,0,'Données projet'!$E$12+1,1))-AVERAGE(OFFSET($H$3,0,0,'Données projet'!$E$12+1,1))</f>
        <v>210.04871822652808</v>
      </c>
      <c r="CE29" s="59">
        <f t="shared" si="40"/>
        <v>250.17540614049324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14.844539020310059</v>
      </c>
      <c r="CM29" s="21">
        <f>EXP(-LN(2)/2)*CM28+(1-EXP(-LN(2)/2))/(LN(2)/2)*CG29*CJ29*VLOOKUP('Données projet'!$B$12,Paramètres!$A$1:$I$89,3,0)*0.475*44/12</f>
        <v>3.1296315994003425</v>
      </c>
      <c r="CN29" s="22">
        <f t="shared" si="12"/>
        <v>17.974170619710399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12.2</v>
      </c>
      <c r="CT29" s="12">
        <f>IF('Données projet'!$A$140&gt;35,CT28+CS29-DB28,IF(A29&lt;'Données projet'!$A$140,$CQ$205^A29,IF(A29='Données projet'!$A$140,'Données projet'!$B$140,CT28+CS29-DB28)))</f>
        <v>125.20000000000002</v>
      </c>
      <c r="CU29" s="17">
        <f>CT29*VLOOKUP('Données projet'!$B$13,Paramètres!$A$1:$I$89,3,0)*VLOOKUP('Données projet'!$B$13,Paramètres!$A$1:$I$89,5,0)</f>
        <v>99.609120000000019</v>
      </c>
      <c r="CV29" s="13">
        <f t="shared" si="41"/>
        <v>26.868854563103099</v>
      </c>
      <c r="CW29" s="20">
        <f t="shared" si="13"/>
        <v>220.28247236407125</v>
      </c>
      <c r="CX29" s="59">
        <f t="shared" si="14"/>
        <v>513.61580569740454</v>
      </c>
      <c r="CY29" s="59">
        <f ca="1">AVERAGE(OFFSET($CX$3,0,0,'Données projet'!$E$13+1,1))-AVERAGE(OFFSET($H$3,0,0,'Données projet'!$E$13+1,1))</f>
        <v>199.58763537752952</v>
      </c>
      <c r="CZ29" s="59">
        <f t="shared" si="42"/>
        <v>242.62852778451929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4.2263519640202283</v>
      </c>
      <c r="DH29" s="21">
        <f>EXP(-LN(2)/2)*DH28+(1-EXP(-LN(2)/2))/(LN(2)/2)*DB29*DE29*VLOOKUP('Données projet'!$B$13,Paramètres!$A$1:$I$89,3,0)*0.475*44/12</f>
        <v>1.0087128303181883</v>
      </c>
      <c r="DI29" s="22">
        <f t="shared" si="15"/>
        <v>5.2350647943384168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13</v>
      </c>
      <c r="DO29" s="12">
        <f>IF('Données projet'!$A$166&gt;35,DO28+DN29-DW28,IF(A29&lt;'Données projet'!$A$166,$DL$205^A29,IF(A29='Données projet'!$A$166,'Données projet'!$B$166,DO28+DN29-DW28)))</f>
        <v>166</v>
      </c>
      <c r="DP29" s="17">
        <f>DO29*VLOOKUP('Données projet'!$B$14,Paramètres!$A$1:$I$89,3,0)*VLOOKUP('Données projet'!$B$14,Paramètres!$A$1:$I$89,5,0)</f>
        <v>99.268000000000001</v>
      </c>
      <c r="DQ29" s="13">
        <f t="shared" si="43"/>
        <v>26.78753414535981</v>
      </c>
      <c r="DR29" s="20">
        <f t="shared" si="16"/>
        <v>219.54672196983498</v>
      </c>
      <c r="DS29" s="59">
        <f t="shared" si="17"/>
        <v>512.88005530316832</v>
      </c>
      <c r="DT29" s="59">
        <f ca="1">AVERAGE(OFFSET($DS$3,0,0,'Données projet'!$E$14+1,1))-AVERAGE(OFFSET($H$3,0,0,'Données projet'!$E$14+1,1))</f>
        <v>216.94426559495264</v>
      </c>
      <c r="DU29" s="59">
        <f t="shared" si="44"/>
        <v>225.33715877618704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0.45161957336922143</v>
      </c>
      <c r="EC29" s="21">
        <f>EXP(-LN(2)/2)*EC28+(1-EXP(-LN(2)/2))/(LN(2)/2)*DW29*DZ29*VLOOKUP('Données projet'!$B$14,Paramètres!$A$1:$I$89,3,0)*0.475*44/12</f>
        <v>0.12695154636015504</v>
      </c>
      <c r="ED29" s="22">
        <f t="shared" si="18"/>
        <v>0.57857111972937647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22.2</v>
      </c>
      <c r="EJ29" s="12">
        <f>IF('Données projet'!$A$192&gt;35,EJ28+EI29-ER28,IF(A29&lt;'Données projet'!$A$192,$EG$205^A29,IF(A29='Données projet'!$A$192,'Données projet'!$B$192,EJ28+EI29-ER28)))</f>
        <v>229.19999999999996</v>
      </c>
      <c r="EK29" s="17">
        <f>EJ29*VLOOKUP('Données projet'!$B$15,Paramètres!$A$1:$I$89,3,0)*VLOOKUP('Données projet'!$B$15,Paramètres!$A$1:$I$89,5,0)</f>
        <v>110.24519999999998</v>
      </c>
      <c r="EL29" s="13">
        <f t="shared" si="45"/>
        <v>29.388748116443562</v>
      </c>
      <c r="EM29" s="20">
        <f t="shared" si="19"/>
        <v>243.19579296947248</v>
      </c>
      <c r="EN29" s="59">
        <f t="shared" si="20"/>
        <v>536.52912630280582</v>
      </c>
      <c r="EO29" s="59">
        <f ca="1">AVERAGE(OFFSET($EN$3,0,0,'Données projet'!$E$15+1,1))-AVERAGE(OFFSET($H$3,0,0,'Données projet'!$E$15+1,1))</f>
        <v>292.1792787220852</v>
      </c>
      <c r="EP29" s="59">
        <f t="shared" si="46"/>
        <v>273.69206144662144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209.89999999999992</v>
      </c>
      <c r="O30" s="13">
        <f>N30*VLOOKUP('Données projet'!$B$9,Paramètres!$A$1:$I$89,3,0)*VLOOKUP('Données projet'!$B$9,Paramètres!$A$1:$I$89,5,0)</f>
        <v>98.233199999999954</v>
      </c>
      <c r="P30" s="13">
        <f t="shared" si="33"/>
        <v>26.540646121089583</v>
      </c>
      <c r="Q30" s="20">
        <f t="shared" si="2"/>
        <v>217.3144486608976</v>
      </c>
      <c r="R30" s="59">
        <f t="shared" si="0"/>
        <v>510.64778199423091</v>
      </c>
      <c r="S30" s="59">
        <f ca="1">AVERAGE(OFFSET($R$3,0,0,'Données projet'!$E$9+1,1))-AVERAGE(OFFSET($H$3,0,0,'Données projet'!$E$9+1,1))</f>
        <v>215.23235148064941</v>
      </c>
      <c r="T30" s="59">
        <f t="shared" si="34"/>
        <v>184.07239726900434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1.7507138174796335</v>
      </c>
      <c r="AB30" s="21">
        <f>EXP(-LN(2)/2)*AB29+(1-EXP(-LN(2)/2))/(LN(2)/2)*V30*Y30*VLOOKUP('Données projet'!$B$9,Paramètres!$A$1:$I$89,3,0)*0.475*44/12</f>
        <v>0.292722715152339</v>
      </c>
      <c r="AC30" s="22">
        <f t="shared" si="3"/>
        <v>2.0434365326319726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6.8</v>
      </c>
      <c r="AI30" s="13">
        <f>IF('Données projet'!$A$62&gt;35,AI29+AH30-AQ29,IF(A30&lt;'Données projet'!$A$62,$AF$205^A30,IF(A30='Données projet'!$A$62,'Données projet'!$B$62,AI29+AH30-AQ29)))</f>
        <v>192.59999999999994</v>
      </c>
      <c r="AJ30" s="13">
        <f>AI30*VLOOKUP('Données projet'!$B$10,Paramètres!$A$1:$I$89,3,0)*VLOOKUP('Données projet'!$B$10,Paramètres!$A$1:$I$89,5,0)</f>
        <v>174.26447999999993</v>
      </c>
      <c r="AK30" s="13">
        <f t="shared" si="35"/>
        <v>44.043743683739521</v>
      </c>
      <c r="AL30" s="20">
        <f t="shared" si="4"/>
        <v>380.22015624917958</v>
      </c>
      <c r="AM30" s="59">
        <f t="shared" si="5"/>
        <v>673.55348958251284</v>
      </c>
      <c r="AN30" s="59">
        <f ca="1">AVERAGE(OFFSET($AM$3,0,0,'Données projet'!$E$10+1,1))-AVERAGE(OFFSET($H$3,0,0,'Données projet'!$E$10+1,1))</f>
        <v>225.28075317732998</v>
      </c>
      <c r="AO30" s="59">
        <f t="shared" si="36"/>
        <v>358.43407531256207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1.3300148668669489</v>
      </c>
      <c r="AV30" s="21">
        <f>EXP(-LN(2)/25)*AV29+(1-EXP(-LN(2)/25))/(LN(2)/25)*Calculateur!AQ30*Calculateur!AS30*VLOOKUP('Données projet'!$B$10,Paramètres!$A$1:$I$89,3,0)*0.475*44/12</f>
        <v>7.7390086762734258</v>
      </c>
      <c r="AW30" s="21">
        <f>EXP(-LN(2)/2)*AW29+(1-EXP(-LN(2)/2))/(LN(2)/2)*AQ30*AT30*VLOOKUP('Données projet'!$B$10,Paramètres!$A$1:$I$89,3,0)*0.475*44/12</f>
        <v>3.1883840134819756</v>
      </c>
      <c r="AX30" s="21">
        <f t="shared" si="6"/>
        <v>12.257407556622351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22.2</v>
      </c>
      <c r="BD30" s="12">
        <f>IF('Données projet'!$A$88&gt;35,BD29+BC30-BL29,IF(A30&lt;'Données projet'!$A$88,$BA$205^A30,IF(A30='Données projet'!$A$88,'Données projet'!$B$88,BD29+BC30-BL29)))</f>
        <v>254.39999999999992</v>
      </c>
      <c r="BE30" s="13">
        <f>BD30*VLOOKUP('Données projet'!$B$11,Paramètres!$A$1:$I$89,3,0)*VLOOKUP('Données projet'!$B$11,Paramètres!$A$1:$I$89,5,0)</f>
        <v>142.20959999999997</v>
      </c>
      <c r="BF30" s="13">
        <f t="shared" si="37"/>
        <v>36.802731569585617</v>
      </c>
      <c r="BG30" s="20">
        <f t="shared" si="7"/>
        <v>311.77981081702814</v>
      </c>
      <c r="BH30" s="59">
        <f t="shared" si="8"/>
        <v>605.11314415036145</v>
      </c>
      <c r="BI30" s="59">
        <f ca="1">AVERAGE(OFFSET($BH$3,0,0,'Données projet'!$E$11+1,1))-AVERAGE(OFFSET($H$3,0,0,'Données projet'!$E$11+1,1))</f>
        <v>326.31232746914907</v>
      </c>
      <c r="BJ30" s="59">
        <f t="shared" si="38"/>
        <v>330.17137761430297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10.539297181227393</v>
      </c>
      <c r="BR30" s="21">
        <f>EXP(-LN(2)/2)*BR29+(1-EXP(-LN(2)/2))/(LN(2)/2)*BL30*BO30*VLOOKUP('Données projet'!$B$11,Paramètres!$A$1:$I$89,3,0)*0.475*44/12</f>
        <v>1.762190745217082</v>
      </c>
      <c r="BS30" s="22">
        <f t="shared" si="9"/>
        <v>12.301487926444475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210.8</v>
      </c>
      <c r="BZ30" s="13">
        <f>BY30*VLOOKUP('Données projet'!$B$12,Paramètres!$A$1:$I$89,3,0)*VLOOKUP('Données projet'!$B$12,Paramètres!$A$1:$I$89,5,0)</f>
        <v>115.0968</v>
      </c>
      <c r="CA30" s="13">
        <f t="shared" si="39"/>
        <v>30.528646626547697</v>
      </c>
      <c r="CB30" s="20">
        <f t="shared" si="10"/>
        <v>253.6309862079039</v>
      </c>
      <c r="CC30" s="59">
        <f t="shared" si="11"/>
        <v>546.96431954123727</v>
      </c>
      <c r="CD30" s="59">
        <f ca="1">AVERAGE(OFFSET($CC$3,0,0,'Données projet'!$E$12+1,1))-AVERAGE(OFFSET($H$3,0,0,'Données projet'!$E$12+1,1))</f>
        <v>210.04871822652808</v>
      </c>
      <c r="CE30" s="59">
        <f t="shared" si="40"/>
        <v>250.17540614049324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14.438614320159301</v>
      </c>
      <c r="CM30" s="21">
        <f>EXP(-LN(2)/2)*CM29+(1-EXP(-LN(2)/2))/(LN(2)/2)*CG30*CJ30*VLOOKUP('Données projet'!$B$12,Paramètres!$A$1:$I$89,3,0)*0.475*44/12</f>
        <v>2.2129837265516827</v>
      </c>
      <c r="CN30" s="22">
        <f t="shared" si="12"/>
        <v>16.651598046710983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12.2</v>
      </c>
      <c r="CT30" s="12">
        <f>IF('Données projet'!$A$140&gt;35,CT29+CS30-DB29,IF(A30&lt;'Données projet'!$A$140,$CQ$205^A30,IF(A30='Données projet'!$A$140,'Données projet'!$B$140,CT29+CS30-DB29)))</f>
        <v>137.4</v>
      </c>
      <c r="CU30" s="17">
        <f>CT30*VLOOKUP('Données projet'!$B$13,Paramètres!$A$1:$I$89,3,0)*VLOOKUP('Données projet'!$B$13,Paramètres!$A$1:$I$89,5,0)</f>
        <v>109.31544</v>
      </c>
      <c r="CV30" s="13">
        <f t="shared" si="41"/>
        <v>29.169638343948144</v>
      </c>
      <c r="CW30" s="20">
        <f t="shared" si="13"/>
        <v>241.19484478237635</v>
      </c>
      <c r="CX30" s="59">
        <f t="shared" si="14"/>
        <v>534.52817811570969</v>
      </c>
      <c r="CY30" s="59">
        <f ca="1">AVERAGE(OFFSET($CX$3,0,0,'Données projet'!$E$13+1,1))-AVERAGE(OFFSET($H$3,0,0,'Données projet'!$E$13+1,1))</f>
        <v>199.58763537752952</v>
      </c>
      <c r="CZ30" s="59">
        <f t="shared" si="42"/>
        <v>242.62852778451929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4.1107821473099051</v>
      </c>
      <c r="DH30" s="21">
        <f>EXP(-LN(2)/2)*DH29+(1-EXP(-LN(2)/2))/(LN(2)/2)*DB30*DE30*VLOOKUP('Données projet'!$B$13,Paramètres!$A$1:$I$89,3,0)*0.475*44/12</f>
        <v>0.71326768258786621</v>
      </c>
      <c r="DI30" s="22">
        <f t="shared" si="15"/>
        <v>4.8240498298977714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13</v>
      </c>
      <c r="DO30" s="12">
        <f>IF('Données projet'!$A$166&gt;35,DO29+DN30-DW29,IF(A30&lt;'Données projet'!$A$166,$DL$205^A30,IF(A30='Données projet'!$A$166,'Données projet'!$B$166,DO29+DN30-DW29)))</f>
        <v>179</v>
      </c>
      <c r="DP30" s="17">
        <f>DO30*VLOOKUP('Données projet'!$B$14,Paramètres!$A$1:$I$89,3,0)*VLOOKUP('Données projet'!$B$14,Paramètres!$A$1:$I$89,5,0)</f>
        <v>107.042</v>
      </c>
      <c r="DQ30" s="13">
        <f t="shared" si="43"/>
        <v>28.632954900548082</v>
      </c>
      <c r="DR30" s="20">
        <f t="shared" si="16"/>
        <v>236.30054645178791</v>
      </c>
      <c r="DS30" s="59">
        <f t="shared" si="17"/>
        <v>529.63387978512128</v>
      </c>
      <c r="DT30" s="59">
        <f ca="1">AVERAGE(OFFSET($DS$3,0,0,'Données projet'!$E$14+1,1))-AVERAGE(OFFSET($H$3,0,0,'Données projet'!$E$14+1,1))</f>
        <v>216.94426559495264</v>
      </c>
      <c r="DU30" s="59">
        <f t="shared" si="44"/>
        <v>225.33715877618704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0.43927001238579888</v>
      </c>
      <c r="EC30" s="21">
        <f>EXP(-LN(2)/2)*EC29+(1-EXP(-LN(2)/2))/(LN(2)/2)*DW30*DZ30*VLOOKUP('Données projet'!$B$14,Paramètres!$A$1:$I$89,3,0)*0.475*44/12</f>
        <v>8.9768299313383995E-2</v>
      </c>
      <c r="ED30" s="22">
        <f t="shared" si="18"/>
        <v>0.52903831169918292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22.2</v>
      </c>
      <c r="EJ30" s="12">
        <f>IF('Données projet'!$A$192&gt;35,EJ29+EI30-ER29,IF(A30&lt;'Données projet'!$A$192,$EG$205^A30,IF(A30='Données projet'!$A$192,'Données projet'!$B$192,EJ29+EI30-ER29)))</f>
        <v>251.39999999999995</v>
      </c>
      <c r="EK30" s="17">
        <f>EJ30*VLOOKUP('Données projet'!$B$15,Paramètres!$A$1:$I$89,3,0)*VLOOKUP('Données projet'!$B$15,Paramètres!$A$1:$I$89,5,0)</f>
        <v>120.92339999999999</v>
      </c>
      <c r="EL30" s="13">
        <f t="shared" si="45"/>
        <v>31.890271002959537</v>
      </c>
      <c r="EM30" s="20">
        <f t="shared" si="19"/>
        <v>266.15047699682117</v>
      </c>
      <c r="EN30" s="59">
        <f t="shared" si="20"/>
        <v>559.48381033015448</v>
      </c>
      <c r="EO30" s="59">
        <f ca="1">AVERAGE(OFFSET($EN$3,0,0,'Données projet'!$E$15+1,1))-AVERAGE(OFFSET($H$3,0,0,'Données projet'!$E$15+1,1))</f>
        <v>292.1792787220852</v>
      </c>
      <c r="EP30" s="59">
        <f t="shared" si="46"/>
        <v>273.69206144662144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219.09999999999991</v>
      </c>
      <c r="O31" s="13">
        <f>N31*VLOOKUP('Données projet'!$B$9,Paramètres!$A$1:$I$89,3,0)*VLOOKUP('Données projet'!$B$9,Paramètres!$A$1:$I$89,5,0)</f>
        <v>102.53879999999995</v>
      </c>
      <c r="P31" s="13">
        <f t="shared" si="33"/>
        <v>27.565946279127878</v>
      </c>
      <c r="Q31" s="20">
        <f t="shared" si="2"/>
        <v>226.59909976948094</v>
      </c>
      <c r="R31" s="59">
        <f t="shared" si="0"/>
        <v>519.93243310281423</v>
      </c>
      <c r="S31" s="59">
        <f ca="1">AVERAGE(OFFSET($R$3,0,0,'Données projet'!$E$9+1,1))-AVERAGE(OFFSET($H$3,0,0,'Données projet'!$E$9+1,1))</f>
        <v>215.23235148064941</v>
      </c>
      <c r="T31" s="59">
        <f t="shared" si="34"/>
        <v>184.07239726900434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1.7028404560746147</v>
      </c>
      <c r="AB31" s="21">
        <f>EXP(-LN(2)/2)*AB30+(1-EXP(-LN(2)/2))/(LN(2)/2)*V31*Y31*VLOOKUP('Données projet'!$B$9,Paramètres!$A$1:$I$89,3,0)*0.475*44/12</f>
        <v>0.20698621689155705</v>
      </c>
      <c r="AC31" s="22">
        <f t="shared" si="3"/>
        <v>1.9098266729661717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6.8</v>
      </c>
      <c r="AI31" s="13">
        <f>IF('Données projet'!$A$62&gt;35,AI30+AH31-AQ30,IF(A31&lt;'Données projet'!$A$62,$AF$205^A31,IF(A31='Données projet'!$A$62,'Données projet'!$B$62,AI30+AH31-AQ30)))</f>
        <v>199.39999999999995</v>
      </c>
      <c r="AJ31" s="13">
        <f>AI31*VLOOKUP('Données projet'!$B$10,Paramètres!$A$1:$I$89,3,0)*VLOOKUP('Données projet'!$B$10,Paramètres!$A$1:$I$89,5,0)</f>
        <v>180.41711999999995</v>
      </c>
      <c r="AK31" s="13">
        <f t="shared" si="35"/>
        <v>45.414975176335098</v>
      </c>
      <c r="AL31" s="20">
        <f t="shared" si="4"/>
        <v>393.32423243211684</v>
      </c>
      <c r="AM31" s="59">
        <f t="shared" si="5"/>
        <v>686.65756576545016</v>
      </c>
      <c r="AN31" s="59">
        <f ca="1">AVERAGE(OFFSET($AM$3,0,0,'Données projet'!$E$10+1,1))-AVERAGE(OFFSET($H$3,0,0,'Données projet'!$E$10+1,1))</f>
        <v>225.28075317732998</v>
      </c>
      <c r="AO31" s="59">
        <f t="shared" si="36"/>
        <v>358.43407531256207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1.3039340865566547</v>
      </c>
      <c r="AV31" s="21">
        <f>EXP(-LN(2)/25)*AV30+(1-EXP(-LN(2)/25))/(LN(2)/25)*Calculateur!AQ31*Calculateur!AS31*VLOOKUP('Données projet'!$B$10,Paramètres!$A$1:$I$89,3,0)*0.475*44/12</f>
        <v>7.5273850770439505</v>
      </c>
      <c r="AW31" s="21">
        <f>EXP(-LN(2)/2)*AW30+(1-EXP(-LN(2)/2))/(LN(2)/2)*AQ31*AT31*VLOOKUP('Données projet'!$B$10,Paramètres!$A$1:$I$89,3,0)*0.475*44/12</f>
        <v>2.2545279569598855</v>
      </c>
      <c r="AX31" s="21">
        <f t="shared" si="6"/>
        <v>11.085847120560491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22.2</v>
      </c>
      <c r="BD31" s="12">
        <f>IF('Données projet'!$A$88&gt;35,BD30+BC31-BL30,IF(A31&lt;'Données projet'!$A$88,$BA$205^A31,IF(A31='Données projet'!$A$88,'Données projet'!$B$88,BD30+BC31-BL30)))</f>
        <v>276.59999999999991</v>
      </c>
      <c r="BE31" s="13">
        <f>BD31*VLOOKUP('Données projet'!$B$11,Paramètres!$A$1:$I$89,3,0)*VLOOKUP('Données projet'!$B$11,Paramètres!$A$1:$I$89,5,0)</f>
        <v>154.61939999999996</v>
      </c>
      <c r="BF31" s="13">
        <f t="shared" si="37"/>
        <v>39.626500524372794</v>
      </c>
      <c r="BG31" s="20">
        <f t="shared" si="7"/>
        <v>338.31161007994922</v>
      </c>
      <c r="BH31" s="59">
        <f t="shared" si="8"/>
        <v>631.64494341328259</v>
      </c>
      <c r="BI31" s="59">
        <f ca="1">AVERAGE(OFFSET($BH$3,0,0,'Données projet'!$E$11+1,1))-AVERAGE(OFFSET($H$3,0,0,'Données projet'!$E$11+1,1))</f>
        <v>326.31232746914907</v>
      </c>
      <c r="BJ31" s="59">
        <f t="shared" si="38"/>
        <v>330.17137761430297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10.251099545569179</v>
      </c>
      <c r="BR31" s="21">
        <f>EXP(-LN(2)/2)*BR30+(1-EXP(-LN(2)/2))/(LN(2)/2)*BL31*BO31*VLOOKUP('Données projet'!$B$11,Paramètres!$A$1:$I$89,3,0)*0.475*44/12</f>
        <v>1.2460570256871744</v>
      </c>
      <c r="BS31" s="22">
        <f t="shared" si="9"/>
        <v>11.497156571256353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227.20000000000002</v>
      </c>
      <c r="BZ31" s="13">
        <f>BY31*VLOOKUP('Données projet'!$B$12,Paramètres!$A$1:$I$89,3,0)*VLOOKUP('Données projet'!$B$12,Paramètres!$A$1:$I$89,5,0)</f>
        <v>124.05120000000001</v>
      </c>
      <c r="CA31" s="13">
        <f t="shared" si="39"/>
        <v>32.618041559365977</v>
      </c>
      <c r="CB31" s="20">
        <f t="shared" si="10"/>
        <v>272.86559571589572</v>
      </c>
      <c r="CC31" s="59">
        <f t="shared" si="11"/>
        <v>566.19892904922904</v>
      </c>
      <c r="CD31" s="59">
        <f ca="1">AVERAGE(OFFSET($CC$3,0,0,'Données projet'!$E$12+1,1))-AVERAGE(OFFSET($H$3,0,0,'Données projet'!$E$12+1,1))</f>
        <v>210.04871822652808</v>
      </c>
      <c r="CE31" s="59">
        <f t="shared" si="40"/>
        <v>250.17540614049324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14.043789652280818</v>
      </c>
      <c r="CM31" s="21">
        <f>EXP(-LN(2)/2)*CM30+(1-EXP(-LN(2)/2))/(LN(2)/2)*CG31*CJ31*VLOOKUP('Données projet'!$B$12,Paramètres!$A$1:$I$89,3,0)*0.475*44/12</f>
        <v>1.5648157997001713</v>
      </c>
      <c r="CN31" s="22">
        <f t="shared" si="12"/>
        <v>15.608605451980988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12.2</v>
      </c>
      <c r="CT31" s="12">
        <f>IF('Données projet'!$A$140&gt;35,CT30+CS31-DB30,IF(A31&lt;'Données projet'!$A$140,$CQ$205^A31,IF(A31='Données projet'!$A$140,'Données projet'!$B$140,CT30+CS31-DB30)))</f>
        <v>149.6</v>
      </c>
      <c r="CU31" s="17">
        <f>CT31*VLOOKUP('Données projet'!$B$13,Paramètres!$A$1:$I$89,3,0)*VLOOKUP('Données projet'!$B$13,Paramètres!$A$1:$I$89,5,0)</f>
        <v>119.02175999999999</v>
      </c>
      <c r="CV31" s="13">
        <f t="shared" si="41"/>
        <v>31.446732299897718</v>
      </c>
      <c r="CW31" s="20">
        <f t="shared" si="13"/>
        <v>262.06595742232184</v>
      </c>
      <c r="CX31" s="59">
        <f t="shared" si="14"/>
        <v>555.3992907556551</v>
      </c>
      <c r="CY31" s="59">
        <f ca="1">AVERAGE(OFFSET($CX$3,0,0,'Données projet'!$E$13+1,1))-AVERAGE(OFFSET($H$3,0,0,'Données projet'!$E$13+1,1))</f>
        <v>199.58763537752952</v>
      </c>
      <c r="CZ31" s="59">
        <f t="shared" si="42"/>
        <v>242.62852778451929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3.9983725933150778</v>
      </c>
      <c r="DH31" s="21">
        <f>EXP(-LN(2)/2)*DH30+(1-EXP(-LN(2)/2))/(LN(2)/2)*DB31*DE31*VLOOKUP('Données projet'!$B$13,Paramètres!$A$1:$I$89,3,0)*0.475*44/12</f>
        <v>0.50435641515909413</v>
      </c>
      <c r="DI31" s="22">
        <f t="shared" si="15"/>
        <v>4.502729008474172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13</v>
      </c>
      <c r="DO31" s="12">
        <f>IF('Données projet'!$A$166&gt;35,DO30+DN31-DW30,IF(A31&lt;'Données projet'!$A$166,$DL$205^A31,IF(A31='Données projet'!$A$166,'Données projet'!$B$166,DO30+DN31-DW30)))</f>
        <v>192</v>
      </c>
      <c r="DP31" s="17">
        <f>DO31*VLOOKUP('Données projet'!$B$14,Paramètres!$A$1:$I$89,3,0)*VLOOKUP('Données projet'!$B$14,Paramètres!$A$1:$I$89,5,0)</f>
        <v>114.81600000000002</v>
      </c>
      <c r="DQ31" s="13">
        <f t="shared" si="43"/>
        <v>30.462826482209831</v>
      </c>
      <c r="DR31" s="20">
        <f t="shared" si="16"/>
        <v>253.02728945651543</v>
      </c>
      <c r="DS31" s="59">
        <f t="shared" si="17"/>
        <v>546.36062278984878</v>
      </c>
      <c r="DT31" s="59">
        <f ca="1">AVERAGE(OFFSET($DS$3,0,0,'Données projet'!$E$14+1,1))-AVERAGE(OFFSET($H$3,0,0,'Données projet'!$E$14+1,1))</f>
        <v>216.94426559495264</v>
      </c>
      <c r="DU31" s="59">
        <f t="shared" si="44"/>
        <v>225.33715877618704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0.42725815079690321</v>
      </c>
      <c r="EC31" s="21">
        <f>EXP(-LN(2)/2)*EC30+(1-EXP(-LN(2)/2))/(LN(2)/2)*DW31*DZ31*VLOOKUP('Données projet'!$B$14,Paramètres!$A$1:$I$89,3,0)*0.475*44/12</f>
        <v>6.3475773180077522E-2</v>
      </c>
      <c r="ED31" s="22">
        <f t="shared" si="18"/>
        <v>0.49073392397698073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22.2</v>
      </c>
      <c r="EJ31" s="12">
        <f>IF('Données projet'!$A$192&gt;35,EJ30+EI31-ER30,IF(A31&lt;'Données projet'!$A$192,$EG$205^A31,IF(A31='Données projet'!$A$192,'Données projet'!$B$192,EJ30+EI31-ER30)))</f>
        <v>273.59999999999997</v>
      </c>
      <c r="EK31" s="17">
        <f>EJ31*VLOOKUP('Données projet'!$B$15,Paramètres!$A$1:$I$89,3,0)*VLOOKUP('Données projet'!$B$15,Paramètres!$A$1:$I$89,5,0)</f>
        <v>131.60159999999999</v>
      </c>
      <c r="EL31" s="13">
        <f t="shared" si="45"/>
        <v>34.366177918726088</v>
      </c>
      <c r="EM31" s="20">
        <f t="shared" si="19"/>
        <v>289.06054654178126</v>
      </c>
      <c r="EN31" s="59">
        <f t="shared" si="20"/>
        <v>582.39387987511464</v>
      </c>
      <c r="EO31" s="59">
        <f ca="1">AVERAGE(OFFSET($EN$3,0,0,'Données projet'!$E$15+1,1))-AVERAGE(OFFSET($H$3,0,0,'Données projet'!$E$15+1,1))</f>
        <v>292.1792787220852</v>
      </c>
      <c r="EP31" s="59">
        <f t="shared" si="46"/>
        <v>273.69206144662144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228.2999999999999</v>
      </c>
      <c r="O32" s="13">
        <f>N32*VLOOKUP('Données projet'!$B$9,Paramètres!$A$1:$I$89,3,0)*VLOOKUP('Données projet'!$B$9,Paramètres!$A$1:$I$89,5,0)</f>
        <v>106.84439999999995</v>
      </c>
      <c r="P32" s="13">
        <f t="shared" si="33"/>
        <v>28.586245822975961</v>
      </c>
      <c r="Q32" s="20">
        <f t="shared" si="2"/>
        <v>235.87504147501636</v>
      </c>
      <c r="R32" s="59">
        <f t="shared" si="0"/>
        <v>529.20837480834962</v>
      </c>
      <c r="S32" s="59">
        <f ca="1">AVERAGE(OFFSET($R$3,0,0,'Données projet'!$E$9+1,1))-AVERAGE(OFFSET($H$3,0,0,'Données projet'!$E$9+1,1))</f>
        <v>215.23235148064941</v>
      </c>
      <c r="T32" s="59">
        <f t="shared" si="34"/>
        <v>184.07239726900434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1.6562761942547666</v>
      </c>
      <c r="AB32" s="21">
        <f>EXP(-LN(2)/2)*AB31+(1-EXP(-LN(2)/2))/(LN(2)/2)*V32*Y32*VLOOKUP('Données projet'!$B$9,Paramètres!$A$1:$I$89,3,0)*0.475*44/12</f>
        <v>0.1463613575761695</v>
      </c>
      <c r="AC32" s="22">
        <f t="shared" si="3"/>
        <v>1.8026375518309361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6.8</v>
      </c>
      <c r="AI32" s="13">
        <f>IF('Données projet'!$A$62&gt;35,AI31+AH32-AQ31,IF(A32&lt;'Données projet'!$A$62,$AF$205^A32,IF(A32='Données projet'!$A$62,'Données projet'!$B$62,AI31+AH32-AQ31)))</f>
        <v>206.19999999999996</v>
      </c>
      <c r="AJ32" s="13">
        <f>AI32*VLOOKUP('Données projet'!$B$10,Paramètres!$A$1:$I$89,3,0)*VLOOKUP('Données projet'!$B$10,Paramètres!$A$1:$I$89,5,0)</f>
        <v>186.56975999999997</v>
      </c>
      <c r="AK32" s="13">
        <f t="shared" si="35"/>
        <v>46.780773230247213</v>
      </c>
      <c r="AL32" s="20">
        <f t="shared" si="4"/>
        <v>406.41884537601385</v>
      </c>
      <c r="AM32" s="59">
        <f t="shared" si="5"/>
        <v>699.75217870934716</v>
      </c>
      <c r="AN32" s="59">
        <f ca="1">AVERAGE(OFFSET($AM$3,0,0,'Données projet'!$E$10+1,1))-AVERAGE(OFFSET($H$3,0,0,'Données projet'!$E$10+1,1))</f>
        <v>225.28075317732998</v>
      </c>
      <c r="AO32" s="59">
        <f t="shared" si="36"/>
        <v>358.43407531256207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1.27836473444054</v>
      </c>
      <c r="AV32" s="21">
        <f>EXP(-LN(2)/25)*AV31+(1-EXP(-LN(2)/25))/(LN(2)/25)*Calculateur!AQ32*Calculateur!AS32*VLOOKUP('Données projet'!$B$10,Paramètres!$A$1:$I$89,3,0)*0.475*44/12</f>
        <v>7.3215483362642066</v>
      </c>
      <c r="AW32" s="21">
        <f>EXP(-LN(2)/2)*AW31+(1-EXP(-LN(2)/2))/(LN(2)/2)*AQ32*AT32*VLOOKUP('Données projet'!$B$10,Paramètres!$A$1:$I$89,3,0)*0.475*44/12</f>
        <v>1.5941920067409878</v>
      </c>
      <c r="AX32" s="21">
        <f t="shared" si="6"/>
        <v>10.194105077445734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22.2</v>
      </c>
      <c r="BD32" s="12">
        <f>IF('Données projet'!$A$88&gt;35,BD31+BC32-BL31,IF(A32&lt;'Données projet'!$A$88,$BA$205^A32,IF(A32='Données projet'!$A$88,'Données projet'!$B$88,BD31+BC32-BL31)))</f>
        <v>298.7999999999999</v>
      </c>
      <c r="BE32" s="13">
        <f>BD32*VLOOKUP('Données projet'!$B$11,Paramètres!$A$1:$I$89,3,0)*VLOOKUP('Données projet'!$B$11,Paramètres!$A$1:$I$89,5,0)</f>
        <v>167.02919999999995</v>
      </c>
      <c r="BF32" s="13">
        <f t="shared" si="37"/>
        <v>42.423982056168619</v>
      </c>
      <c r="BG32" s="20">
        <f t="shared" si="7"/>
        <v>364.79762541449355</v>
      </c>
      <c r="BH32" s="59">
        <f t="shared" si="8"/>
        <v>658.13095874782687</v>
      </c>
      <c r="BI32" s="59">
        <f ca="1">AVERAGE(OFFSET($BH$3,0,0,'Données projet'!$E$11+1,1))-AVERAGE(OFFSET($H$3,0,0,'Données projet'!$E$11+1,1))</f>
        <v>326.31232746914907</v>
      </c>
      <c r="BJ32" s="59">
        <f t="shared" si="38"/>
        <v>330.17137761430297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9.9707826894136939</v>
      </c>
      <c r="BR32" s="21">
        <f>EXP(-LN(2)/2)*BR31+(1-EXP(-LN(2)/2))/(LN(2)/2)*BL32*BO32*VLOOKUP('Données projet'!$B$11,Paramètres!$A$1:$I$89,3,0)*0.475*44/12</f>
        <v>0.88109537260854109</v>
      </c>
      <c r="BS32" s="22">
        <f t="shared" si="9"/>
        <v>10.851878062022235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243.60000000000002</v>
      </c>
      <c r="BZ32" s="13">
        <f>BY32*VLOOKUP('Données projet'!$B$12,Paramètres!$A$1:$I$89,3,0)*VLOOKUP('Données projet'!$B$12,Paramètres!$A$1:$I$89,5,0)</f>
        <v>133.00560000000002</v>
      </c>
      <c r="CA32" s="13">
        <f t="shared" si="39"/>
        <v>34.689938673073549</v>
      </c>
      <c r="CB32" s="20">
        <f t="shared" si="10"/>
        <v>292.06972985560316</v>
      </c>
      <c r="CC32" s="59">
        <f t="shared" si="11"/>
        <v>585.40306318893647</v>
      </c>
      <c r="CD32" s="59">
        <f ca="1">AVERAGE(OFFSET($CC$3,0,0,'Données projet'!$E$12+1,1))-AVERAGE(OFFSET($H$3,0,0,'Données projet'!$E$12+1,1))</f>
        <v>210.04871822652808</v>
      </c>
      <c r="CE32" s="59">
        <f t="shared" si="40"/>
        <v>250.17540614049324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13.659761485708399</v>
      </c>
      <c r="CM32" s="21">
        <f>EXP(-LN(2)/2)*CM31+(1-EXP(-LN(2)/2))/(LN(2)/2)*CG32*CJ32*VLOOKUP('Données projet'!$B$12,Paramètres!$A$1:$I$89,3,0)*0.475*44/12</f>
        <v>1.1064918632758414</v>
      </c>
      <c r="CN32" s="22">
        <f t="shared" si="12"/>
        <v>14.766253348984241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12.2</v>
      </c>
      <c r="CT32" s="12">
        <f>IF('Données projet'!$A$140&gt;35,CT31+CS32-DB31,IF(A32&lt;'Données projet'!$A$140,$CQ$205^A32,IF(A32='Données projet'!$A$140,'Données projet'!$B$140,CT31+CS32-DB31)))</f>
        <v>161.79999999999998</v>
      </c>
      <c r="CU32" s="17">
        <f>CT32*VLOOKUP('Données projet'!$B$13,Paramètres!$A$1:$I$89,3,0)*VLOOKUP('Données projet'!$B$13,Paramètres!$A$1:$I$89,5,0)</f>
        <v>128.72807999999998</v>
      </c>
      <c r="CV32" s="13">
        <f t="shared" si="41"/>
        <v>33.702287995285367</v>
      </c>
      <c r="CW32" s="20">
        <f t="shared" si="13"/>
        <v>282.89955759178861</v>
      </c>
      <c r="CX32" s="59">
        <f t="shared" si="14"/>
        <v>576.23289092512186</v>
      </c>
      <c r="CY32" s="59">
        <f ca="1">AVERAGE(OFFSET($CX$3,0,0,'Données projet'!$E$13+1,1))-AVERAGE(OFFSET($H$3,0,0,'Données projet'!$E$13+1,1))</f>
        <v>199.58763537752952</v>
      </c>
      <c r="CZ32" s="59">
        <f t="shared" si="42"/>
        <v>242.62852778451929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3.8890368844856007</v>
      </c>
      <c r="DH32" s="21">
        <f>EXP(-LN(2)/2)*DH31+(1-EXP(-LN(2)/2))/(LN(2)/2)*DB32*DE32*VLOOKUP('Données projet'!$B$13,Paramètres!$A$1:$I$89,3,0)*0.475*44/12</f>
        <v>0.35663384129393311</v>
      </c>
      <c r="DI32" s="22">
        <f t="shared" si="15"/>
        <v>4.2456707257795339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13</v>
      </c>
      <c r="DO32" s="12">
        <f>IF('Données projet'!$A$166&gt;35,DO31+DN32-DW31,IF(A32&lt;'Données projet'!$A$166,$DL$205^A32,IF(A32='Données projet'!$A$166,'Données projet'!$B$166,DO31+DN32-DW31)))</f>
        <v>205</v>
      </c>
      <c r="DP32" s="17">
        <f>DO32*VLOOKUP('Données projet'!$B$14,Paramètres!$A$1:$I$89,3,0)*VLOOKUP('Données projet'!$B$14,Paramètres!$A$1:$I$89,5,0)</f>
        <v>122.59</v>
      </c>
      <c r="DQ32" s="13">
        <f t="shared" si="43"/>
        <v>32.278321478706822</v>
      </c>
      <c r="DR32" s="20">
        <f t="shared" si="16"/>
        <v>269.72899324208106</v>
      </c>
      <c r="DS32" s="59">
        <f t="shared" si="17"/>
        <v>563.06232657541432</v>
      </c>
      <c r="DT32" s="59">
        <f ca="1">AVERAGE(OFFSET($DS$3,0,0,'Données projet'!$E$14+1,1))-AVERAGE(OFFSET($H$3,0,0,'Données projet'!$E$14+1,1))</f>
        <v>216.94426559495264</v>
      </c>
      <c r="DU32" s="59">
        <f t="shared" si="44"/>
        <v>225.33715877618704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0.41557475419483225</v>
      </c>
      <c r="EC32" s="21">
        <f>EXP(-LN(2)/2)*EC31+(1-EXP(-LN(2)/2))/(LN(2)/2)*DW32*DZ32*VLOOKUP('Données projet'!$B$14,Paramètres!$A$1:$I$89,3,0)*0.475*44/12</f>
        <v>4.4884149656691998E-2</v>
      </c>
      <c r="ED32" s="22">
        <f t="shared" si="18"/>
        <v>0.46045890385152427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22.2</v>
      </c>
      <c r="EJ32" s="12">
        <f>IF('Données projet'!$A$192&gt;35,EJ31+EI32-ER31,IF(A32&lt;'Données projet'!$A$192,$EG$205^A32,IF(A32='Données projet'!$A$192,'Données projet'!$B$192,EJ31+EI32-ER31)))</f>
        <v>295.79999999999995</v>
      </c>
      <c r="EK32" s="17">
        <f>EJ32*VLOOKUP('Données projet'!$B$15,Paramètres!$A$1:$I$89,3,0)*VLOOKUP('Données projet'!$B$15,Paramètres!$A$1:$I$89,5,0)</f>
        <v>142.27979999999999</v>
      </c>
      <c r="EL32" s="13">
        <f t="shared" si="45"/>
        <v>36.818783655794178</v>
      </c>
      <c r="EM32" s="20">
        <f t="shared" si="19"/>
        <v>311.93003320050815</v>
      </c>
      <c r="EN32" s="59">
        <f t="shared" si="20"/>
        <v>605.26336653384146</v>
      </c>
      <c r="EO32" s="59">
        <f ca="1">AVERAGE(OFFSET($EN$3,0,0,'Données projet'!$E$15+1,1))-AVERAGE(OFFSET($H$3,0,0,'Données projet'!$E$15+1,1))</f>
        <v>292.1792787220852</v>
      </c>
      <c r="EP32" s="59">
        <f t="shared" si="46"/>
        <v>273.69206144662144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237.5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237.49999999999989</v>
      </c>
      <c r="O33" s="13">
        <f>N33*VLOOKUP('Données projet'!$B$9,Paramètres!$A$1:$I$89,3,0)*VLOOKUP('Données projet'!$B$9,Paramètres!$A$1:$I$89,5,0)</f>
        <v>111.14999999999995</v>
      </c>
      <c r="P33" s="13">
        <f t="shared" si="33"/>
        <v>29.601769319956546</v>
      </c>
      <c r="Q33" s="20">
        <f t="shared" si="2"/>
        <v>245.14266489892427</v>
      </c>
      <c r="R33" s="59">
        <f t="shared" si="0"/>
        <v>538.47599823225755</v>
      </c>
      <c r="S33" s="59">
        <f ca="1">AVERAGE(OFFSET($R$3,0,0,'Données projet'!$E$9+1,1))-AVERAGE(OFFSET($H$3,0,0,'Données projet'!$E$9+1,1))</f>
        <v>215.23235148064941</v>
      </c>
      <c r="T33" s="59">
        <f t="shared" si="34"/>
        <v>184.07239726900434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45.9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3.1345816018206638</v>
      </c>
      <c r="AA33" s="21">
        <f>EXP(-LN(2)/25)*AA32+(1-EXP(-LN(2)/25))/(LN(2)/25)*Calculateur!V33*Calculateur!X33*VLOOKUP('Données projet'!$B$9,Paramètres!$A$1:$I$89,3,0)*0.475*44/12</f>
        <v>7.8554643539932272</v>
      </c>
      <c r="AB33" s="21">
        <f>EXP(-LN(2)/2)*AB32+(1-EXP(-LN(2)/2))/(LN(2)/2)*V33*Y33*VLOOKUP('Données projet'!$B$9,Paramètres!$A$1:$I$89,3,0)*0.475*44/12</f>
        <v>9.8321764802959866</v>
      </c>
      <c r="AC33" s="22">
        <f t="shared" si="3"/>
        <v>20.822222436109875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213</v>
      </c>
      <c r="AG33" s="12">
        <f>VLOOKUP(A33,'Données projet'!$A$61:$I$81,9,0)</f>
        <v>6.8</v>
      </c>
      <c r="AH33" s="12">
        <f t="array" ref="AH33">INDEX(AG:AG,MIN(IF(ISNUMBER(AG33:AG229),ROW(AG33:AG229),"")))</f>
        <v>6.8</v>
      </c>
      <c r="AI33" s="13">
        <f>IF('Données projet'!$A$62&gt;35,AI32+AH33-AQ32,IF(A33&lt;'Données projet'!$A$62,$AF$205^A33,IF(A33='Données projet'!$A$62,'Données projet'!$B$62,AI32+AH33-AQ32)))</f>
        <v>212.99999999999997</v>
      </c>
      <c r="AJ33" s="13">
        <f>AI33*VLOOKUP('Données projet'!$B$10,Paramètres!$A$1:$I$89,3,0)*VLOOKUP('Données projet'!$B$10,Paramètres!$A$1:$I$89,5,0)</f>
        <v>192.72239999999996</v>
      </c>
      <c r="AK33" s="13">
        <f t="shared" si="35"/>
        <v>48.141337574630874</v>
      </c>
      <c r="AL33" s="20">
        <f t="shared" si="4"/>
        <v>419.50434294248203</v>
      </c>
      <c r="AM33" s="59">
        <f t="shared" si="5"/>
        <v>712.83767627581528</v>
      </c>
      <c r="AN33" s="59">
        <f ca="1">AVERAGE(OFFSET($AM$3,0,0,'Données projet'!$E$10+1,1))-AVERAGE(OFFSET($H$3,0,0,'Données projet'!$E$10+1,1))</f>
        <v>225.28075317732998</v>
      </c>
      <c r="AO33" s="59">
        <f t="shared" si="36"/>
        <v>358.43407531256207</v>
      </c>
      <c r="AP33" s="15">
        <f>IF(ISNA(VLOOKUP(A33,'Données projet'!$A$61:$I$81,3,0)),0,VLOOKUP(A33,'Données projet'!$A$61:$I$81,3,0))</f>
        <v>6</v>
      </c>
      <c r="AQ33" s="15">
        <f>IF(ISNA(VLOOKUP(A33,'Données projet'!$A$61:$I$81,4,0)),0,VLOOKUP(A33,'Données projet'!$A$61:$I$81,4,0))</f>
        <v>11</v>
      </c>
      <c r="AR33" s="16">
        <f>IF(ISNA(VLOOKUP(A33,'Données projet'!$A$61:$I$81,5,0)),0%,VLOOKUP(A33,'Données projet'!$A$61:$I$81,5,0)*VLOOKUP('Données projet'!$B$10,Paramètres!$A$1:$I$89,7,0))</f>
        <v>0.09</v>
      </c>
      <c r="AS33" s="16">
        <f>IF(ISNA(VLOOKUP(A33,'Données projet'!$A$61:$I$81,6,0)),0%,VLOOKUP(A33,'Données projet'!$A$61:$I$81,6,0)*VLOOKUP('Données projet'!$B$10,Paramètres!$A$1:$I$89,7,0))</f>
        <v>0.105</v>
      </c>
      <c r="AT33" s="16">
        <f>IF(ISNA(VLOOKUP(A33,'Données projet'!$A$61:$I$81,7,0)),0%,VLOOKUP(A33,'Données projet'!$A$61:$I$81,7,0))</f>
        <v>0.35</v>
      </c>
      <c r="AU33" s="21">
        <f>EXP(-LN(2)/35)*AU32+(1-EXP(-LN(2)/35))/(LN(2)/35)*AQ33*AR33*VLOOKUP('Données projet'!$B$10,Paramètres!$A$1:$I$89,3,0)*0.475*44/12</f>
        <v>2.2435240851310567</v>
      </c>
      <c r="AV33" s="21">
        <f>EXP(-LN(2)/25)*AV32+(1-EXP(-LN(2)/25))/(LN(2)/25)*Calculateur!AQ33*Calculateur!AS33*VLOOKUP('Données projet'!$B$10,Paramètres!$A$1:$I$89,3,0)*0.475*44/12</f>
        <v>8.2720566800612207</v>
      </c>
      <c r="AW33" s="21">
        <f>EXP(-LN(2)/2)*AW32+(1-EXP(-LN(2)/2))/(LN(2)/2)*AQ33*AT33*VLOOKUP('Données projet'!$B$10,Paramètres!$A$1:$I$89,3,0)*0.475*44/12</f>
        <v>4.4140211149695201</v>
      </c>
      <c r="AX33" s="21">
        <f t="shared" si="6"/>
        <v>14.929601880161798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321</v>
      </c>
      <c r="BB33" s="12">
        <f>VLOOKUP(A33,'Données projet'!$A$87:$I$107,9,0)</f>
        <v>22.2</v>
      </c>
      <c r="BC33" s="12">
        <f t="array" ref="BC33">INDEX(BB:BB,MIN(IF(ISNUMBER(BB33:BB229),ROW(BB33:BB229),"")))</f>
        <v>22.2</v>
      </c>
      <c r="BD33" s="12">
        <f>IF('Données projet'!$A$88&gt;35,BD32+BC33-BL32,IF(A33&lt;'Données projet'!$A$88,$BA$205^A33,IF(A33='Données projet'!$A$88,'Données projet'!$B$88,BD32+BC33-BL32)))</f>
        <v>320.99999999999989</v>
      </c>
      <c r="BE33" s="13">
        <f>BD33*VLOOKUP('Données projet'!$B$11,Paramètres!$A$1:$I$89,3,0)*VLOOKUP('Données projet'!$B$11,Paramètres!$A$1:$I$89,5,0)</f>
        <v>179.43899999999994</v>
      </c>
      <c r="BF33" s="13">
        <f t="shared" si="37"/>
        <v>45.19735133639599</v>
      </c>
      <c r="BG33" s="20">
        <f t="shared" si="7"/>
        <v>391.24164524422287</v>
      </c>
      <c r="BH33" s="59">
        <f t="shared" si="8"/>
        <v>684.57497857755618</v>
      </c>
      <c r="BI33" s="59">
        <f ca="1">AVERAGE(OFFSET($BH$3,0,0,'Données projet'!$E$11+1,1))-AVERAGE(OFFSET($H$3,0,0,'Données projet'!$E$11+1,1))</f>
        <v>326.31232746914907</v>
      </c>
      <c r="BJ33" s="59">
        <f t="shared" si="38"/>
        <v>330.17137761430297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112</v>
      </c>
      <c r="BM33" s="16">
        <f>IF(ISNA(VLOOKUP(A33,'Données projet'!$A$87:$I$107,5,0)),0%,VLOOKUP(A33,'Données projet'!$A$87:$I$107,5,0)*VLOOKUP('Données projet'!$B$11,Paramètres!$A$1:$I$89,7,0))</f>
        <v>5.5000000000000007E-2</v>
      </c>
      <c r="BN33" s="16">
        <f>IF(ISNA(VLOOKUP(A33,'Données projet'!$A$87:$I$107,6,0)),0%,VLOOKUP(A33,'Données projet'!$A$87:$I$107,6,0)*VLOOKUP('Données projet'!$B$11,Paramètres!$A$1:$I$89,7,0))</f>
        <v>0.24750000000000003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4.5679451084387308</v>
      </c>
      <c r="BQ33" s="21">
        <f>EXP(-LN(2)/25)*BQ32+(1-EXP(-LN(2)/25))/(LN(2)/25)*Calculateur!BL33*Calculateur!BN33*VLOOKUP('Données projet'!$B$11,Paramètres!$A$1:$I$89,3,0)*0.475*44/12</f>
        <v>30.172948268535706</v>
      </c>
      <c r="BR33" s="21">
        <f>EXP(-LN(2)/2)*BR32+(1-EXP(-LN(2)/2))/(LN(2)/2)*BL33*BO33*VLOOKUP('Données projet'!$B$11,Paramètres!$A$1:$I$89,3,0)*0.475*44/12</f>
        <v>32.522088370435227</v>
      </c>
      <c r="BS33" s="22">
        <f t="shared" si="9"/>
        <v>67.262981747409668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260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260</v>
      </c>
      <c r="BZ33" s="13">
        <f>BY33*VLOOKUP('Données projet'!$B$12,Paramètres!$A$1:$I$89,3,0)*VLOOKUP('Données projet'!$B$12,Paramètres!$A$1:$I$89,5,0)</f>
        <v>141.96</v>
      </c>
      <c r="CA33" s="13">
        <f t="shared" si="39"/>
        <v>36.745650011720485</v>
      </c>
      <c r="CB33" s="20">
        <f t="shared" si="10"/>
        <v>311.24567377041313</v>
      </c>
      <c r="CC33" s="59">
        <f t="shared" si="11"/>
        <v>604.57900710374645</v>
      </c>
      <c r="CD33" s="59">
        <f ca="1">AVERAGE(OFFSET($CC$3,0,0,'Données projet'!$E$12+1,1))-AVERAGE(OFFSET($H$3,0,0,'Données projet'!$E$12+1,1))</f>
        <v>210.04871822652808</v>
      </c>
      <c r="CE33" s="59">
        <f t="shared" si="40"/>
        <v>250.17540614049324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0.12</v>
      </c>
      <c r="CI33" s="16">
        <f>IF(ISNA(VLOOKUP(A33,'Données projet'!$A$113:$I$133,6,0)),0%,VLOOKUP(A33,'Données projet'!$A$113:$I$133,6,0)*VLOOKUP('Données projet'!$B$12,Paramètres!$A$1:$I$89,7,0))</f>
        <v>0.24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7.3009862621134873</v>
      </c>
      <c r="CL33" s="21">
        <f>EXP(-LN(2)/25)*CL32+(1-EXP(-LN(2)/25))/(LN(2)/25)*Calculateur!CG33*Calculateur!CI33*VLOOKUP('Données projet'!$B$12,Paramètres!$A$1:$I$89,3,0)*0.475*44/12</f>
        <v>27.830713584157436</v>
      </c>
      <c r="CM33" s="21">
        <f>EXP(-LN(2)/2)*CM32+(1-EXP(-LN(2)/2))/(LN(2)/2)*CG33*CJ33*VLOOKUP('Données projet'!$B$12,Paramètres!$A$1:$I$89,3,0)*0.475*44/12</f>
        <v>21.553888737351617</v>
      </c>
      <c r="CN33" s="22">
        <f t="shared" si="12"/>
        <v>56.685588583622547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174</v>
      </c>
      <c r="CR33" s="12">
        <f>VLOOKUP(A33,'Données projet'!$A$139:$I$159,9,0)</f>
        <v>12.2</v>
      </c>
      <c r="CS33" s="12">
        <f t="array" ref="CS33">INDEX(CR:CR,MIN(IF(ISNUMBER(CR33:CR229),ROW(CR33:CR229),"")))</f>
        <v>12.2</v>
      </c>
      <c r="CT33" s="12">
        <f>IF('Données projet'!$A$140&gt;35,CT32+CS33-DB32,IF(A33&lt;'Données projet'!$A$140,$CQ$205^A33,IF(A33='Données projet'!$A$140,'Données projet'!$B$140,CT32+CS33-DB32)))</f>
        <v>173.99999999999997</v>
      </c>
      <c r="CU33" s="17">
        <f>CT33*VLOOKUP('Données projet'!$B$13,Paramètres!$A$1:$I$89,3,0)*VLOOKUP('Données projet'!$B$13,Paramètres!$A$1:$I$89,5,0)</f>
        <v>138.43439999999998</v>
      </c>
      <c r="CV33" s="13">
        <f t="shared" si="41"/>
        <v>35.938114113553581</v>
      </c>
      <c r="CW33" s="20">
        <f t="shared" si="13"/>
        <v>303.69879541443913</v>
      </c>
      <c r="CX33" s="59">
        <f t="shared" si="14"/>
        <v>597.0321287477725</v>
      </c>
      <c r="CY33" s="59">
        <f ca="1">AVERAGE(OFFSET($CX$3,0,0,'Données projet'!$E$13+1,1))-AVERAGE(OFFSET($H$3,0,0,'Données projet'!$E$13+1,1))</f>
        <v>199.58763537752952</v>
      </c>
      <c r="CZ33" s="59">
        <f t="shared" si="42"/>
        <v>242.62852778451929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56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10.282976469411818</v>
      </c>
      <c r="DH33" s="21">
        <f>EXP(-LN(2)/2)*DH32+(1-EXP(-LN(2)/2))/(LN(2)/2)*DB33*DE33*VLOOKUP('Données projet'!$B$13,Paramètres!$A$1:$I$89,3,0)*0.475*44/12</f>
        <v>10.761558393220204</v>
      </c>
      <c r="DI33" s="22">
        <f t="shared" si="15"/>
        <v>21.04453486263202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218</v>
      </c>
      <c r="DM33" s="12">
        <f>VLOOKUP(A33,'Données projet'!$A$165:$I$185,9,0)</f>
        <v>13</v>
      </c>
      <c r="DN33" s="12">
        <f t="array" ref="DN33">INDEX(DM:DM,MIN(IF(ISNUMBER(DM33:DM229),ROW(DM33:DM229),"")))</f>
        <v>13</v>
      </c>
      <c r="DO33" s="12">
        <f>IF('Données projet'!$A$166&gt;35,DO32+DN33-DW32,IF(A33&lt;'Données projet'!$A$166,$DL$205^A33,IF(A33='Données projet'!$A$166,'Données projet'!$B$166,DO32+DN33-DW32)))</f>
        <v>218</v>
      </c>
      <c r="DP33" s="17">
        <f>DO33*VLOOKUP('Données projet'!$B$14,Paramètres!$A$1:$I$89,3,0)*VLOOKUP('Données projet'!$B$14,Paramètres!$A$1:$I$89,5,0)</f>
        <v>130.364</v>
      </c>
      <c r="DQ33" s="13">
        <f t="shared" si="43"/>
        <v>34.080455352788661</v>
      </c>
      <c r="DR33" s="20">
        <f t="shared" si="16"/>
        <v>286.40742640610694</v>
      </c>
      <c r="DS33" s="59">
        <f t="shared" si="17"/>
        <v>579.74075973944025</v>
      </c>
      <c r="DT33" s="59">
        <f ca="1">AVERAGE(OFFSET($DS$3,0,0,'Données projet'!$E$14+1,1))-AVERAGE(OFFSET($H$3,0,0,'Données projet'!$E$14+1,1))</f>
        <v>216.94426559495264</v>
      </c>
      <c r="DU33" s="59">
        <f t="shared" si="44"/>
        <v>225.33715877618704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0.22500000000000001</v>
      </c>
      <c r="DZ33" s="16">
        <f>IF(ISNA(VLOOKUP(A33,'Données projet'!$A$165:$I$185,7,0)),0%,VLOOKUP(A33,'Données projet'!$A$165:$I$185,7,0))</f>
        <v>0.5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12.84926355185025</v>
      </c>
      <c r="EC33" s="21">
        <f>EXP(-LN(2)/2)*EC32+(1-EXP(-LN(2)/2))/(LN(2)/2)*DW33*DZ33*VLOOKUP('Données projet'!$B$14,Paramètres!$A$1:$I$89,3,0)*0.475*44/12</f>
        <v>23.729359873818968</v>
      </c>
      <c r="ED33" s="22">
        <f t="shared" si="18"/>
        <v>36.578623425669221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318</v>
      </c>
      <c r="EH33" s="12">
        <f>VLOOKUP(A33,'Données projet'!$A$191:$I$211,9,0)</f>
        <v>22.2</v>
      </c>
      <c r="EI33" s="12">
        <f t="array" ref="EI33">INDEX(EH:EH,MIN(IF(ISNUMBER(EH33:EH229),ROW(EH33:EH229),"")))</f>
        <v>22.2</v>
      </c>
      <c r="EJ33" s="12">
        <f>IF('Données projet'!$A$192&gt;35,EJ32+EI33-ER32,IF(A33&lt;'Données projet'!$A$192,$EG$205^A33,IF(A33='Données projet'!$A$192,'Données projet'!$B$192,EJ32+EI33-ER32)))</f>
        <v>317.99999999999994</v>
      </c>
      <c r="EK33" s="17">
        <f>EJ33*VLOOKUP('Données projet'!$B$15,Paramètres!$A$1:$I$89,3,0)*VLOOKUP('Données projet'!$B$15,Paramètres!$A$1:$I$89,5,0)</f>
        <v>152.95799999999997</v>
      </c>
      <c r="EL33" s="13">
        <f t="shared" si="45"/>
        <v>39.250035833420867</v>
      </c>
      <c r="EM33" s="20">
        <f t="shared" si="19"/>
        <v>334.76232907654128</v>
      </c>
      <c r="EN33" s="59">
        <f t="shared" si="20"/>
        <v>628.09566240987465</v>
      </c>
      <c r="EO33" s="59">
        <f ca="1">AVERAGE(OFFSET($EN$3,0,0,'Données projet'!$E$15+1,1))-AVERAGE(OFFSET($H$3,0,0,'Données projet'!$E$15+1,1))</f>
        <v>292.1792787220852</v>
      </c>
      <c r="EP33" s="59">
        <f t="shared" si="46"/>
        <v>273.69206144662144</v>
      </c>
      <c r="EQ33" s="15">
        <f>IF(ISNA(VLOOKUP(A33,'Données projet'!$A$191:$I$211,3,0)),0,VLOOKUP(A33,'Données projet'!$A$191:$I$211,3,0))</f>
        <v>1</v>
      </c>
      <c r="ER33" s="15">
        <f>IF(ISNA(VLOOKUP(A33,'Données projet'!$A$191:$I$211,4,0)),0,VLOOKUP(A33,'Données projet'!$A$191:$I$211,4,0))</f>
        <v>96</v>
      </c>
      <c r="ES33" s="16">
        <f>IF(ISNA(VLOOKUP(A33,'Données projet'!$A$191:$I$211,5,0)),0%,VLOOKUP(A33,'Données projet'!$A$191:$I$211,5,0)*VLOOKUP('Données projet'!$B$15,Paramètres!$A$1:$I$89,7,0))</f>
        <v>0.11000000000000001</v>
      </c>
      <c r="ET33" s="16">
        <f>IF(ISNA(VLOOKUP(A33,'Données projet'!$A$191:$I$211,6,0)),0%,VLOOKUP(A33,'Données projet'!$A$191:$I$211,6,0)*VLOOKUP('Données projet'!$B$15,Paramètres!$A$1:$I$89,7,0))</f>
        <v>0.22000000000000003</v>
      </c>
      <c r="EU33" s="16">
        <f>IF(ISNA(VLOOKUP(A33,'Données projet'!$A$191:$I$211,7,0)),0%,VLOOKUP(A33,'Données projet'!$A$191:$I$211,7,0))</f>
        <v>0.4</v>
      </c>
      <c r="EV33" s="21">
        <f>EXP(-LN(2)/35)*EV32+(1-EXP(-LN(2)/35))/(LN(2)/35)*ER33*ES33*VLOOKUP('Données projet'!$B$15,Paramètres!$A$1:$I$89,3,0)*0.475*44/12</f>
        <v>6.738098432381384</v>
      </c>
      <c r="EW33" s="21">
        <f>EXP(-LN(2)/25)*EW32+(1-EXP(-LN(2)/25))/(LN(2)/25)*Calculateur!ER33*Calculateur!ET33*VLOOKUP('Données projet'!$B$15,Paramètres!$A$1:$I$89,3,0)*0.475*44/12</f>
        <v>13.423135942872628</v>
      </c>
      <c r="EX33" s="21">
        <f>EXP(-LN(2)/2)*EX32+(1-EXP(-LN(2)/2))/(LN(2)/2)*ER33*EU33*VLOOKUP('Données projet'!$B$15,Paramètres!$A$1:$I$89,3,0)*0.475*44/12</f>
        <v>20.912783428232835</v>
      </c>
      <c r="EY33" s="22">
        <f t="shared" si="21"/>
        <v>41.074017803486846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10.000000000000004</v>
      </c>
      <c r="N34" s="13">
        <f>IF('Données projet'!$A$36&gt;35,N33+M34-V33,IF(A34&lt;'Données projet'!$A$36,$K$205^A34,IF(A34='Données projet'!$A$36,'Données projet'!$B$36,N33+M34-V33)))</f>
        <v>201.59999999999988</v>
      </c>
      <c r="O34" s="13">
        <f>N34*VLOOKUP('Données projet'!$B$9,Paramètres!$A$1:$I$89,3,0)*VLOOKUP('Données projet'!$B$9,Paramètres!$A$1:$I$89,5,0)</f>
        <v>94.34879999999994</v>
      </c>
      <c r="P34" s="13">
        <f t="shared" si="33"/>
        <v>25.611153022386439</v>
      </c>
      <c r="Q34" s="20">
        <f t="shared" si="2"/>
        <v>208.93025151398959</v>
      </c>
      <c r="R34" s="59">
        <f t="shared" si="0"/>
        <v>502.26358484732293</v>
      </c>
      <c r="S34" s="59">
        <f ca="1">AVERAGE(OFFSET($R$3,0,0,'Données projet'!$E$9+1,1))-AVERAGE(OFFSET($H$3,0,0,'Données projet'!$E$9+1,1))</f>
        <v>215.23235148064941</v>
      </c>
      <c r="T34" s="59">
        <f t="shared" si="34"/>
        <v>184.07239726900434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3.0731143685149527</v>
      </c>
      <c r="AA34" s="21">
        <f>EXP(-LN(2)/25)*AA33+(1-EXP(-LN(2)/25))/(LN(2)/25)*Calculateur!V34*Calculateur!X34*VLOOKUP('Données projet'!$B$9,Paramètres!$A$1:$I$89,3,0)*0.475*44/12</f>
        <v>7.640656268132366</v>
      </c>
      <c r="AB34" s="21">
        <f>EXP(-LN(2)/2)*AB33+(1-EXP(-LN(2)/2))/(LN(2)/2)*V34*Y34*VLOOKUP('Données projet'!$B$9,Paramètres!$A$1:$I$89,3,0)*0.475*44/12</f>
        <v>6.9523986630401735</v>
      </c>
      <c r="AC34" s="22">
        <f t="shared" si="3"/>
        <v>17.666169299687493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5.2</v>
      </c>
      <c r="AI34" s="13">
        <f>IF('Données projet'!$A$62&gt;35,AI33+AH34-AQ33,IF(A34&lt;'Données projet'!$A$62,$AF$205^A34,IF(A34='Données projet'!$A$62,'Données projet'!$B$62,AI33+AH34-AQ33)))</f>
        <v>207.19999999999996</v>
      </c>
      <c r="AJ34" s="13">
        <f>AI34*VLOOKUP('Données projet'!$B$10,Paramètres!$A$1:$I$89,3,0)*VLOOKUP('Données projet'!$B$10,Paramètres!$A$1:$I$89,5,0)</f>
        <v>187.47455999999997</v>
      </c>
      <c r="AK34" s="13">
        <f t="shared" si="35"/>
        <v>46.981179851370101</v>
      </c>
      <c r="AL34" s="20">
        <f t="shared" si="4"/>
        <v>408.34374690780288</v>
      </c>
      <c r="AM34" s="59">
        <f t="shared" si="5"/>
        <v>701.6770802411362</v>
      </c>
      <c r="AN34" s="59">
        <f ca="1">AVERAGE(OFFSET($AM$3,0,0,'Données projet'!$E$10+1,1))-AVERAGE(OFFSET($H$3,0,0,'Données projet'!$E$10+1,1))</f>
        <v>225.28075317732998</v>
      </c>
      <c r="AO34" s="59">
        <f t="shared" si="36"/>
        <v>358.43407531256207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2.199529946236209</v>
      </c>
      <c r="AV34" s="21">
        <f>EXP(-LN(2)/25)*AV33+(1-EXP(-LN(2)/25))/(LN(2)/25)*Calculateur!AQ34*Calculateur!AS34*VLOOKUP('Données projet'!$B$10,Paramètres!$A$1:$I$89,3,0)*0.475*44/12</f>
        <v>8.0458568551363925</v>
      </c>
      <c r="AW34" s="21">
        <f>EXP(-LN(2)/2)*AW33+(1-EXP(-LN(2)/2))/(LN(2)/2)*AQ34*AT34*VLOOKUP('Données projet'!$B$10,Paramètres!$A$1:$I$89,3,0)*0.475*44/12</f>
        <v>3.1211842626955533</v>
      </c>
      <c r="AX34" s="21">
        <f t="shared" si="6"/>
        <v>13.366571064068156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22</v>
      </c>
      <c r="BD34" s="12">
        <f>IF('Données projet'!$A$88&gt;35,BD33+BC34-BL33,IF(A34&lt;'Données projet'!$A$88,$BA$205^A34,IF(A34='Données projet'!$A$88,'Données projet'!$B$88,BD33+BC34-BL33)))</f>
        <v>230.99999999999989</v>
      </c>
      <c r="BE34" s="13">
        <f>BD34*VLOOKUP('Données projet'!$B$11,Paramètres!$A$1:$I$89,3,0)*VLOOKUP('Données projet'!$B$11,Paramètres!$A$1:$I$89,5,0)</f>
        <v>129.12899999999993</v>
      </c>
      <c r="BF34" s="13">
        <f t="shared" si="37"/>
        <v>33.795018128858409</v>
      </c>
      <c r="BG34" s="20">
        <f t="shared" si="7"/>
        <v>283.75933157442824</v>
      </c>
      <c r="BH34" s="59">
        <f t="shared" si="8"/>
        <v>577.09266490776156</v>
      </c>
      <c r="BI34" s="59">
        <f ca="1">AVERAGE(OFFSET($BH$3,0,0,'Données projet'!$E$11+1,1))-AVERAGE(OFFSET($H$3,0,0,'Données projet'!$E$11+1,1))</f>
        <v>326.31232746914907</v>
      </c>
      <c r="BJ34" s="59">
        <f t="shared" si="38"/>
        <v>330.17137761430297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4.4783704910336519</v>
      </c>
      <c r="BQ34" s="21">
        <f>EXP(-LN(2)/25)*BQ33+(1-EXP(-LN(2)/25))/(LN(2)/25)*Calculateur!BL34*Calculateur!BN34*VLOOKUP('Données projet'!$B$11,Paramètres!$A$1:$I$89,3,0)*0.475*44/12</f>
        <v>29.347867411406209</v>
      </c>
      <c r="BR34" s="21">
        <f>EXP(-LN(2)/2)*BR33+(1-EXP(-LN(2)/2))/(LN(2)/2)*BL34*BO34*VLOOKUP('Données projet'!$B$11,Paramètres!$A$1:$I$89,3,0)*0.475*44/12</f>
        <v>22.996589225082907</v>
      </c>
      <c r="BS34" s="22">
        <f t="shared" si="9"/>
        <v>56.822827127522771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13.8</v>
      </c>
      <c r="BY34" s="12">
        <f>IF('Données projet'!$A$114&gt;35,BY33+BX34-CG33,IF(A34&lt;'Données projet'!$A$114,$BV$205^A34,IF(A34='Données projet'!$A$114,'Données projet'!$B$114,BY33+BX34-CG33)))</f>
        <v>189.8</v>
      </c>
      <c r="BZ34" s="13">
        <f>BY34*VLOOKUP('Données projet'!$B$12,Paramètres!$A$1:$I$89,3,0)*VLOOKUP('Données projet'!$B$12,Paramètres!$A$1:$I$89,5,0)</f>
        <v>103.63080000000001</v>
      </c>
      <c r="CA34" s="13">
        <f t="shared" si="39"/>
        <v>27.825181985080775</v>
      </c>
      <c r="CB34" s="20">
        <f t="shared" si="10"/>
        <v>228.952501957349</v>
      </c>
      <c r="CC34" s="59">
        <f t="shared" si="11"/>
        <v>522.28583529068237</v>
      </c>
      <c r="CD34" s="59">
        <f ca="1">AVERAGE(OFFSET($CC$3,0,0,'Données projet'!$E$12+1,1))-AVERAGE(OFFSET($H$3,0,0,'Données projet'!$E$12+1,1))</f>
        <v>210.04871822652808</v>
      </c>
      <c r="CE34" s="59">
        <f t="shared" si="40"/>
        <v>250.17540614049324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7.1578183746753483</v>
      </c>
      <c r="CL34" s="21">
        <f>EXP(-LN(2)/25)*CL33+(1-EXP(-LN(2)/25))/(LN(2)/25)*Calculateur!CG34*Calculateur!CI34*VLOOKUP('Données projet'!$B$12,Paramètres!$A$1:$I$89,3,0)*0.475*44/12</f>
        <v>27.069681257645033</v>
      </c>
      <c r="CM34" s="21">
        <f>EXP(-LN(2)/2)*CM33+(1-EXP(-LN(2)/2))/(LN(2)/2)*CG34*CJ34*VLOOKUP('Données projet'!$B$12,Paramètres!$A$1:$I$89,3,0)*0.475*44/12</f>
        <v>15.240900887121683</v>
      </c>
      <c r="CN34" s="22">
        <f t="shared" si="12"/>
        <v>49.468400519442064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10.199999999999999</v>
      </c>
      <c r="CT34" s="12">
        <f>IF('Données projet'!$A$140&gt;35,CT33+CS34-DB33,IF(A34&lt;'Données projet'!$A$140,$CQ$205^A34,IF(A34='Données projet'!$A$140,'Données projet'!$B$140,CT33+CS34-DB33)))</f>
        <v>128.19999999999996</v>
      </c>
      <c r="CU34" s="17">
        <f>CT34*VLOOKUP('Données projet'!$B$13,Paramètres!$A$1:$I$89,3,0)*VLOOKUP('Données projet'!$B$13,Paramètres!$A$1:$I$89,5,0)</f>
        <v>101.99591999999997</v>
      </c>
      <c r="CV34" s="13">
        <f t="shared" si="41"/>
        <v>27.436949671708501</v>
      </c>
      <c r="CW34" s="20">
        <f t="shared" si="13"/>
        <v>225.42891467822554</v>
      </c>
      <c r="CX34" s="59">
        <f t="shared" si="14"/>
        <v>518.76224801155888</v>
      </c>
      <c r="CY34" s="59">
        <f ca="1">AVERAGE(OFFSET($CX$3,0,0,'Données projet'!$E$13+1,1))-AVERAGE(OFFSET($H$3,0,0,'Données projet'!$E$13+1,1))</f>
        <v>199.58763537752952</v>
      </c>
      <c r="CZ34" s="59">
        <f t="shared" si="42"/>
        <v>242.62852778451929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10.001787937097522</v>
      </c>
      <c r="DH34" s="21">
        <f>EXP(-LN(2)/2)*DH33+(1-EXP(-LN(2)/2))/(LN(2)/2)*DB34*DE34*VLOOKUP('Données projet'!$B$13,Paramètres!$A$1:$I$89,3,0)*0.475*44/12</f>
        <v>7.6095709159810134</v>
      </c>
      <c r="DI34" s="22">
        <f t="shared" si="15"/>
        <v>17.611358853078535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13.7</v>
      </c>
      <c r="DO34" s="12">
        <f>IF('Données projet'!$A$166&gt;35,DO33+DN34-DW33,IF(A34&lt;'Données projet'!$A$166,$DL$205^A34,IF(A34='Données projet'!$A$166,'Données projet'!$B$166,DO33+DN34-DW33)))</f>
        <v>161.69999999999999</v>
      </c>
      <c r="DP34" s="17">
        <f>DO34*VLOOKUP('Données projet'!$B$14,Paramètres!$A$1:$I$89,3,0)*VLOOKUP('Données projet'!$B$14,Paramètres!$A$1:$I$89,5,0)</f>
        <v>96.696600000000004</v>
      </c>
      <c r="DQ34" s="13">
        <f t="shared" si="43"/>
        <v>26.173476069859898</v>
      </c>
      <c r="DR34" s="20">
        <f t="shared" si="16"/>
        <v>213.99871582167268</v>
      </c>
      <c r="DS34" s="59">
        <f t="shared" si="17"/>
        <v>507.33204915500596</v>
      </c>
      <c r="DT34" s="59">
        <f ca="1">AVERAGE(OFFSET($DS$3,0,0,'Données projet'!$E$14+1,1))-AVERAGE(OFFSET($H$3,0,0,'Données projet'!$E$14+1,1))</f>
        <v>216.94426559495264</v>
      </c>
      <c r="DU34" s="59">
        <f t="shared" si="44"/>
        <v>225.33715877618704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12.497899764311502</v>
      </c>
      <c r="EC34" s="21">
        <f>EXP(-LN(2)/2)*EC33+(1-EXP(-LN(2)/2))/(LN(2)/2)*DW34*DZ34*VLOOKUP('Données projet'!$B$14,Paramètres!$A$1:$I$89,3,0)*0.475*44/12</f>
        <v>16.779191279993352</v>
      </c>
      <c r="ED34" s="22">
        <f t="shared" si="18"/>
        <v>29.277091044304854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22.6</v>
      </c>
      <c r="EJ34" s="12">
        <f>IF('Données projet'!$A$192&gt;35,EJ33+EI34-ER33,IF(A34&lt;'Données projet'!$A$192,$EG$205^A34,IF(A34='Données projet'!$A$192,'Données projet'!$B$192,EJ33+EI34-ER33)))</f>
        <v>244.59999999999997</v>
      </c>
      <c r="EK34" s="17">
        <f>EJ34*VLOOKUP('Données projet'!$B$15,Paramètres!$A$1:$I$89,3,0)*VLOOKUP('Données projet'!$B$15,Paramètres!$A$1:$I$89,5,0)</f>
        <v>117.65259999999998</v>
      </c>
      <c r="EL34" s="13">
        <f t="shared" si="45"/>
        <v>31.126878893627911</v>
      </c>
      <c r="EM34" s="20">
        <f t="shared" si="19"/>
        <v>259.12425907306857</v>
      </c>
      <c r="EN34" s="59">
        <f t="shared" si="20"/>
        <v>552.45759240640189</v>
      </c>
      <c r="EO34" s="59">
        <f ca="1">AVERAGE(OFFSET($EN$3,0,0,'Données projet'!$E$15+1,1))-AVERAGE(OFFSET($H$3,0,0,'Données projet'!$E$15+1,1))</f>
        <v>292.1792787220852</v>
      </c>
      <c r="EP34" s="59">
        <f t="shared" si="46"/>
        <v>273.69206144662144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6.6059684319566161</v>
      </c>
      <c r="EW34" s="21">
        <f>EXP(-LN(2)/25)*EW33+(1-EXP(-LN(2)/25))/(LN(2)/25)*Calculateur!ER34*Calculateur!ET34*VLOOKUP('Données projet'!$B$15,Paramètres!$A$1:$I$89,3,0)*0.475*44/12</f>
        <v>13.056079584622736</v>
      </c>
      <c r="EX34" s="21">
        <f>EXP(-LN(2)/2)*EX33+(1-EXP(-LN(2)/2))/(LN(2)/2)*ER34*EU34*VLOOKUP('Données projet'!$B$15,Paramètres!$A$1:$I$89,3,0)*0.475*44/12</f>
        <v>14.787570975589093</v>
      </c>
      <c r="EY34" s="22">
        <f t="shared" si="21"/>
        <v>34.449618992168446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10.000000000000004</v>
      </c>
      <c r="N35" s="13">
        <f>IF('Données projet'!$A$36&gt;35,N34+M35-V34,IF(A35&lt;'Données projet'!$A$36,$K$205^A35,IF(A35='Données projet'!$A$36,'Données projet'!$B$36,N34+M35-V34)))</f>
        <v>211.59999999999988</v>
      </c>
      <c r="O35" s="13">
        <f>N35*VLOOKUP('Données projet'!$B$9,Paramètres!$A$1:$I$89,3,0)*VLOOKUP('Données projet'!$B$9,Paramètres!$A$1:$I$89,5,0)</f>
        <v>99.028799999999947</v>
      </c>
      <c r="P35" s="13">
        <f t="shared" si="33"/>
        <v>26.730491283721712</v>
      </c>
      <c r="Q35" s="20">
        <f t="shared" ref="Q35:Q66" si="53">(O35+P35)*0.475*44/12</f>
        <v>219.0307656524819</v>
      </c>
      <c r="R35" s="59">
        <f t="shared" si="0"/>
        <v>512.36409898581519</v>
      </c>
      <c r="S35" s="59">
        <f ca="1">AVERAGE(OFFSET($R$3,0,0,'Données projet'!$E$9+1,1))-AVERAGE(OFFSET($H$3,0,0,'Données projet'!$E$9+1,1))</f>
        <v>215.23235148064941</v>
      </c>
      <c r="T35" s="59">
        <f t="shared" si="34"/>
        <v>184.07239726900434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3.0128524701630561</v>
      </c>
      <c r="AA35" s="21">
        <f>EXP(-LN(2)/25)*AA34+(1-EXP(-LN(2)/25))/(LN(2)/25)*Calculateur!V35*Calculateur!X35*VLOOKUP('Données projet'!$B$9,Paramètres!$A$1:$I$89,3,0)*0.475*44/12</f>
        <v>7.4317221206756363</v>
      </c>
      <c r="AB35" s="21">
        <f>EXP(-LN(2)/2)*AB34+(1-EXP(-LN(2)/2))/(LN(2)/2)*V35*Y35*VLOOKUP('Données projet'!$B$9,Paramètres!$A$1:$I$89,3,0)*0.475*44/12</f>
        <v>4.9160882401479942</v>
      </c>
      <c r="AC35" s="22">
        <f t="shared" si="3"/>
        <v>15.360662830986687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5.2</v>
      </c>
      <c r="AI35" s="13">
        <f>IF('Données projet'!$A$62&gt;35,AI34+AH35-AQ34,IF(A35&lt;'Données projet'!$A$62,$AF$205^A35,IF(A35='Données projet'!$A$62,'Données projet'!$B$62,AI34+AH35-AQ34)))</f>
        <v>212.39999999999995</v>
      </c>
      <c r="AJ35" s="13">
        <f>AI35*VLOOKUP('Données projet'!$B$10,Paramètres!$A$1:$I$89,3,0)*VLOOKUP('Données projet'!$B$10,Paramètres!$A$1:$I$89,5,0)</f>
        <v>192.17951999999994</v>
      </c>
      <c r="AK35" s="13">
        <f t="shared" si="35"/>
        <v>48.021493442275315</v>
      </c>
      <c r="AL35" s="20">
        <f t="shared" si="4"/>
        <v>418.35009841196273</v>
      </c>
      <c r="AM35" s="59">
        <f t="shared" si="5"/>
        <v>711.68343174529605</v>
      </c>
      <c r="AN35" s="59">
        <f ca="1">AVERAGE(OFFSET($AM$3,0,0,'Données projet'!$E$10+1,1))-AVERAGE(OFFSET($H$3,0,0,'Données projet'!$E$10+1,1))</f>
        <v>225.28075317732998</v>
      </c>
      <c r="AO35" s="59">
        <f t="shared" si="36"/>
        <v>358.43407531256207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2.156398505571314</v>
      </c>
      <c r="AV35" s="21">
        <f>EXP(-LN(2)/25)*AV34+(1-EXP(-LN(2)/25))/(LN(2)/25)*Calculateur!AQ35*Calculateur!AS35*VLOOKUP('Données projet'!$B$10,Paramètres!$A$1:$I$89,3,0)*0.475*44/12</f>
        <v>7.8258424763194645</v>
      </c>
      <c r="AW35" s="21">
        <f>EXP(-LN(2)/2)*AW34+(1-EXP(-LN(2)/2))/(LN(2)/2)*AQ35*AT35*VLOOKUP('Données projet'!$B$10,Paramètres!$A$1:$I$89,3,0)*0.475*44/12</f>
        <v>2.2070105574847605</v>
      </c>
      <c r="AX35" s="21">
        <f t="shared" si="6"/>
        <v>12.18925153937554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22</v>
      </c>
      <c r="BD35" s="12">
        <f>IF('Données projet'!$A$88&gt;35,BD34+BC35-BL34,IF(A35&lt;'Données projet'!$A$88,$BA$205^A35,IF(A35='Données projet'!$A$88,'Données projet'!$B$88,BD34+BC35-BL34)))</f>
        <v>252.99999999999989</v>
      </c>
      <c r="BE35" s="13">
        <f>BD35*VLOOKUP('Données projet'!$B$11,Paramètres!$A$1:$I$89,3,0)*VLOOKUP('Données projet'!$B$11,Paramètres!$A$1:$I$89,5,0)</f>
        <v>141.42699999999994</v>
      </c>
      <c r="BF35" s="13">
        <f t="shared" si="37"/>
        <v>36.62371795968599</v>
      </c>
      <c r="BG35" s="20">
        <f t="shared" si="7"/>
        <v>310.10500044645295</v>
      </c>
      <c r="BH35" s="59">
        <f t="shared" si="8"/>
        <v>603.43833377978626</v>
      </c>
      <c r="BI35" s="59">
        <f ca="1">AVERAGE(OFFSET($BH$3,0,0,'Données projet'!$E$11+1,1))-AVERAGE(OFFSET($H$3,0,0,'Données projet'!$E$11+1,1))</f>
        <v>326.31232746914907</v>
      </c>
      <c r="BJ35" s="59">
        <f t="shared" si="38"/>
        <v>330.17137761430297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4.3905523772407644</v>
      </c>
      <c r="BQ35" s="21">
        <f>EXP(-LN(2)/25)*BQ34+(1-EXP(-LN(2)/25))/(LN(2)/25)*Calculateur!BL35*Calculateur!BN35*VLOOKUP('Données projet'!$B$11,Paramètres!$A$1:$I$89,3,0)*0.475*44/12</f>
        <v>28.545348433704035</v>
      </c>
      <c r="BR35" s="21">
        <f>EXP(-LN(2)/2)*BR34+(1-EXP(-LN(2)/2))/(LN(2)/2)*BL35*BO35*VLOOKUP('Données projet'!$B$11,Paramètres!$A$1:$I$89,3,0)*0.475*44/12</f>
        <v>16.261044185217617</v>
      </c>
      <c r="BS35" s="22">
        <f t="shared" si="9"/>
        <v>49.196944996162415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13.8</v>
      </c>
      <c r="BY35" s="12">
        <f>IF('Données projet'!$A$114&gt;35,BY34+BX35-CG34,IF(A35&lt;'Données projet'!$A$114,$BV$205^A35,IF(A35='Données projet'!$A$114,'Données projet'!$B$114,BY34+BX35-CG34)))</f>
        <v>203.60000000000002</v>
      </c>
      <c r="BZ35" s="13">
        <f>BY35*VLOOKUP('Données projet'!$B$12,Paramètres!$A$1:$I$89,3,0)*VLOOKUP('Données projet'!$B$12,Paramètres!$A$1:$I$89,5,0)</f>
        <v>111.1656</v>
      </c>
      <c r="CA35" s="13">
        <f t="shared" si="39"/>
        <v>29.60544032483066</v>
      </c>
      <c r="CB35" s="20">
        <f t="shared" si="10"/>
        <v>245.17622856574675</v>
      </c>
      <c r="CC35" s="59">
        <f t="shared" si="11"/>
        <v>538.50956189908004</v>
      </c>
      <c r="CD35" s="59">
        <f ca="1">AVERAGE(OFFSET($CC$3,0,0,'Données projet'!$E$12+1,1))-AVERAGE(OFFSET($H$3,0,0,'Données projet'!$E$12+1,1))</f>
        <v>210.04871822652808</v>
      </c>
      <c r="CE35" s="59">
        <f t="shared" si="40"/>
        <v>250.17540614049324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7.0174579221860824</v>
      </c>
      <c r="CL35" s="21">
        <f>EXP(-LN(2)/25)*CL34+(1-EXP(-LN(2)/25))/(LN(2)/25)*Calculateur!CG35*Calculateur!CI35*VLOOKUP('Données projet'!$B$12,Paramètres!$A$1:$I$89,3,0)*0.475*44/12</f>
        <v>26.329459400122062</v>
      </c>
      <c r="CM35" s="21">
        <f>EXP(-LN(2)/2)*CM34+(1-EXP(-LN(2)/2))/(LN(2)/2)*CG35*CJ35*VLOOKUP('Données projet'!$B$12,Paramètres!$A$1:$I$89,3,0)*0.475*44/12</f>
        <v>10.77694436867581</v>
      </c>
      <c r="CN35" s="22">
        <f t="shared" si="12"/>
        <v>44.123861690983958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10.199999999999999</v>
      </c>
      <c r="CT35" s="12">
        <f>IF('Données projet'!$A$140&gt;35,CT34+CS35-DB34,IF(A35&lt;'Données projet'!$A$140,$CQ$205^A35,IF(A35='Données projet'!$A$140,'Données projet'!$B$140,CT34+CS35-DB34)))</f>
        <v>138.39999999999995</v>
      </c>
      <c r="CU35" s="17">
        <f>CT35*VLOOKUP('Données projet'!$B$13,Paramètres!$A$1:$I$89,3,0)*VLOOKUP('Données projet'!$B$13,Paramètres!$A$1:$I$89,5,0)</f>
        <v>110.11103999999996</v>
      </c>
      <c r="CV35" s="13">
        <f t="shared" si="41"/>
        <v>29.357144926198423</v>
      </c>
      <c r="CW35" s="20">
        <f t="shared" si="13"/>
        <v>242.90708874646216</v>
      </c>
      <c r="CX35" s="59">
        <f t="shared" si="14"/>
        <v>536.24042207979551</v>
      </c>
      <c r="CY35" s="59">
        <f ca="1">AVERAGE(OFFSET($CX$3,0,0,'Données projet'!$E$13+1,1))-AVERAGE(OFFSET($H$3,0,0,'Données projet'!$E$13+1,1))</f>
        <v>199.58763537752952</v>
      </c>
      <c r="CZ35" s="59">
        <f t="shared" si="42"/>
        <v>242.62852778451929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9.7282885199864211</v>
      </c>
      <c r="DH35" s="21">
        <f>EXP(-LN(2)/2)*DH34+(1-EXP(-LN(2)/2))/(LN(2)/2)*DB35*DE35*VLOOKUP('Données projet'!$B$13,Paramètres!$A$1:$I$89,3,0)*0.475*44/12</f>
        <v>5.3807791966101028</v>
      </c>
      <c r="DI35" s="22">
        <f t="shared" si="15"/>
        <v>15.109067716596524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13.7</v>
      </c>
      <c r="DO35" s="12">
        <f>IF('Données projet'!$A$166&gt;35,DO34+DN35-DW34,IF(A35&lt;'Données projet'!$A$166,$DL$205^A35,IF(A35='Données projet'!$A$166,'Données projet'!$B$166,DO34+DN35-DW34)))</f>
        <v>175.39999999999998</v>
      </c>
      <c r="DP35" s="17">
        <f>DO35*VLOOKUP('Données projet'!$B$14,Paramètres!$A$1:$I$89,3,0)*VLOOKUP('Données projet'!$B$14,Paramètres!$A$1:$I$89,5,0)</f>
        <v>104.8892</v>
      </c>
      <c r="DQ35" s="13">
        <f t="shared" si="43"/>
        <v>28.123526406473545</v>
      </c>
      <c r="DR35" s="20">
        <f t="shared" si="16"/>
        <v>231.66383182460808</v>
      </c>
      <c r="DS35" s="59">
        <f t="shared" si="17"/>
        <v>524.99716515794137</v>
      </c>
      <c r="DT35" s="59">
        <f ca="1">AVERAGE(OFFSET($DS$3,0,0,'Données projet'!$E$14+1,1))-AVERAGE(OFFSET($H$3,0,0,'Données projet'!$E$14+1,1))</f>
        <v>216.94426559495264</v>
      </c>
      <c r="DU35" s="59">
        <f t="shared" si="44"/>
        <v>225.33715877618704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12.15614403802042</v>
      </c>
      <c r="EC35" s="21">
        <f>EXP(-LN(2)/2)*EC34+(1-EXP(-LN(2)/2))/(LN(2)/2)*DW35*DZ35*VLOOKUP('Données projet'!$B$14,Paramètres!$A$1:$I$89,3,0)*0.475*44/12</f>
        <v>11.864679936909486</v>
      </c>
      <c r="ED35" s="22">
        <f t="shared" si="18"/>
        <v>24.020823974929904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22.6</v>
      </c>
      <c r="EJ35" s="12">
        <f>IF('Données projet'!$A$192&gt;35,EJ34+EI35-ER34,IF(A35&lt;'Données projet'!$A$192,$EG$205^A35,IF(A35='Données projet'!$A$192,'Données projet'!$B$192,EJ34+EI35-ER34)))</f>
        <v>267.2</v>
      </c>
      <c r="EK35" s="17">
        <f>EJ35*VLOOKUP('Données projet'!$B$15,Paramètres!$A$1:$I$89,3,0)*VLOOKUP('Données projet'!$B$15,Paramètres!$A$1:$I$89,5,0)</f>
        <v>128.5232</v>
      </c>
      <c r="EL35" s="13">
        <f t="shared" si="45"/>
        <v>33.654887637825389</v>
      </c>
      <c r="EM35" s="20">
        <f t="shared" si="19"/>
        <v>282.46016930254592</v>
      </c>
      <c r="EN35" s="59">
        <f t="shared" si="20"/>
        <v>575.79350263587924</v>
      </c>
      <c r="EO35" s="59">
        <f ca="1">AVERAGE(OFFSET($EN$3,0,0,'Données projet'!$E$15+1,1))-AVERAGE(OFFSET($H$3,0,0,'Données projet'!$E$15+1,1))</f>
        <v>292.1792787220852</v>
      </c>
      <c r="EP35" s="59">
        <f t="shared" si="46"/>
        <v>273.69206144662144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6.4764294202488353</v>
      </c>
      <c r="EW35" s="21">
        <f>EXP(-LN(2)/25)*EW34+(1-EXP(-LN(2)/25))/(LN(2)/25)*Calculateur!ER35*Calculateur!ET35*VLOOKUP('Données projet'!$B$15,Paramètres!$A$1:$I$89,3,0)*0.475*44/12</f>
        <v>12.699060401791842</v>
      </c>
      <c r="EX35" s="21">
        <f>EXP(-LN(2)/2)*EX34+(1-EXP(-LN(2)/2))/(LN(2)/2)*ER35*EU35*VLOOKUP('Données projet'!$B$15,Paramètres!$A$1:$I$89,3,0)*0.475*44/12</f>
        <v>10.456391714116418</v>
      </c>
      <c r="EY35" s="22">
        <f t="shared" si="21"/>
        <v>29.631881536157096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10.000000000000004</v>
      </c>
      <c r="N36" s="13">
        <f>IF('Données projet'!$A$36&gt;35,N35+M36-V35,IF(A36&lt;'Données projet'!$A$36,$K$205^A36,IF(A36='Données projet'!$A$36,'Données projet'!$B$36,N35+M36-V35)))</f>
        <v>221.59999999999988</v>
      </c>
      <c r="O36" s="13">
        <f>N36*VLOOKUP('Données projet'!$B$9,Paramètres!$A$1:$I$89,3,0)*VLOOKUP('Données projet'!$B$9,Paramètres!$A$1:$I$89,5,0)</f>
        <v>103.70879999999994</v>
      </c>
      <c r="P36" s="13">
        <f t="shared" si="33"/>
        <v>27.84368661708951</v>
      </c>
      <c r="Q36" s="20">
        <f t="shared" si="53"/>
        <v>229.12058085809744</v>
      </c>
      <c r="R36" s="59">
        <f t="shared" si="0"/>
        <v>522.45391419143073</v>
      </c>
      <c r="S36" s="59">
        <f ca="1">AVERAGE(OFFSET($R$3,0,0,'Données projet'!$E$9+1,1))-AVERAGE(OFFSET($H$3,0,0,'Données projet'!$E$9+1,1))</f>
        <v>215.23235148064941</v>
      </c>
      <c r="T36" s="59">
        <f t="shared" si="34"/>
        <v>184.07239726900434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2.9537722708817116</v>
      </c>
      <c r="AA36" s="21">
        <f>EXP(-LN(2)/25)*AA35+(1-EXP(-LN(2)/25))/(LN(2)/25)*Calculateur!V36*Calculateur!X36*VLOOKUP('Données projet'!$B$9,Paramètres!$A$1:$I$89,3,0)*0.475*44/12</f>
        <v>7.2285012884684798</v>
      </c>
      <c r="AB36" s="21">
        <f>EXP(-LN(2)/2)*AB35+(1-EXP(-LN(2)/2))/(LN(2)/2)*V36*Y36*VLOOKUP('Données projet'!$B$9,Paramètres!$A$1:$I$89,3,0)*0.475*44/12</f>
        <v>3.4761993315200876</v>
      </c>
      <c r="AC36" s="22">
        <f t="shared" si="3"/>
        <v>13.658472890870279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5.2</v>
      </c>
      <c r="AI36" s="13">
        <f>IF('Données projet'!$A$62&gt;35,AI35+AH36-AQ35,IF(A36&lt;'Données projet'!$A$62,$AF$205^A36,IF(A36='Données projet'!$A$62,'Données projet'!$B$62,AI35+AH36-AQ35)))</f>
        <v>217.59999999999994</v>
      </c>
      <c r="AJ36" s="13">
        <f>AI36*VLOOKUP('Données projet'!$B$10,Paramètres!$A$1:$I$89,3,0)*VLOOKUP('Données projet'!$B$10,Paramètres!$A$1:$I$89,5,0)</f>
        <v>196.88447999999994</v>
      </c>
      <c r="AK36" s="13">
        <f t="shared" si="35"/>
        <v>49.058846340873643</v>
      </c>
      <c r="AL36" s="20">
        <f t="shared" si="4"/>
        <v>428.35129337702142</v>
      </c>
      <c r="AM36" s="59">
        <f t="shared" si="5"/>
        <v>721.68462671035468</v>
      </c>
      <c r="AN36" s="59">
        <f ca="1">AVERAGE(OFFSET($AM$3,0,0,'Données projet'!$E$10+1,1))-AVERAGE(OFFSET($H$3,0,0,'Données projet'!$E$10+1,1))</f>
        <v>225.28075317732998</v>
      </c>
      <c r="AO36" s="59">
        <f t="shared" si="36"/>
        <v>358.43407531256207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2.1141128461502765</v>
      </c>
      <c r="AV36" s="21">
        <f>EXP(-LN(2)/25)*AV35+(1-EXP(-LN(2)/25))/(LN(2)/25)*Calculateur!AQ36*Calculateur!AS36*VLOOKUP('Données projet'!$B$10,Paramètres!$A$1:$I$89,3,0)*0.475*44/12</f>
        <v>7.6118444022613394</v>
      </c>
      <c r="AW36" s="21">
        <f>EXP(-LN(2)/2)*AW35+(1-EXP(-LN(2)/2))/(LN(2)/2)*AQ36*AT36*VLOOKUP('Données projet'!$B$10,Paramètres!$A$1:$I$89,3,0)*0.475*44/12</f>
        <v>1.5605921313477769</v>
      </c>
      <c r="AX36" s="21">
        <f t="shared" si="6"/>
        <v>11.286549379759393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22</v>
      </c>
      <c r="BD36" s="12">
        <f>IF('Données projet'!$A$88&gt;35,BD35+BC36-BL35,IF(A36&lt;'Données projet'!$A$88,$BA$205^A36,IF(A36='Données projet'!$A$88,'Données projet'!$B$88,BD35+BC36-BL35)))</f>
        <v>274.99999999999989</v>
      </c>
      <c r="BE36" s="13">
        <f>BD36*VLOOKUP('Données projet'!$B$11,Paramètres!$A$1:$I$89,3,0)*VLOOKUP('Données projet'!$B$11,Paramètres!$A$1:$I$89,5,0)</f>
        <v>153.72499999999994</v>
      </c>
      <c r="BF36" s="13">
        <f t="shared" si="37"/>
        <v>39.423892922919691</v>
      </c>
      <c r="BG36" s="20">
        <f t="shared" si="7"/>
        <v>336.40098850741833</v>
      </c>
      <c r="BH36" s="59">
        <f t="shared" si="8"/>
        <v>629.73432184075159</v>
      </c>
      <c r="BI36" s="59">
        <f ca="1">AVERAGE(OFFSET($BH$3,0,0,'Données projet'!$E$11+1,1))-AVERAGE(OFFSET($H$3,0,0,'Données projet'!$E$11+1,1))</f>
        <v>326.31232746914907</v>
      </c>
      <c r="BJ36" s="59">
        <f t="shared" si="38"/>
        <v>330.17137761430297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4.3044563230955957</v>
      </c>
      <c r="BQ36" s="21">
        <f>EXP(-LN(2)/25)*BQ35+(1-EXP(-LN(2)/25))/(LN(2)/25)*Calculateur!BL36*Calculateur!BN36*VLOOKUP('Données projet'!$B$11,Paramètres!$A$1:$I$89,3,0)*0.475*44/12</f>
        <v>27.764774379649765</v>
      </c>
      <c r="BR36" s="21">
        <f>EXP(-LN(2)/2)*BR35+(1-EXP(-LN(2)/2))/(LN(2)/2)*BL36*BO36*VLOOKUP('Données projet'!$B$11,Paramètres!$A$1:$I$89,3,0)*0.475*44/12</f>
        <v>11.498294612541455</v>
      </c>
      <c r="BS36" s="22">
        <f t="shared" si="9"/>
        <v>43.567525315286815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13.8</v>
      </c>
      <c r="BY36" s="12">
        <f>IF('Données projet'!$A$114&gt;35,BY35+BX36-CG35,IF(A36&lt;'Données projet'!$A$114,$BV$205^A36,IF(A36='Données projet'!$A$114,'Données projet'!$B$114,BY35+BX36-CG35)))</f>
        <v>217.40000000000003</v>
      </c>
      <c r="BZ36" s="13">
        <f>BY36*VLOOKUP('Données projet'!$B$12,Paramètres!$A$1:$I$89,3,0)*VLOOKUP('Données projet'!$B$12,Paramètres!$A$1:$I$89,5,0)</f>
        <v>118.70040000000002</v>
      </c>
      <c r="CA36" s="13">
        <f t="shared" si="39"/>
        <v>31.371697109278699</v>
      </c>
      <c r="CB36" s="20">
        <f t="shared" si="10"/>
        <v>261.37556913199376</v>
      </c>
      <c r="CC36" s="59">
        <f t="shared" si="11"/>
        <v>554.70890246532713</v>
      </c>
      <c r="CD36" s="59">
        <f ca="1">AVERAGE(OFFSET($CC$3,0,0,'Données projet'!$E$12+1,1))-AVERAGE(OFFSET($H$3,0,0,'Données projet'!$E$12+1,1))</f>
        <v>210.04871822652808</v>
      </c>
      <c r="CE36" s="59">
        <f t="shared" si="40"/>
        <v>250.17540614049324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6.8798498525587082</v>
      </c>
      <c r="CL36" s="21">
        <f>EXP(-LN(2)/25)*CL35+(1-EXP(-LN(2)/25))/(LN(2)/25)*Calculateur!CG36*Calculateur!CI36*VLOOKUP('Données projet'!$B$12,Paramètres!$A$1:$I$89,3,0)*0.475*44/12</f>
        <v>25.609478948219632</v>
      </c>
      <c r="CM36" s="21">
        <f>EXP(-LN(2)/2)*CM35+(1-EXP(-LN(2)/2))/(LN(2)/2)*CG36*CJ36*VLOOKUP('Données projet'!$B$12,Paramètres!$A$1:$I$89,3,0)*0.475*44/12</f>
        <v>7.6204504435608422</v>
      </c>
      <c r="CN36" s="22">
        <f t="shared" si="12"/>
        <v>40.10977924433918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10.199999999999999</v>
      </c>
      <c r="CT36" s="12">
        <f>IF('Données projet'!$A$140&gt;35,CT35+CS36-DB35,IF(A36&lt;'Données projet'!$A$140,$CQ$205^A36,IF(A36='Données projet'!$A$140,'Données projet'!$B$140,CT35+CS36-DB35)))</f>
        <v>148.59999999999994</v>
      </c>
      <c r="CU36" s="17">
        <f>CT36*VLOOKUP('Données projet'!$B$13,Paramètres!$A$1:$I$89,3,0)*VLOOKUP('Données projet'!$B$13,Paramètres!$A$1:$I$89,5,0)</f>
        <v>118.22615999999996</v>
      </c>
      <c r="CV36" s="13">
        <f t="shared" si="41"/>
        <v>31.260922342884676</v>
      </c>
      <c r="CW36" s="20">
        <f t="shared" si="13"/>
        <v>260.35666841385739</v>
      </c>
      <c r="CX36" s="59">
        <f t="shared" si="14"/>
        <v>553.69000174719076</v>
      </c>
      <c r="CY36" s="59">
        <f ca="1">AVERAGE(OFFSET($CX$3,0,0,'Données projet'!$E$13+1,1))-AVERAGE(OFFSET($H$3,0,0,'Données projet'!$E$13+1,1))</f>
        <v>199.58763537752952</v>
      </c>
      <c r="CZ36" s="59">
        <f t="shared" si="42"/>
        <v>242.62852778451929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9.4622679588189342</v>
      </c>
      <c r="DH36" s="21">
        <f>EXP(-LN(2)/2)*DH35+(1-EXP(-LN(2)/2))/(LN(2)/2)*DB36*DE36*VLOOKUP('Données projet'!$B$13,Paramètres!$A$1:$I$89,3,0)*0.475*44/12</f>
        <v>3.8047854579905072</v>
      </c>
      <c r="DI36" s="22">
        <f t="shared" si="15"/>
        <v>13.267053416809441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13.7</v>
      </c>
      <c r="DO36" s="12">
        <f>IF('Données projet'!$A$166&gt;35,DO35+DN36-DW35,IF(A36&lt;'Données projet'!$A$166,$DL$205^A36,IF(A36='Données projet'!$A$166,'Données projet'!$B$166,DO35+DN36-DW35)))</f>
        <v>189.09999999999997</v>
      </c>
      <c r="DP36" s="17">
        <f>DO36*VLOOKUP('Données projet'!$B$14,Paramètres!$A$1:$I$89,3,0)*VLOOKUP('Données projet'!$B$14,Paramètres!$A$1:$I$89,5,0)</f>
        <v>113.08179999999999</v>
      </c>
      <c r="DQ36" s="13">
        <f t="shared" si="43"/>
        <v>30.055908915657483</v>
      </c>
      <c r="DR36" s="20">
        <f t="shared" si="16"/>
        <v>249.29817636143676</v>
      </c>
      <c r="DS36" s="59">
        <f t="shared" si="17"/>
        <v>542.6315096947701</v>
      </c>
      <c r="DT36" s="59">
        <f ca="1">AVERAGE(OFFSET($DS$3,0,0,'Données projet'!$E$14+1,1))-AVERAGE(OFFSET($H$3,0,0,'Données projet'!$E$14+1,1))</f>
        <v>216.94426559495264</v>
      </c>
      <c r="DU36" s="59">
        <f t="shared" si="44"/>
        <v>225.33715877618704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11.82373364003692</v>
      </c>
      <c r="EC36" s="21">
        <f>EXP(-LN(2)/2)*EC35+(1-EXP(-LN(2)/2))/(LN(2)/2)*DW36*DZ36*VLOOKUP('Données projet'!$B$14,Paramètres!$A$1:$I$89,3,0)*0.475*44/12</f>
        <v>8.389595639996676</v>
      </c>
      <c r="ED36" s="22">
        <f t="shared" si="18"/>
        <v>20.213329280033598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22.6</v>
      </c>
      <c r="EJ36" s="12">
        <f>IF('Données projet'!$A$192&gt;35,EJ35+EI36-ER35,IF(A36&lt;'Données projet'!$A$192,$EG$205^A36,IF(A36='Données projet'!$A$192,'Données projet'!$B$192,EJ35+EI36-ER35)))</f>
        <v>289.8</v>
      </c>
      <c r="EK36" s="17">
        <f>EJ36*VLOOKUP('Données projet'!$B$15,Paramètres!$A$1:$I$89,3,0)*VLOOKUP('Données projet'!$B$15,Paramètres!$A$1:$I$89,5,0)</f>
        <v>139.3938</v>
      </c>
      <c r="EL36" s="13">
        <f t="shared" si="45"/>
        <v>36.15809853447346</v>
      </c>
      <c r="EM36" s="20">
        <f t="shared" si="19"/>
        <v>305.75288994754123</v>
      </c>
      <c r="EN36" s="59">
        <f t="shared" si="20"/>
        <v>599.08622328087449</v>
      </c>
      <c r="EO36" s="59">
        <f ca="1">AVERAGE(OFFSET($EN$3,0,0,'Données projet'!$E$15+1,1))-AVERAGE(OFFSET($H$3,0,0,'Données projet'!$E$15+1,1))</f>
        <v>292.1792787220852</v>
      </c>
      <c r="EP36" s="59">
        <f t="shared" si="46"/>
        <v>273.69206144662144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6.349430589549649</v>
      </c>
      <c r="EW36" s="21">
        <f>EXP(-LN(2)/25)*EW35+(1-EXP(-LN(2)/25))/(LN(2)/25)*Calculateur!ER36*Calculateur!ET36*VLOOKUP('Données projet'!$B$15,Paramètres!$A$1:$I$89,3,0)*0.475*44/12</f>
        <v>12.351803927290282</v>
      </c>
      <c r="EX36" s="21">
        <f>EXP(-LN(2)/2)*EX35+(1-EXP(-LN(2)/2))/(LN(2)/2)*ER36*EU36*VLOOKUP('Données projet'!$B$15,Paramètres!$A$1:$I$89,3,0)*0.475*44/12</f>
        <v>7.3937854877945464</v>
      </c>
      <c r="EY36" s="22">
        <f t="shared" si="21"/>
        <v>26.095020004634478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10.000000000000004</v>
      </c>
      <c r="N37" s="13">
        <f>IF('Données projet'!$A$36&gt;35,N36+M37-V36,IF(A37&lt;'Données projet'!$A$36,$K$205^A37,IF(A37='Données projet'!$A$36,'Données projet'!$B$36,N36+M37-V36)))</f>
        <v>231.59999999999988</v>
      </c>
      <c r="O37" s="13">
        <f>N37*VLOOKUP('Données projet'!$B$9,Paramètres!$A$1:$I$89,3,0)*VLOOKUP('Données projet'!$B$9,Paramètres!$A$1:$I$89,5,0)</f>
        <v>108.38879999999993</v>
      </c>
      <c r="P37" s="13">
        <f t="shared" si="33"/>
        <v>28.951047900249165</v>
      </c>
      <c r="Q37" s="20">
        <f t="shared" si="53"/>
        <v>239.20023509293381</v>
      </c>
      <c r="R37" s="59">
        <f t="shared" si="0"/>
        <v>532.53356842626715</v>
      </c>
      <c r="S37" s="59">
        <f ca="1">AVERAGE(OFFSET($R$3,0,0,'Données projet'!$E$9+1,1))-AVERAGE(OFFSET($H$3,0,0,'Données projet'!$E$9+1,1))</f>
        <v>215.23235148064941</v>
      </c>
      <c r="T37" s="59">
        <f t="shared" si="34"/>
        <v>184.07239726900434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2.895850598272911</v>
      </c>
      <c r="AA37" s="21">
        <f>EXP(-LN(2)/25)*AA36+(1-EXP(-LN(2)/25))/(LN(2)/25)*Calculateur!V37*Calculateur!X37*VLOOKUP('Données projet'!$B$9,Paramètres!$A$1:$I$89,3,0)*0.475*44/12</f>
        <v>7.0308375406049475</v>
      </c>
      <c r="AB37" s="21">
        <f>EXP(-LN(2)/2)*AB36+(1-EXP(-LN(2)/2))/(LN(2)/2)*V37*Y37*VLOOKUP('Données projet'!$B$9,Paramètres!$A$1:$I$89,3,0)*0.475*44/12</f>
        <v>2.4580441200739975</v>
      </c>
      <c r="AC37" s="22">
        <f t="shared" si="3"/>
        <v>12.384732258951857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5.2</v>
      </c>
      <c r="AI37" s="13">
        <f>IF('Données projet'!$A$62&gt;35,AI36+AH37-AQ36,IF(A37&lt;'Données projet'!$A$62,$AF$205^A37,IF(A37='Données projet'!$A$62,'Données projet'!$B$62,AI36+AH37-AQ36)))</f>
        <v>222.79999999999993</v>
      </c>
      <c r="AJ37" s="13">
        <f>AI37*VLOOKUP('Données projet'!$B$10,Paramètres!$A$1:$I$89,3,0)*VLOOKUP('Données projet'!$B$10,Paramètres!$A$1:$I$89,5,0)</f>
        <v>201.58943999999994</v>
      </c>
      <c r="AK37" s="13">
        <f t="shared" si="35"/>
        <v>50.093317439945402</v>
      </c>
      <c r="AL37" s="20">
        <f t="shared" si="4"/>
        <v>438.34746920790479</v>
      </c>
      <c r="AM37" s="59">
        <f t="shared" si="5"/>
        <v>731.68080254123811</v>
      </c>
      <c r="AN37" s="59">
        <f ca="1">AVERAGE(OFFSET($AM$3,0,0,'Données projet'!$E$10+1,1))-AVERAGE(OFFSET($H$3,0,0,'Données projet'!$E$10+1,1))</f>
        <v>225.28075317732998</v>
      </c>
      <c r="AO37" s="59">
        <f t="shared" si="36"/>
        <v>358.43407531256207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2.0726563827187801</v>
      </c>
      <c r="AV37" s="21">
        <f>EXP(-LN(2)/25)*AV36+(1-EXP(-LN(2)/25))/(LN(2)/25)*Calculateur!AQ37*Calculateur!AS37*VLOOKUP('Données projet'!$B$10,Paramètres!$A$1:$I$89,3,0)*0.475*44/12</f>
        <v>7.4036981167920031</v>
      </c>
      <c r="AW37" s="21">
        <f>EXP(-LN(2)/2)*AW36+(1-EXP(-LN(2)/2))/(LN(2)/2)*AQ37*AT37*VLOOKUP('Données projet'!$B$10,Paramètres!$A$1:$I$89,3,0)*0.475*44/12</f>
        <v>1.1035052787423805</v>
      </c>
      <c r="AX37" s="21">
        <f t="shared" si="6"/>
        <v>10.579859778253164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22</v>
      </c>
      <c r="BD37" s="12">
        <f>IF('Données projet'!$A$88&gt;35,BD36+BC37-BL36,IF(A37&lt;'Données projet'!$A$88,$BA$205^A37,IF(A37='Données projet'!$A$88,'Données projet'!$B$88,BD36+BC37-BL36)))</f>
        <v>296.99999999999989</v>
      </c>
      <c r="BE37" s="13">
        <f>BD37*VLOOKUP('Données projet'!$B$11,Paramètres!$A$1:$I$89,3,0)*VLOOKUP('Données projet'!$B$11,Paramètres!$A$1:$I$89,5,0)</f>
        <v>166.02299999999994</v>
      </c>
      <c r="BF37" s="13">
        <f t="shared" si="37"/>
        <v>42.198084449395701</v>
      </c>
      <c r="BG37" s="20">
        <f t="shared" si="7"/>
        <v>362.6517220826974</v>
      </c>
      <c r="BH37" s="59">
        <f t="shared" si="8"/>
        <v>655.98505541603072</v>
      </c>
      <c r="BI37" s="59">
        <f ca="1">AVERAGE(OFFSET($BH$3,0,0,'Données projet'!$E$11+1,1))-AVERAGE(OFFSET($H$3,0,0,'Données projet'!$E$11+1,1))</f>
        <v>326.31232746914907</v>
      </c>
      <c r="BJ37" s="59">
        <f t="shared" si="38"/>
        <v>330.17137761430297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4.2200485600588058</v>
      </c>
      <c r="BQ37" s="21">
        <f>EXP(-LN(2)/25)*BQ36+(1-EXP(-LN(2)/25))/(LN(2)/25)*Calculateur!BL37*Calculateur!BN37*VLOOKUP('Données projet'!$B$11,Paramètres!$A$1:$I$89,3,0)*0.475*44/12</f>
        <v>27.005545164152213</v>
      </c>
      <c r="BR37" s="21">
        <f>EXP(-LN(2)/2)*BR36+(1-EXP(-LN(2)/2))/(LN(2)/2)*BL37*BO37*VLOOKUP('Données projet'!$B$11,Paramètres!$A$1:$I$89,3,0)*0.475*44/12</f>
        <v>8.1305220926088104</v>
      </c>
      <c r="BS37" s="22">
        <f t="shared" si="9"/>
        <v>39.35611581681983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13.8</v>
      </c>
      <c r="BY37" s="12">
        <f>IF('Données projet'!$A$114&gt;35,BY36+BX37-CG36,IF(A37&lt;'Données projet'!$A$114,$BV$205^A37,IF(A37='Données projet'!$A$114,'Données projet'!$B$114,BY36+BX37-CG36)))</f>
        <v>231.20000000000005</v>
      </c>
      <c r="BZ37" s="13">
        <f>BY37*VLOOKUP('Données projet'!$B$12,Paramètres!$A$1:$I$89,3,0)*VLOOKUP('Données projet'!$B$12,Paramètres!$A$1:$I$89,5,0)</f>
        <v>126.23520000000002</v>
      </c>
      <c r="CA37" s="13">
        <f t="shared" si="39"/>
        <v>33.12494229060627</v>
      </c>
      <c r="CB37" s="20">
        <f t="shared" si="10"/>
        <v>277.55224782280595</v>
      </c>
      <c r="CC37" s="59">
        <f t="shared" si="11"/>
        <v>570.88558115613932</v>
      </c>
      <c r="CD37" s="59">
        <f ca="1">AVERAGE(OFFSET($CC$3,0,0,'Données projet'!$E$12+1,1))-AVERAGE(OFFSET($H$3,0,0,'Données projet'!$E$12+1,1))</f>
        <v>210.04871822652808</v>
      </c>
      <c r="CE37" s="59">
        <f t="shared" si="40"/>
        <v>250.17540614049324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6.7449401932440924</v>
      </c>
      <c r="CL37" s="21">
        <f>EXP(-LN(2)/25)*CL36+(1-EXP(-LN(2)/25))/(LN(2)/25)*Calculateur!CG37*Calculateur!CI37*VLOOKUP('Données projet'!$B$12,Paramètres!$A$1:$I$89,3,0)*0.475*44/12</f>
        <v>24.909186399636599</v>
      </c>
      <c r="CM37" s="21">
        <f>EXP(-LN(2)/2)*CM36+(1-EXP(-LN(2)/2))/(LN(2)/2)*CG37*CJ37*VLOOKUP('Données projet'!$B$12,Paramètres!$A$1:$I$89,3,0)*0.475*44/12</f>
        <v>5.388472184337906</v>
      </c>
      <c r="CN37" s="22">
        <f t="shared" si="12"/>
        <v>37.042598777218601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10.199999999999999</v>
      </c>
      <c r="CT37" s="12">
        <f>IF('Données projet'!$A$140&gt;35,CT36+CS37-DB36,IF(A37&lt;'Données projet'!$A$140,$CQ$205^A37,IF(A37='Données projet'!$A$140,'Données projet'!$B$140,CT36+CS37-DB36)))</f>
        <v>158.79999999999993</v>
      </c>
      <c r="CU37" s="17">
        <f>CT37*VLOOKUP('Données projet'!$B$13,Paramètres!$A$1:$I$89,3,0)*VLOOKUP('Données projet'!$B$13,Paramètres!$A$1:$I$89,5,0)</f>
        <v>126.34127999999994</v>
      </c>
      <c r="CV37" s="13">
        <f t="shared" si="41"/>
        <v>33.14953705360643</v>
      </c>
      <c r="CW37" s="20">
        <f t="shared" si="13"/>
        <v>277.77983970169777</v>
      </c>
      <c r="CX37" s="59">
        <f t="shared" si="14"/>
        <v>571.11317303503108</v>
      </c>
      <c r="CY37" s="59">
        <f ca="1">AVERAGE(OFFSET($CX$3,0,0,'Données projet'!$E$13+1,1))-AVERAGE(OFFSET($H$3,0,0,'Données projet'!$E$13+1,1))</f>
        <v>199.58763537752952</v>
      </c>
      <c r="CZ37" s="59">
        <f t="shared" si="42"/>
        <v>242.62852778451929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9.2035217438859842</v>
      </c>
      <c r="DH37" s="21">
        <f>EXP(-LN(2)/2)*DH36+(1-EXP(-LN(2)/2))/(LN(2)/2)*DB37*DE37*VLOOKUP('Données projet'!$B$13,Paramètres!$A$1:$I$89,3,0)*0.475*44/12</f>
        <v>2.6903895983050519</v>
      </c>
      <c r="DI37" s="22">
        <f t="shared" si="15"/>
        <v>11.893911342191036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13.7</v>
      </c>
      <c r="DO37" s="12">
        <f>IF('Données projet'!$A$166&gt;35,DO36+DN37-DW36,IF(A37&lt;'Données projet'!$A$166,$DL$205^A37,IF(A37='Données projet'!$A$166,'Données projet'!$B$166,DO36+DN37-DW36)))</f>
        <v>202.79999999999995</v>
      </c>
      <c r="DP37" s="17">
        <f>DO37*VLOOKUP('Données projet'!$B$14,Paramètres!$A$1:$I$89,3,0)*VLOOKUP('Données projet'!$B$14,Paramètres!$A$1:$I$89,5,0)</f>
        <v>121.27439999999999</v>
      </c>
      <c r="DQ37" s="13">
        <f t="shared" si="43"/>
        <v>31.972049173215385</v>
      </c>
      <c r="DR37" s="20">
        <f t="shared" si="16"/>
        <v>266.90423231001677</v>
      </c>
      <c r="DS37" s="59">
        <f t="shared" si="17"/>
        <v>560.23756564335008</v>
      </c>
      <c r="DT37" s="59">
        <f ca="1">AVERAGE(OFFSET($DS$3,0,0,'Données projet'!$E$14+1,1))-AVERAGE(OFFSET($H$3,0,0,'Données projet'!$E$14+1,1))</f>
        <v>216.94426559495264</v>
      </c>
      <c r="DU37" s="59">
        <f t="shared" si="44"/>
        <v>225.33715877618704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11.500413021866981</v>
      </c>
      <c r="EC37" s="21">
        <f>EXP(-LN(2)/2)*EC36+(1-EXP(-LN(2)/2))/(LN(2)/2)*DW37*DZ37*VLOOKUP('Données projet'!$B$14,Paramètres!$A$1:$I$89,3,0)*0.475*44/12</f>
        <v>5.9323399684547429</v>
      </c>
      <c r="ED37" s="22">
        <f t="shared" si="18"/>
        <v>17.432752990321724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22.6</v>
      </c>
      <c r="EJ37" s="12">
        <f>IF('Données projet'!$A$192&gt;35,EJ36+EI37-ER36,IF(A37&lt;'Données projet'!$A$192,$EG$205^A37,IF(A37='Données projet'!$A$192,'Données projet'!$B$192,EJ36+EI37-ER36)))</f>
        <v>312.40000000000003</v>
      </c>
      <c r="EK37" s="17">
        <f>EJ37*VLOOKUP('Données projet'!$B$15,Paramètres!$A$1:$I$89,3,0)*VLOOKUP('Données projet'!$B$15,Paramètres!$A$1:$I$89,5,0)</f>
        <v>150.26440000000002</v>
      </c>
      <c r="EL37" s="13">
        <f t="shared" si="45"/>
        <v>38.63866530961765</v>
      </c>
      <c r="EM37" s="20">
        <f t="shared" si="19"/>
        <v>329.00617208091745</v>
      </c>
      <c r="EN37" s="59">
        <f t="shared" si="20"/>
        <v>622.33950541425077</v>
      </c>
      <c r="EO37" s="59">
        <f ca="1">AVERAGE(OFFSET($EN$3,0,0,'Données projet'!$E$15+1,1))-AVERAGE(OFFSET($H$3,0,0,'Données projet'!$E$15+1,1))</f>
        <v>292.1792787220852</v>
      </c>
      <c r="EP37" s="59">
        <f t="shared" si="46"/>
        <v>273.69206144662144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6.2249221284588359</v>
      </c>
      <c r="EW37" s="21">
        <f>EXP(-LN(2)/25)*EW36+(1-EXP(-LN(2)/25))/(LN(2)/25)*Calculateur!ER37*Calculateur!ET37*VLOOKUP('Données projet'!$B$15,Paramètres!$A$1:$I$89,3,0)*0.475*44/12</f>
        <v>12.014043199345391</v>
      </c>
      <c r="EX37" s="21">
        <f>EXP(-LN(2)/2)*EX36+(1-EXP(-LN(2)/2))/(LN(2)/2)*ER37*EU37*VLOOKUP('Données projet'!$B$15,Paramètres!$A$1:$I$89,3,0)*0.475*44/12</f>
        <v>5.2281958570582088</v>
      </c>
      <c r="EY37" s="22">
        <f t="shared" si="21"/>
        <v>23.467161184862434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10.000000000000004</v>
      </c>
      <c r="N38" s="13">
        <f>IF('Données projet'!$A$36&gt;35,N37+M38-V37,IF(A38&lt;'Données projet'!$A$36,$K$205^A38,IF(A38='Données projet'!$A$36,'Données projet'!$B$36,N37+M38-V37)))</f>
        <v>241.59999999999988</v>
      </c>
      <c r="O38" s="13">
        <f>N38*VLOOKUP('Données projet'!$B$9,Paramètres!$A$1:$I$89,3,0)*VLOOKUP('Données projet'!$B$9,Paramètres!$A$1:$I$89,5,0)</f>
        <v>113.06879999999995</v>
      </c>
      <c r="P38" s="13">
        <f t="shared" si="33"/>
        <v>30.052855829090237</v>
      </c>
      <c r="Q38" s="20">
        <f t="shared" si="53"/>
        <v>249.27021723566543</v>
      </c>
      <c r="R38" s="59">
        <f t="shared" si="0"/>
        <v>542.6035505689988</v>
      </c>
      <c r="S38" s="59">
        <f ca="1">AVERAGE(OFFSET($R$3,0,0,'Données projet'!$E$9+1,1))-AVERAGE(OFFSET($H$3,0,0,'Données projet'!$E$9+1,1))</f>
        <v>215.23235148064941</v>
      </c>
      <c r="T38" s="59">
        <f t="shared" si="34"/>
        <v>184.07239726900434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2.8390647343352371</v>
      </c>
      <c r="AA38" s="21">
        <f>EXP(-LN(2)/25)*AA37+(1-EXP(-LN(2)/25))/(LN(2)/25)*Calculateur!V38*Calculateur!X38*VLOOKUP('Données projet'!$B$9,Paramètres!$A$1:$I$89,3,0)*0.475*44/12</f>
        <v>6.8385789183214278</v>
      </c>
      <c r="AB38" s="21">
        <f>EXP(-LN(2)/2)*AB37+(1-EXP(-LN(2)/2))/(LN(2)/2)*V38*Y38*VLOOKUP('Données projet'!$B$9,Paramètres!$A$1:$I$89,3,0)*0.475*44/12</f>
        <v>1.738099665760044</v>
      </c>
      <c r="AC38" s="22">
        <f t="shared" si="3"/>
        <v>11.415743318416709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228</v>
      </c>
      <c r="AG38" s="12">
        <f>VLOOKUP(A38,'Données projet'!$A$61:$I$81,9,0)</f>
        <v>5.2</v>
      </c>
      <c r="AH38" s="12">
        <f t="array" ref="AH38">INDEX(AG:AG,MIN(IF(ISNUMBER(AG38:AG234),ROW(AG38:AG234),"")))</f>
        <v>5.2</v>
      </c>
      <c r="AI38" s="13">
        <f>IF('Données projet'!$A$62&gt;35,AI37+AH38-AQ37,IF(A38&lt;'Données projet'!$A$62,$AF$205^A38,IF(A38='Données projet'!$A$62,'Données projet'!$B$62,AI37+AH38-AQ37)))</f>
        <v>227.99999999999991</v>
      </c>
      <c r="AJ38" s="13">
        <f>AI38*VLOOKUP('Données projet'!$B$10,Paramètres!$A$1:$I$89,3,0)*VLOOKUP('Données projet'!$B$10,Paramètres!$A$1:$I$89,5,0)</f>
        <v>206.29439999999994</v>
      </c>
      <c r="AK38" s="13">
        <f t="shared" si="35"/>
        <v>51.124981739560724</v>
      </c>
      <c r="AL38" s="20">
        <f t="shared" si="4"/>
        <v>448.33875652973478</v>
      </c>
      <c r="AM38" s="59">
        <f t="shared" si="5"/>
        <v>741.67208986306809</v>
      </c>
      <c r="AN38" s="59">
        <f ca="1">AVERAGE(OFFSET($AM$3,0,0,'Données projet'!$E$10+1,1))-AVERAGE(OFFSET($H$3,0,0,'Données projet'!$E$10+1,1))</f>
        <v>225.28075317732998</v>
      </c>
      <c r="AO38" s="59">
        <f t="shared" si="36"/>
        <v>358.43407531256207</v>
      </c>
      <c r="AP38" s="15">
        <f>IF(ISNA(VLOOKUP(A38,'Données projet'!$A$61:$I$81,3,0)),0,VLOOKUP(A38,'Données projet'!$A$61:$I$81,3,0))</f>
        <v>7</v>
      </c>
      <c r="AQ38" s="15">
        <f>IF(ISNA(VLOOKUP(A38,'Données projet'!$A$61:$I$81,4,0)),0,VLOOKUP(A38,'Données projet'!$A$61:$I$81,4,0))</f>
        <v>228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2.0320128552492291</v>
      </c>
      <c r="AV38" s="21">
        <f>EXP(-LN(2)/25)*AV37+(1-EXP(-LN(2)/25))/(LN(2)/25)*Calculateur!AQ38*Calculateur!AS38*VLOOKUP('Données projet'!$B$10,Paramètres!$A$1:$I$89,3,0)*0.475*44/12</f>
        <v>7.2012436024447632</v>
      </c>
      <c r="AW38" s="21">
        <f>EXP(-LN(2)/2)*AW37+(1-EXP(-LN(2)/2))/(LN(2)/2)*AQ38*AT38*VLOOKUP('Données projet'!$B$10,Paramètres!$A$1:$I$89,3,0)*0.475*44/12</f>
        <v>0.78029606567388865</v>
      </c>
      <c r="AX38" s="21">
        <f t="shared" si="6"/>
        <v>10.013552523367881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22</v>
      </c>
      <c r="BD38" s="12">
        <f>IF('Données projet'!$A$88&gt;35,BD37+BC38-BL37,IF(A38&lt;'Données projet'!$A$88,$BA$205^A38,IF(A38='Données projet'!$A$88,'Données projet'!$B$88,BD37+BC38-BL37)))</f>
        <v>318.99999999999989</v>
      </c>
      <c r="BE38" s="13">
        <f>BD38*VLOOKUP('Données projet'!$B$11,Paramètres!$A$1:$I$89,3,0)*VLOOKUP('Données projet'!$B$11,Paramètres!$A$1:$I$89,5,0)</f>
        <v>178.32099999999994</v>
      </c>
      <c r="BF38" s="13">
        <f t="shared" si="37"/>
        <v>44.948436103175418</v>
      </c>
      <c r="BG38" s="20">
        <f t="shared" si="7"/>
        <v>388.86093454636375</v>
      </c>
      <c r="BH38" s="59">
        <f t="shared" si="8"/>
        <v>682.19426787969701</v>
      </c>
      <c r="BI38" s="59">
        <f ca="1">AVERAGE(OFFSET($BH$3,0,0,'Données projet'!$E$11+1,1))-AVERAGE(OFFSET($H$3,0,0,'Données projet'!$E$11+1,1))</f>
        <v>326.31232746914907</v>
      </c>
      <c r="BJ38" s="59">
        <f t="shared" si="38"/>
        <v>330.17137761430297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4.1372959817715156</v>
      </c>
      <c r="BQ38" s="21">
        <f>EXP(-LN(2)/25)*BQ37+(1-EXP(-LN(2)/25))/(LN(2)/25)*Calculateur!BL38*Calculateur!BN38*VLOOKUP('Données projet'!$B$11,Paramètres!$A$1:$I$89,3,0)*0.475*44/12</f>
        <v>26.267077111478574</v>
      </c>
      <c r="BR38" s="21">
        <f>EXP(-LN(2)/2)*BR37+(1-EXP(-LN(2)/2))/(LN(2)/2)*BL38*BO38*VLOOKUP('Données projet'!$B$11,Paramètres!$A$1:$I$89,3,0)*0.475*44/12</f>
        <v>5.7491473062707286</v>
      </c>
      <c r="BS38" s="22">
        <f t="shared" si="9"/>
        <v>36.153520399520815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13.8</v>
      </c>
      <c r="BY38" s="12">
        <f>IF('Données projet'!$A$114&gt;35,BY37+BX38-CG37,IF(A38&lt;'Données projet'!$A$114,$BV$205^A38,IF(A38='Données projet'!$A$114,'Données projet'!$B$114,BY37+BX38-CG37)))</f>
        <v>245.00000000000006</v>
      </c>
      <c r="BZ38" s="13">
        <f>BY38*VLOOKUP('Données projet'!$B$12,Paramètres!$A$1:$I$89,3,0)*VLOOKUP('Données projet'!$B$12,Paramètres!$A$1:$I$89,5,0)</f>
        <v>133.77000000000004</v>
      </c>
      <c r="CA38" s="13">
        <f t="shared" si="39"/>
        <v>34.86604096673306</v>
      </c>
      <c r="CB38" s="20">
        <f t="shared" si="10"/>
        <v>293.70777135039344</v>
      </c>
      <c r="CC38" s="59">
        <f t="shared" si="11"/>
        <v>587.04110468372676</v>
      </c>
      <c r="CD38" s="59">
        <f ca="1">AVERAGE(OFFSET($CC$3,0,0,'Données projet'!$E$12+1,1))-AVERAGE(OFFSET($H$3,0,0,'Données projet'!$E$12+1,1))</f>
        <v>210.04871822652808</v>
      </c>
      <c r="CE38" s="59">
        <f t="shared" si="40"/>
        <v>250.17540614049324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6.612676030061869</v>
      </c>
      <c r="CL38" s="21">
        <f>EXP(-LN(2)/25)*CL37+(1-EXP(-LN(2)/25))/(LN(2)/25)*Calculateur!CG38*Calculateur!CI38*VLOOKUP('Données projet'!$B$12,Paramètres!$A$1:$I$89,3,0)*0.475*44/12</f>
        <v>24.228043387621355</v>
      </c>
      <c r="CM38" s="21">
        <f>EXP(-LN(2)/2)*CM37+(1-EXP(-LN(2)/2))/(LN(2)/2)*CG38*CJ38*VLOOKUP('Données projet'!$B$12,Paramètres!$A$1:$I$89,3,0)*0.475*44/12</f>
        <v>3.8102252217804216</v>
      </c>
      <c r="CN38" s="22">
        <f t="shared" si="12"/>
        <v>34.650944639463646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10.199999999999999</v>
      </c>
      <c r="CT38" s="12">
        <f>IF('Données projet'!$A$140&gt;35,CT37+CS38-DB37,IF(A38&lt;'Données projet'!$A$140,$CQ$205^A38,IF(A38='Données projet'!$A$140,'Données projet'!$B$140,CT37+CS38-DB37)))</f>
        <v>168.99999999999991</v>
      </c>
      <c r="CU38" s="17">
        <f>CT38*VLOOKUP('Données projet'!$B$13,Paramètres!$A$1:$I$89,3,0)*VLOOKUP('Données projet'!$B$13,Paramètres!$A$1:$I$89,5,0)</f>
        <v>134.45639999999995</v>
      </c>
      <c r="CV38" s="13">
        <f t="shared" si="41"/>
        <v>35.024073835162383</v>
      </c>
      <c r="CW38" s="20">
        <f t="shared" si="13"/>
        <v>295.17849192957436</v>
      </c>
      <c r="CX38" s="59">
        <f t="shared" si="14"/>
        <v>588.51182526290768</v>
      </c>
      <c r="CY38" s="59">
        <f ca="1">AVERAGE(OFFSET($CX$3,0,0,'Données projet'!$E$13+1,1))-AVERAGE(OFFSET($H$3,0,0,'Données projet'!$E$13+1,1))</f>
        <v>199.58763537752952</v>
      </c>
      <c r="CZ38" s="59">
        <f t="shared" si="42"/>
        <v>242.62852778451929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8.9518509578072489</v>
      </c>
      <c r="DH38" s="21">
        <f>EXP(-LN(2)/2)*DH37+(1-EXP(-LN(2)/2))/(LN(2)/2)*DB38*DE38*VLOOKUP('Données projet'!$B$13,Paramètres!$A$1:$I$89,3,0)*0.475*44/12</f>
        <v>1.902392728995254</v>
      </c>
      <c r="DI38" s="22">
        <f t="shared" si="15"/>
        <v>10.854243686802503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13.7</v>
      </c>
      <c r="DO38" s="12">
        <f>IF('Données projet'!$A$166&gt;35,DO37+DN38-DW37,IF(A38&lt;'Données projet'!$A$166,$DL$205^A38,IF(A38='Données projet'!$A$166,'Données projet'!$B$166,DO37+DN38-DW37)))</f>
        <v>216.49999999999994</v>
      </c>
      <c r="DP38" s="17">
        <f>DO38*VLOOKUP('Données projet'!$B$14,Paramètres!$A$1:$I$89,3,0)*VLOOKUP('Données projet'!$B$14,Paramètres!$A$1:$I$89,5,0)</f>
        <v>129.46699999999998</v>
      </c>
      <c r="DQ38" s="13">
        <f t="shared" si="43"/>
        <v>33.873169248083329</v>
      </c>
      <c r="DR38" s="20">
        <f t="shared" si="16"/>
        <v>284.48412810707845</v>
      </c>
      <c r="DS38" s="59">
        <f t="shared" si="17"/>
        <v>577.81746144041176</v>
      </c>
      <c r="DT38" s="59">
        <f ca="1">AVERAGE(OFFSET($DS$3,0,0,'Données projet'!$E$14+1,1))-AVERAGE(OFFSET($H$3,0,0,'Données projet'!$E$14+1,1))</f>
        <v>216.94426559495264</v>
      </c>
      <c r="DU38" s="59">
        <f t="shared" si="44"/>
        <v>225.33715877618704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11.185933623003592</v>
      </c>
      <c r="EC38" s="21">
        <f>EXP(-LN(2)/2)*EC37+(1-EXP(-LN(2)/2))/(LN(2)/2)*DW38*DZ38*VLOOKUP('Données projet'!$B$14,Paramètres!$A$1:$I$89,3,0)*0.475*44/12</f>
        <v>4.194797819998338</v>
      </c>
      <c r="ED38" s="22">
        <f t="shared" si="18"/>
        <v>15.380731443001931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22.6</v>
      </c>
      <c r="EJ38" s="12">
        <f>IF('Données projet'!$A$192&gt;35,EJ37+EI38-ER37,IF(A38&lt;'Données projet'!$A$192,$EG$205^A38,IF(A38='Données projet'!$A$192,'Données projet'!$B$192,EJ37+EI38-ER37)))</f>
        <v>335.00000000000006</v>
      </c>
      <c r="EK38" s="17">
        <f>EJ38*VLOOKUP('Données projet'!$B$15,Paramètres!$A$1:$I$89,3,0)*VLOOKUP('Données projet'!$B$15,Paramètres!$A$1:$I$89,5,0)</f>
        <v>161.13500000000002</v>
      </c>
      <c r="EL38" s="13">
        <f t="shared" si="45"/>
        <v>41.098412410626828</v>
      </c>
      <c r="EM38" s="20">
        <f t="shared" si="19"/>
        <v>352.22319328184176</v>
      </c>
      <c r="EN38" s="59">
        <f t="shared" si="20"/>
        <v>645.55652661517502</v>
      </c>
      <c r="EO38" s="59">
        <f ca="1">AVERAGE(OFFSET($EN$3,0,0,'Données projet'!$E$15+1,1))-AVERAGE(OFFSET($H$3,0,0,'Données projet'!$E$15+1,1))</f>
        <v>292.1792787220852</v>
      </c>
      <c r="EP38" s="59">
        <f t="shared" si="46"/>
        <v>273.69206144662144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6.1028552023473512</v>
      </c>
      <c r="EW38" s="21">
        <f>EXP(-LN(2)/25)*EW37+(1-EXP(-LN(2)/25))/(LN(2)/25)*Calculateur!ER38*Calculateur!ET38*VLOOKUP('Données projet'!$B$15,Paramètres!$A$1:$I$89,3,0)*0.475*44/12</f>
        <v>11.685518556268217</v>
      </c>
      <c r="EX38" s="21">
        <f>EXP(-LN(2)/2)*EX37+(1-EXP(-LN(2)/2))/(LN(2)/2)*ER38*EU38*VLOOKUP('Données projet'!$B$15,Paramètres!$A$1:$I$89,3,0)*0.475*44/12</f>
        <v>3.6968927438972732</v>
      </c>
      <c r="EY38" s="22">
        <f t="shared" si="21"/>
        <v>21.485266502512843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10.000000000000004</v>
      </c>
      <c r="N39" s="13">
        <f>IF('Données projet'!$A$36&gt;35,N38+M39-V38,IF(A39&lt;'Données projet'!$A$36,$K$205^A39,IF(A39='Données projet'!$A$36,'Données projet'!$B$36,N38+M39-V38)))</f>
        <v>251.59999999999988</v>
      </c>
      <c r="O39" s="13">
        <f>N39*VLOOKUP('Données projet'!$B$9,Paramètres!$A$1:$I$89,3,0)*VLOOKUP('Données projet'!$B$9,Paramètres!$A$1:$I$89,5,0)</f>
        <v>117.74879999999995</v>
      </c>
      <c r="P39" s="13">
        <f t="shared" si="33"/>
        <v>31.149366548366</v>
      </c>
      <c r="Q39" s="20">
        <f t="shared" si="53"/>
        <v>259.33097340507067</v>
      </c>
      <c r="R39" s="59">
        <f t="shared" si="0"/>
        <v>552.66430673840398</v>
      </c>
      <c r="S39" s="59">
        <f ca="1">AVERAGE(OFFSET($R$3,0,0,'Données projet'!$E$9+1,1))-AVERAGE(OFFSET($H$3,0,0,'Données projet'!$E$9+1,1))</f>
        <v>215.23235148064941</v>
      </c>
      <c r="T39" s="59">
        <f t="shared" si="34"/>
        <v>184.07239726900434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2.7833924065534239</v>
      </c>
      <c r="AA39" s="21">
        <f>EXP(-LN(2)/25)*AA38+(1-EXP(-LN(2)/25))/(LN(2)/25)*Calculateur!V39*Calculateur!X39*VLOOKUP('Données projet'!$B$9,Paramètres!$A$1:$I$89,3,0)*0.475*44/12</f>
        <v>6.6515776181746933</v>
      </c>
      <c r="AB39" s="21">
        <f>EXP(-LN(2)/2)*AB38+(1-EXP(-LN(2)/2))/(LN(2)/2)*V39*Y39*VLOOKUP('Données projet'!$B$9,Paramètres!$A$1:$I$89,3,0)*0.475*44/12</f>
        <v>1.229022060036999</v>
      </c>
      <c r="AC39" s="22">
        <f t="shared" si="3"/>
        <v>10.663992084765116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-8.5265128291212022E-14</v>
      </c>
      <c r="AJ39" s="13">
        <f>AI39*VLOOKUP('Données projet'!$B$10,Paramètres!$A$1:$I$89,3,0)*VLOOKUP('Données projet'!$B$10,Paramètres!$A$1:$I$89,5,0)</f>
        <v>-7.7147888077888636E-14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225.28075317732998</v>
      </c>
      <c r="AO39" s="59">
        <f t="shared" si="36"/>
        <v>358.43407531256207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1.9921663225632524</v>
      </c>
      <c r="AV39" s="21">
        <f>EXP(-LN(2)/25)*AV38+(1-EXP(-LN(2)/25))/(LN(2)/25)*Calculateur!AQ39*Calculateur!AS39*VLOOKUP('Données projet'!$B$10,Paramètres!$A$1:$I$89,3,0)*0.475*44/12</f>
        <v>7.0043252174389687</v>
      </c>
      <c r="AW39" s="21">
        <f>EXP(-LN(2)/2)*AW38+(1-EXP(-LN(2)/2))/(LN(2)/2)*AQ39*AT39*VLOOKUP('Données projet'!$B$10,Paramètres!$A$1:$I$89,3,0)*0.475*44/12</f>
        <v>0.55175263937119035</v>
      </c>
      <c r="AX39" s="21">
        <f t="shared" si="6"/>
        <v>9.5482441793734125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22</v>
      </c>
      <c r="BD39" s="12">
        <f>IF('Données projet'!$A$88&gt;35,BD38+BC39-BL38,IF(A39&lt;'Données projet'!$A$88,$BA$205^A39,IF(A39='Données projet'!$A$88,'Données projet'!$B$88,BD38+BC39-BL38)))</f>
        <v>340.99999999999989</v>
      </c>
      <c r="BE39" s="13">
        <f>BD39*VLOOKUP('Données projet'!$B$11,Paramètres!$A$1:$I$89,3,0)*VLOOKUP('Données projet'!$B$11,Paramètres!$A$1:$I$89,5,0)</f>
        <v>190.61899999999991</v>
      </c>
      <c r="BF39" s="13">
        <f t="shared" si="37"/>
        <v>47.676779045481801</v>
      </c>
      <c r="BG39" s="20">
        <f t="shared" si="7"/>
        <v>415.03181517088063</v>
      </c>
      <c r="BH39" s="59">
        <f t="shared" si="8"/>
        <v>708.36514850421395</v>
      </c>
      <c r="BI39" s="59">
        <f ca="1">AVERAGE(OFFSET($BH$3,0,0,'Données projet'!$E$11+1,1))-AVERAGE(OFFSET($H$3,0,0,'Données projet'!$E$11+1,1))</f>
        <v>326.31232746914907</v>
      </c>
      <c r="BJ39" s="59">
        <f t="shared" si="38"/>
        <v>330.17137761430297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4.0561661310703503</v>
      </c>
      <c r="BQ39" s="21">
        <f>EXP(-LN(2)/25)*BQ38+(1-EXP(-LN(2)/25))/(LN(2)/25)*Calculateur!BL39*Calculateur!BN39*VLOOKUP('Données projet'!$B$11,Paramètres!$A$1:$I$89,3,0)*0.475*44/12</f>
        <v>25.548802506539641</v>
      </c>
      <c r="BR39" s="21">
        <f>EXP(-LN(2)/2)*BR38+(1-EXP(-LN(2)/2))/(LN(2)/2)*BL39*BO39*VLOOKUP('Données projet'!$B$11,Paramètres!$A$1:$I$89,3,0)*0.475*44/12</f>
        <v>4.0652610463044052</v>
      </c>
      <c r="BS39" s="22">
        <f t="shared" si="9"/>
        <v>33.6702296839144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13.8</v>
      </c>
      <c r="BY39" s="12">
        <f>IF('Données projet'!$A$114&gt;35,BY38+BX39-CG38,IF(A39&lt;'Données projet'!$A$114,$BV$205^A39,IF(A39='Données projet'!$A$114,'Données projet'!$B$114,BY38+BX39-CG38)))</f>
        <v>258.80000000000007</v>
      </c>
      <c r="BZ39" s="13">
        <f>BY39*VLOOKUP('Données projet'!$B$12,Paramètres!$A$1:$I$89,3,0)*VLOOKUP('Données projet'!$B$12,Paramètres!$A$1:$I$89,5,0)</f>
        <v>141.30480000000003</v>
      </c>
      <c r="CA39" s="13">
        <f t="shared" si="39"/>
        <v>36.595755275288994</v>
      </c>
      <c r="CB39" s="20">
        <f t="shared" si="10"/>
        <v>309.84346710446169</v>
      </c>
      <c r="CC39" s="59">
        <f t="shared" si="11"/>
        <v>603.17680043779501</v>
      </c>
      <c r="CD39" s="59">
        <f ca="1">AVERAGE(OFFSET($CC$3,0,0,'Données projet'!$E$12+1,1))-AVERAGE(OFFSET($H$3,0,0,'Données projet'!$E$12+1,1))</f>
        <v>210.04871822652808</v>
      </c>
      <c r="CE39" s="59">
        <f t="shared" si="40"/>
        <v>250.17540614049324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6.4830054864464755</v>
      </c>
      <c r="CL39" s="21">
        <f>EXP(-LN(2)/25)*CL38+(1-EXP(-LN(2)/25))/(LN(2)/25)*Calculateur!CG39*Calculateur!CI39*VLOOKUP('Données projet'!$B$12,Paramètres!$A$1:$I$89,3,0)*0.475*44/12</f>
        <v>23.565526267089421</v>
      </c>
      <c r="CM39" s="21">
        <f>EXP(-LN(2)/2)*CM38+(1-EXP(-LN(2)/2))/(LN(2)/2)*CG39*CJ39*VLOOKUP('Données projet'!$B$12,Paramètres!$A$1:$I$89,3,0)*0.475*44/12</f>
        <v>2.6942360921689534</v>
      </c>
      <c r="CN39" s="22">
        <f t="shared" si="12"/>
        <v>32.742767845704847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10.199999999999999</v>
      </c>
      <c r="CT39" s="12">
        <f>IF('Données projet'!$A$140&gt;35,CT38+CS39-DB38,IF(A39&lt;'Données projet'!$A$140,$CQ$205^A39,IF(A39='Données projet'!$A$140,'Données projet'!$B$140,CT38+CS39-DB38)))</f>
        <v>179.1999999999999</v>
      </c>
      <c r="CU39" s="17">
        <f>CT39*VLOOKUP('Données projet'!$B$13,Paramètres!$A$1:$I$89,3,0)*VLOOKUP('Données projet'!$B$13,Paramètres!$A$1:$I$89,5,0)</f>
        <v>142.57151999999994</v>
      </c>
      <c r="CV39" s="13">
        <f t="shared" si="41"/>
        <v>36.88547912245555</v>
      </c>
      <c r="CW39" s="20">
        <f t="shared" si="13"/>
        <v>312.55427347160997</v>
      </c>
      <c r="CX39" s="59">
        <f t="shared" si="14"/>
        <v>605.88760680494329</v>
      </c>
      <c r="CY39" s="59">
        <f ca="1">AVERAGE(OFFSET($CX$3,0,0,'Données projet'!$E$13+1,1))-AVERAGE(OFFSET($H$3,0,0,'Données projet'!$E$13+1,1))</f>
        <v>199.58763537752952</v>
      </c>
      <c r="CZ39" s="59">
        <f t="shared" si="42"/>
        <v>242.62852778451929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8.7070621226086278</v>
      </c>
      <c r="DH39" s="21">
        <f>EXP(-LN(2)/2)*DH38+(1-EXP(-LN(2)/2))/(LN(2)/2)*DB39*DE39*VLOOKUP('Données projet'!$B$13,Paramètres!$A$1:$I$89,3,0)*0.475*44/12</f>
        <v>1.3451947991525262</v>
      </c>
      <c r="DI39" s="22">
        <f t="shared" si="15"/>
        <v>10.052256921761154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13.7</v>
      </c>
      <c r="DO39" s="12">
        <f>IF('Données projet'!$A$166&gt;35,DO38+DN39-DW38,IF(A39&lt;'Données projet'!$A$166,$DL$205^A39,IF(A39='Données projet'!$A$166,'Données projet'!$B$166,DO38+DN39-DW38)))</f>
        <v>230.19999999999993</v>
      </c>
      <c r="DP39" s="17">
        <f>DO39*VLOOKUP('Données projet'!$B$14,Paramètres!$A$1:$I$89,3,0)*VLOOKUP('Données projet'!$B$14,Paramètres!$A$1:$I$89,5,0)</f>
        <v>137.65959999999995</v>
      </c>
      <c r="DQ39" s="13">
        <f t="shared" si="43"/>
        <v>35.760327802577585</v>
      </c>
      <c r="DR39" s="20">
        <f t="shared" si="16"/>
        <v>302.03970758948918</v>
      </c>
      <c r="DS39" s="59">
        <f t="shared" si="17"/>
        <v>595.3730409228225</v>
      </c>
      <c r="DT39" s="59">
        <f ca="1">AVERAGE(OFFSET($DS$3,0,0,'Données projet'!$E$14+1,1))-AVERAGE(OFFSET($H$3,0,0,'Données projet'!$E$14+1,1))</f>
        <v>216.94426559495264</v>
      </c>
      <c r="DU39" s="59">
        <f t="shared" si="44"/>
        <v>225.33715877618704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10.880053679839875</v>
      </c>
      <c r="EC39" s="21">
        <f>EXP(-LN(2)/2)*EC38+(1-EXP(-LN(2)/2))/(LN(2)/2)*DW39*DZ39*VLOOKUP('Données projet'!$B$14,Paramètres!$A$1:$I$89,3,0)*0.475*44/12</f>
        <v>2.9661699842273714</v>
      </c>
      <c r="ED39" s="22">
        <f t="shared" si="18"/>
        <v>13.846223664067246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22.6</v>
      </c>
      <c r="EJ39" s="12">
        <f>IF('Données projet'!$A$192&gt;35,EJ38+EI39-ER38,IF(A39&lt;'Données projet'!$A$192,$EG$205^A39,IF(A39='Données projet'!$A$192,'Données projet'!$B$192,EJ38+EI39-ER38)))</f>
        <v>357.60000000000008</v>
      </c>
      <c r="EK39" s="17">
        <f>EJ39*VLOOKUP('Données projet'!$B$15,Paramètres!$A$1:$I$89,3,0)*VLOOKUP('Données projet'!$B$15,Paramètres!$A$1:$I$89,5,0)</f>
        <v>172.00560000000007</v>
      </c>
      <c r="EL39" s="13">
        <f t="shared" si="45"/>
        <v>43.538904190786205</v>
      </c>
      <c r="EM39" s="20">
        <f t="shared" si="19"/>
        <v>375.40667813228606</v>
      </c>
      <c r="EN39" s="59">
        <f t="shared" si="20"/>
        <v>668.74001146561932</v>
      </c>
      <c r="EO39" s="59">
        <f ca="1">AVERAGE(OFFSET($EN$3,0,0,'Données projet'!$E$15+1,1))-AVERAGE(OFFSET($H$3,0,0,'Données projet'!$E$15+1,1))</f>
        <v>292.1792787220852</v>
      </c>
      <c r="EP39" s="59">
        <f t="shared" si="46"/>
        <v>273.69206144662144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5.9831819342034391</v>
      </c>
      <c r="EW39" s="21">
        <f>EXP(-LN(2)/25)*EW38+(1-EXP(-LN(2)/25))/(LN(2)/25)*Calculateur!ER39*Calculateur!ET39*VLOOKUP('Données projet'!$B$15,Paramètres!$A$1:$I$89,3,0)*0.475*44/12</f>
        <v>11.365977436832349</v>
      </c>
      <c r="EX39" s="21">
        <f>EXP(-LN(2)/2)*EX38+(1-EXP(-LN(2)/2))/(LN(2)/2)*ER39*EU39*VLOOKUP('Données projet'!$B$15,Paramètres!$A$1:$I$89,3,0)*0.475*44/12</f>
        <v>2.6140979285291044</v>
      </c>
      <c r="EY39" s="22">
        <f t="shared" si="21"/>
        <v>19.963257299564894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10.000000000000004</v>
      </c>
      <c r="N40" s="13">
        <f>IF('Données projet'!$A$36&gt;35,N39+M40-V39,IF(A40&lt;'Données projet'!$A$36,$K$205^A40,IF(A40='Données projet'!$A$36,'Données projet'!$B$36,N39+M40-V39)))</f>
        <v>261.59999999999991</v>
      </c>
      <c r="O40" s="13">
        <f>N40*VLOOKUP('Données projet'!$B$9,Paramètres!$A$1:$I$89,3,0)*VLOOKUP('Données projet'!$B$9,Paramètres!$A$1:$I$89,5,0)</f>
        <v>122.42879999999995</v>
      </c>
      <c r="P40" s="13">
        <f t="shared" si="33"/>
        <v>32.240814688958388</v>
      </c>
      <c r="Q40" s="20">
        <f t="shared" si="53"/>
        <v>269.38291224993577</v>
      </c>
      <c r="R40" s="59">
        <f t="shared" si="0"/>
        <v>562.71624558326903</v>
      </c>
      <c r="S40" s="59">
        <f ca="1">AVERAGE(OFFSET($R$3,0,0,'Données projet'!$E$9+1,1))-AVERAGE(OFFSET($H$3,0,0,'Données projet'!$E$9+1,1))</f>
        <v>215.23235148064941</v>
      </c>
      <c r="T40" s="59">
        <f t="shared" si="34"/>
        <v>184.07239726900434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2.7288117791626449</v>
      </c>
      <c r="AA40" s="21">
        <f>EXP(-LN(2)/25)*AA39+(1-EXP(-LN(2)/25))/(LN(2)/25)*Calculateur!V40*Calculateur!X40*VLOOKUP('Données projet'!$B$9,Paramètres!$A$1:$I$89,3,0)*0.475*44/12</f>
        <v>6.4696898784144414</v>
      </c>
      <c r="AB40" s="21">
        <f>EXP(-LN(2)/2)*AB39+(1-EXP(-LN(2)/2))/(LN(2)/2)*V40*Y40*VLOOKUP('Données projet'!$B$9,Paramètres!$A$1:$I$89,3,0)*0.475*44/12</f>
        <v>0.86904983288002213</v>
      </c>
      <c r="AC40" s="22">
        <f t="shared" si="3"/>
        <v>10.067551490457108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-8.5265128291212022E-14</v>
      </c>
      <c r="AJ40" s="13">
        <f>AI40*VLOOKUP('Données projet'!$B$10,Paramètres!$A$1:$I$89,3,0)*VLOOKUP('Données projet'!$B$10,Paramètres!$A$1:$I$89,5,0)</f>
        <v>-7.7147888077888636E-14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225.28075317732998</v>
      </c>
      <c r="AO40" s="59">
        <f t="shared" si="36"/>
        <v>358.43407531256207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1.9531011560792626</v>
      </c>
      <c r="AV40" s="21">
        <f>EXP(-LN(2)/25)*AV39+(1-EXP(-LN(2)/25))/(LN(2)/25)*Calculateur!AQ40*Calculateur!AS40*VLOOKUP('Données projet'!$B$10,Paramètres!$A$1:$I$89,3,0)*0.475*44/12</f>
        <v>6.8127915760266458</v>
      </c>
      <c r="AW40" s="21">
        <f>EXP(-LN(2)/2)*AW39+(1-EXP(-LN(2)/2))/(LN(2)/2)*AQ40*AT40*VLOOKUP('Données projet'!$B$10,Paramètres!$A$1:$I$89,3,0)*0.475*44/12</f>
        <v>0.39014803283694438</v>
      </c>
      <c r="AX40" s="21">
        <f t="shared" si="6"/>
        <v>9.1560407649428512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22</v>
      </c>
      <c r="BD40" s="12">
        <f>IF('Données projet'!$A$88&gt;35,BD39+BC40-BL39,IF(A40&lt;'Données projet'!$A$88,$BA$205^A40,IF(A40='Données projet'!$A$88,'Données projet'!$B$88,BD39+BC40-BL39)))</f>
        <v>362.99999999999989</v>
      </c>
      <c r="BE40" s="13">
        <f>BD40*VLOOKUP('Données projet'!$B$11,Paramètres!$A$1:$I$89,3,0)*VLOOKUP('Données projet'!$B$11,Paramètres!$A$1:$I$89,5,0)</f>
        <v>202.91699999999994</v>
      </c>
      <c r="BF40" s="13">
        <f t="shared" si="37"/>
        <v>50.384694798587844</v>
      </c>
      <c r="BG40" s="20">
        <f t="shared" si="7"/>
        <v>441.16711844087371</v>
      </c>
      <c r="BH40" s="59">
        <f t="shared" si="8"/>
        <v>734.50045177420702</v>
      </c>
      <c r="BI40" s="59">
        <f ca="1">AVERAGE(OFFSET($BH$3,0,0,'Données projet'!$E$11+1,1))-AVERAGE(OFFSET($H$3,0,0,'Données projet'!$E$11+1,1))</f>
        <v>326.31232746914907</v>
      </c>
      <c r="BJ40" s="59">
        <f t="shared" si="38"/>
        <v>330.17137761430297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3.9766271872571117</v>
      </c>
      <c r="BQ40" s="21">
        <f>EXP(-LN(2)/25)*BQ39+(1-EXP(-LN(2)/25))/(LN(2)/25)*Calculateur!BL40*Calculateur!BN40*VLOOKUP('Données projet'!$B$11,Paramètres!$A$1:$I$89,3,0)*0.475*44/12</f>
        <v>24.850169158445183</v>
      </c>
      <c r="BR40" s="21">
        <f>EXP(-LN(2)/2)*BR39+(1-EXP(-LN(2)/2))/(LN(2)/2)*BL40*BO40*VLOOKUP('Données projet'!$B$11,Paramètres!$A$1:$I$89,3,0)*0.475*44/12</f>
        <v>2.8745736531353643</v>
      </c>
      <c r="BS40" s="22">
        <f t="shared" si="9"/>
        <v>31.701369998837659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13.8</v>
      </c>
      <c r="BY40" s="12">
        <f>IF('Données projet'!$A$114&gt;35,BY39+BX40-CG39,IF(A40&lt;'Données projet'!$A$114,$BV$205^A40,IF(A40='Données projet'!$A$114,'Données projet'!$B$114,BY39+BX40-CG39)))</f>
        <v>272.60000000000008</v>
      </c>
      <c r="BZ40" s="13">
        <f>BY40*VLOOKUP('Données projet'!$B$12,Paramètres!$A$1:$I$89,3,0)*VLOOKUP('Données projet'!$B$12,Paramètres!$A$1:$I$89,5,0)</f>
        <v>148.83960000000005</v>
      </c>
      <c r="CA40" s="13">
        <f t="shared" si="39"/>
        <v>38.314761484407519</v>
      </c>
      <c r="CB40" s="20">
        <f t="shared" si="10"/>
        <v>325.9605129186765</v>
      </c>
      <c r="CC40" s="59">
        <f t="shared" si="11"/>
        <v>619.29384625200987</v>
      </c>
      <c r="CD40" s="59">
        <f ca="1">AVERAGE(OFFSET($CC$3,0,0,'Données projet'!$E$12+1,1))-AVERAGE(OFFSET($H$3,0,0,'Données projet'!$E$12+1,1))</f>
        <v>210.04871822652808</v>
      </c>
      <c r="CE40" s="59">
        <f t="shared" si="40"/>
        <v>250.17540614049324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6.3558777031001581</v>
      </c>
      <c r="CL40" s="21">
        <f>EXP(-LN(2)/25)*CL39+(1-EXP(-LN(2)/25))/(LN(2)/25)*Calculateur!CG40*Calculateur!CI40*VLOOKUP('Données projet'!$B$12,Paramètres!$A$1:$I$89,3,0)*0.475*44/12</f>
        <v>22.921125712058693</v>
      </c>
      <c r="CM40" s="21">
        <f>EXP(-LN(2)/2)*CM39+(1-EXP(-LN(2)/2))/(LN(2)/2)*CG40*CJ40*VLOOKUP('Données projet'!$B$12,Paramètres!$A$1:$I$89,3,0)*0.475*44/12</f>
        <v>1.9051126108902112</v>
      </c>
      <c r="CN40" s="22">
        <f t="shared" si="12"/>
        <v>31.182116026049062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10.199999999999999</v>
      </c>
      <c r="CT40" s="12">
        <f>IF('Données projet'!$A$140&gt;35,CT39+CS40-DB39,IF(A40&lt;'Données projet'!$A$140,$CQ$205^A40,IF(A40='Données projet'!$A$140,'Données projet'!$B$140,CT39+CS40-DB39)))</f>
        <v>189.39999999999989</v>
      </c>
      <c r="CU40" s="17">
        <f>CT40*VLOOKUP('Données projet'!$B$13,Paramètres!$A$1:$I$89,3,0)*VLOOKUP('Données projet'!$B$13,Paramètres!$A$1:$I$89,5,0)</f>
        <v>150.68663999999993</v>
      </c>
      <c r="CV40" s="13">
        <f t="shared" si="41"/>
        <v>38.734585523437175</v>
      </c>
      <c r="CW40" s="20">
        <f t="shared" si="13"/>
        <v>329.90863445331962</v>
      </c>
      <c r="CX40" s="59">
        <f t="shared" si="14"/>
        <v>623.24196778665294</v>
      </c>
      <c r="CY40" s="59">
        <f ca="1">AVERAGE(OFFSET($CX$3,0,0,'Données projet'!$E$13+1,1))-AVERAGE(OFFSET($H$3,0,0,'Données projet'!$E$13+1,1))</f>
        <v>199.58763537752952</v>
      </c>
      <c r="CZ40" s="59">
        <f t="shared" si="42"/>
        <v>242.62852778451929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8.4689670509813979</v>
      </c>
      <c r="DH40" s="21">
        <f>EXP(-LN(2)/2)*DH39+(1-EXP(-LN(2)/2))/(LN(2)/2)*DB40*DE40*VLOOKUP('Données projet'!$B$13,Paramètres!$A$1:$I$89,3,0)*0.475*44/12</f>
        <v>0.95119636449762712</v>
      </c>
      <c r="DI40" s="22">
        <f t="shared" si="15"/>
        <v>9.4201634154790241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13.7</v>
      </c>
      <c r="DO40" s="12">
        <f>IF('Données projet'!$A$166&gt;35,DO39+DN40-DW39,IF(A40&lt;'Données projet'!$A$166,$DL$205^A40,IF(A40='Données projet'!$A$166,'Données projet'!$B$166,DO39+DN40-DW39)))</f>
        <v>243.89999999999992</v>
      </c>
      <c r="DP40" s="17">
        <f>DO40*VLOOKUP('Données projet'!$B$14,Paramètres!$A$1:$I$89,3,0)*VLOOKUP('Données projet'!$B$14,Paramètres!$A$1:$I$89,5,0)</f>
        <v>145.85219999999998</v>
      </c>
      <c r="DQ40" s="13">
        <f t="shared" si="43"/>
        <v>37.634450370795903</v>
      </c>
      <c r="DR40" s="20">
        <f t="shared" si="16"/>
        <v>319.57258272913612</v>
      </c>
      <c r="DS40" s="59">
        <f t="shared" si="17"/>
        <v>612.90591606246949</v>
      </c>
      <c r="DT40" s="59">
        <f ca="1">AVERAGE(OFFSET($DS$3,0,0,'Données projet'!$E$14+1,1))-AVERAGE(OFFSET($H$3,0,0,'Données projet'!$E$14+1,1))</f>
        <v>216.94426559495264</v>
      </c>
      <c r="DU40" s="59">
        <f t="shared" si="44"/>
        <v>225.33715877618704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10.582538039807497</v>
      </c>
      <c r="EC40" s="21">
        <f>EXP(-LN(2)/2)*EC39+(1-EXP(-LN(2)/2))/(LN(2)/2)*DW40*DZ40*VLOOKUP('Données projet'!$B$14,Paramètres!$A$1:$I$89,3,0)*0.475*44/12</f>
        <v>2.097398909999169</v>
      </c>
      <c r="ED40" s="22">
        <f t="shared" si="18"/>
        <v>12.679936949806667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22.6</v>
      </c>
      <c r="EJ40" s="12">
        <f>IF('Données projet'!$A$192&gt;35,EJ39+EI40-ER39,IF(A40&lt;'Données projet'!$A$192,$EG$205^A40,IF(A40='Données projet'!$A$192,'Données projet'!$B$192,EJ39+EI40-ER39)))</f>
        <v>380.2000000000001</v>
      </c>
      <c r="EK40" s="17">
        <f>EJ40*VLOOKUP('Données projet'!$B$15,Paramètres!$A$1:$I$89,3,0)*VLOOKUP('Données projet'!$B$15,Paramètres!$A$1:$I$89,5,0)</f>
        <v>182.87620000000004</v>
      </c>
      <c r="EL40" s="13">
        <f t="shared" si="45"/>
        <v>45.96149609461218</v>
      </c>
      <c r="EM40" s="20">
        <f t="shared" si="19"/>
        <v>398.55898736478298</v>
      </c>
      <c r="EN40" s="59">
        <f t="shared" si="20"/>
        <v>691.89232069811624</v>
      </c>
      <c r="EO40" s="59">
        <f ca="1">AVERAGE(OFFSET($EN$3,0,0,'Données projet'!$E$15+1,1))-AVERAGE(OFFSET($H$3,0,0,'Données projet'!$E$15+1,1))</f>
        <v>292.1792787220852</v>
      </c>
      <c r="EP40" s="59">
        <f t="shared" si="46"/>
        <v>273.69206144662144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5.865855385854343</v>
      </c>
      <c r="EW40" s="21">
        <f>EXP(-LN(2)/25)*EW39+(1-EXP(-LN(2)/25))/(LN(2)/25)*Calculateur!ER40*Calculateur!ET40*VLOOKUP('Données projet'!$B$15,Paramètres!$A$1:$I$89,3,0)*0.475*44/12</f>
        <v>11.055174186111392</v>
      </c>
      <c r="EX40" s="21">
        <f>EXP(-LN(2)/2)*EX39+(1-EXP(-LN(2)/2))/(LN(2)/2)*ER40*EU40*VLOOKUP('Données projet'!$B$15,Paramètres!$A$1:$I$89,3,0)*0.475*44/12</f>
        <v>1.8484463719486366</v>
      </c>
      <c r="EY40" s="22">
        <f t="shared" si="21"/>
        <v>18.769475943914372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10.000000000000004</v>
      </c>
      <c r="N41" s="13">
        <f>IF('Données projet'!$A$36&gt;35,N40+M41-V40,IF(A41&lt;'Données projet'!$A$36,$K$205^A41,IF(A41='Données projet'!$A$36,'Données projet'!$B$36,N40+M41-V40)))</f>
        <v>271.59999999999991</v>
      </c>
      <c r="O41" s="13">
        <f>N41*VLOOKUP('Données projet'!$B$9,Paramètres!$A$1:$I$89,3,0)*VLOOKUP('Données projet'!$B$9,Paramètres!$A$1:$I$89,5,0)</f>
        <v>127.10879999999996</v>
      </c>
      <c r="P41" s="13">
        <f t="shared" si="33"/>
        <v>33.32741592766736</v>
      </c>
      <c r="Q41" s="20">
        <f t="shared" si="53"/>
        <v>279.4264094073539</v>
      </c>
      <c r="R41" s="59">
        <f t="shared" si="0"/>
        <v>572.75974274068722</v>
      </c>
      <c r="S41" s="59">
        <f ca="1">AVERAGE(OFFSET($R$3,0,0,'Données projet'!$E$9+1,1))-AVERAGE(OFFSET($H$3,0,0,'Données projet'!$E$9+1,1))</f>
        <v>215.23235148064941</v>
      </c>
      <c r="T41" s="59">
        <f t="shared" si="34"/>
        <v>184.07239726900434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2.6753014445841039</v>
      </c>
      <c r="AA41" s="21">
        <f>EXP(-LN(2)/25)*AA40+(1-EXP(-LN(2)/25))/(LN(2)/25)*Calculateur!V41*Calculateur!X41*VLOOKUP('Données projet'!$B$9,Paramètres!$A$1:$I$89,3,0)*0.475*44/12</f>
        <v>6.2927758684629946</v>
      </c>
      <c r="AB41" s="21">
        <f>EXP(-LN(2)/2)*AB40+(1-EXP(-LN(2)/2))/(LN(2)/2)*V41*Y41*VLOOKUP('Données projet'!$B$9,Paramètres!$A$1:$I$89,3,0)*0.475*44/12</f>
        <v>0.61451103001849949</v>
      </c>
      <c r="AC41" s="22">
        <f t="shared" si="3"/>
        <v>9.5825883430655985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-8.5265128291212022E-14</v>
      </c>
      <c r="AJ41" s="13">
        <f>AI41*VLOOKUP('Données projet'!$B$10,Paramètres!$A$1:$I$89,3,0)*VLOOKUP('Données projet'!$B$10,Paramètres!$A$1:$I$89,5,0)</f>
        <v>-7.7147888077888636E-14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225.28075317732998</v>
      </c>
      <c r="AO41" s="59">
        <f t="shared" si="36"/>
        <v>358.43407531256207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1.914802033682625</v>
      </c>
      <c r="AV41" s="21">
        <f>EXP(-LN(2)/25)*AV40+(1-EXP(-LN(2)/25))/(LN(2)/25)*Calculateur!AQ41*Calculateur!AS41*VLOOKUP('Données projet'!$B$10,Paramètres!$A$1:$I$89,3,0)*0.475*44/12</f>
        <v>6.6264954321110592</v>
      </c>
      <c r="AW41" s="21">
        <f>EXP(-LN(2)/2)*AW40+(1-EXP(-LN(2)/2))/(LN(2)/2)*AQ41*AT41*VLOOKUP('Données projet'!$B$10,Paramètres!$A$1:$I$89,3,0)*0.475*44/12</f>
        <v>0.27587631968559523</v>
      </c>
      <c r="AX41" s="21">
        <f t="shared" si="6"/>
        <v>8.8171737854792802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22</v>
      </c>
      <c r="BD41" s="12">
        <f>IF('Données projet'!$A$88&gt;35,BD40+BC41-BL40,IF(A41&lt;'Données projet'!$A$88,$BA$205^A41,IF(A41='Données projet'!$A$88,'Données projet'!$B$88,BD40+BC41-BL40)))</f>
        <v>384.99999999999989</v>
      </c>
      <c r="BE41" s="13">
        <f>BD41*VLOOKUP('Données projet'!$B$11,Paramètres!$A$1:$I$89,3,0)*VLOOKUP('Données projet'!$B$11,Paramètres!$A$1:$I$89,5,0)</f>
        <v>215.21499999999995</v>
      </c>
      <c r="BF41" s="13">
        <f t="shared" si="37"/>
        <v>53.073562353518611</v>
      </c>
      <c r="BG41" s="20">
        <f t="shared" si="7"/>
        <v>467.26924609904478</v>
      </c>
      <c r="BH41" s="59">
        <f t="shared" si="8"/>
        <v>760.60257943237809</v>
      </c>
      <c r="BI41" s="59">
        <f ca="1">AVERAGE(OFFSET($BH$3,0,0,'Données projet'!$E$11+1,1))-AVERAGE(OFFSET($H$3,0,0,'Données projet'!$E$11+1,1))</f>
        <v>326.31232746914907</v>
      </c>
      <c r="BJ41" s="59">
        <f t="shared" si="38"/>
        <v>330.17137761430297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3.8986479536180854</v>
      </c>
      <c r="BQ41" s="21">
        <f>EXP(-LN(2)/25)*BQ40+(1-EXP(-LN(2)/25))/(LN(2)/25)*Calculateur!BL41*Calculateur!BN41*VLOOKUP('Données projet'!$B$11,Paramètres!$A$1:$I$89,3,0)*0.475*44/12</f>
        <v>24.1706399759939</v>
      </c>
      <c r="BR41" s="21">
        <f>EXP(-LN(2)/2)*BR40+(1-EXP(-LN(2)/2))/(LN(2)/2)*BL41*BO41*VLOOKUP('Données projet'!$B$11,Paramètres!$A$1:$I$89,3,0)*0.475*44/12</f>
        <v>2.0326305231522026</v>
      </c>
      <c r="BS41" s="22">
        <f t="shared" si="9"/>
        <v>30.101918452764188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13.8</v>
      </c>
      <c r="BY41" s="12">
        <f>IF('Données projet'!$A$114&gt;35,BY40+BX41-CG40,IF(A41&lt;'Données projet'!$A$114,$BV$205^A41,IF(A41='Données projet'!$A$114,'Données projet'!$B$114,BY40+BX41-CG40)))</f>
        <v>286.40000000000009</v>
      </c>
      <c r="BZ41" s="13">
        <f>BY41*VLOOKUP('Données projet'!$B$12,Paramètres!$A$1:$I$89,3,0)*VLOOKUP('Données projet'!$B$12,Paramètres!$A$1:$I$89,5,0)</f>
        <v>156.37440000000007</v>
      </c>
      <c r="CA41" s="13">
        <f t="shared" si="39"/>
        <v>40.023663524293205</v>
      </c>
      <c r="CB41" s="20">
        <f t="shared" si="10"/>
        <v>342.0599606381441</v>
      </c>
      <c r="CC41" s="59">
        <f t="shared" si="11"/>
        <v>635.39329397147742</v>
      </c>
      <c r="CD41" s="59">
        <f ca="1">AVERAGE(OFFSET($CC$3,0,0,'Données projet'!$E$12+1,1))-AVERAGE(OFFSET($H$3,0,0,'Données projet'!$E$12+1,1))</f>
        <v>210.04871822652808</v>
      </c>
      <c r="CE41" s="59">
        <f t="shared" si="40"/>
        <v>250.17540614049324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6.2312428180449704</v>
      </c>
      <c r="CL41" s="21">
        <f>EXP(-LN(2)/25)*CL40+(1-EXP(-LN(2)/25))/(LN(2)/25)*Calculateur!CG41*Calculateur!CI41*VLOOKUP('Données projet'!$B$12,Paramètres!$A$1:$I$89,3,0)*0.475*44/12</f>
        <v>22.294346324092835</v>
      </c>
      <c r="CM41" s="21">
        <f>EXP(-LN(2)/2)*CM40+(1-EXP(-LN(2)/2))/(LN(2)/2)*CG41*CJ41*VLOOKUP('Données projet'!$B$12,Paramètres!$A$1:$I$89,3,0)*0.475*44/12</f>
        <v>1.3471180460844769</v>
      </c>
      <c r="CN41" s="22">
        <f t="shared" si="12"/>
        <v>29.872707188222282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10.199999999999999</v>
      </c>
      <c r="CT41" s="12">
        <f>IF('Données projet'!$A$140&gt;35,CT40+CS41-DB40,IF(A41&lt;'Données projet'!$A$140,$CQ$205^A41,IF(A41='Données projet'!$A$140,'Données projet'!$B$140,CT40+CS41-DB40)))</f>
        <v>199.59999999999988</v>
      </c>
      <c r="CU41" s="17">
        <f>CT41*VLOOKUP('Données projet'!$B$13,Paramètres!$A$1:$I$89,3,0)*VLOOKUP('Données projet'!$B$13,Paramètres!$A$1:$I$89,5,0)</f>
        <v>158.80175999999992</v>
      </c>
      <c r="CV41" s="13">
        <f t="shared" si="41"/>
        <v>40.572130902159856</v>
      </c>
      <c r="CW41" s="20">
        <f t="shared" si="13"/>
        <v>347.24285998792817</v>
      </c>
      <c r="CX41" s="59">
        <f t="shared" si="14"/>
        <v>640.57619332126148</v>
      </c>
      <c r="CY41" s="59">
        <f ca="1">AVERAGE(OFFSET($CX$3,0,0,'Données projet'!$E$13+1,1))-AVERAGE(OFFSET($H$3,0,0,'Données projet'!$E$13+1,1))</f>
        <v>199.58763537752952</v>
      </c>
      <c r="CZ41" s="59">
        <f t="shared" si="42"/>
        <v>242.62852778451929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8.2373827016086896</v>
      </c>
      <c r="DH41" s="21">
        <f>EXP(-LN(2)/2)*DH40+(1-EXP(-LN(2)/2))/(LN(2)/2)*DB41*DE41*VLOOKUP('Données projet'!$B$13,Paramètres!$A$1:$I$89,3,0)*0.475*44/12</f>
        <v>0.67259739957626319</v>
      </c>
      <c r="DI41" s="22">
        <f t="shared" si="15"/>
        <v>8.9099801011849529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13.7</v>
      </c>
      <c r="DO41" s="12">
        <f>IF('Données projet'!$A$166&gt;35,DO40+DN41-DW40,IF(A41&lt;'Données projet'!$A$166,$DL$205^A41,IF(A41='Données projet'!$A$166,'Données projet'!$B$166,DO40+DN41-DW40)))</f>
        <v>257.59999999999991</v>
      </c>
      <c r="DP41" s="17">
        <f>DO41*VLOOKUP('Données projet'!$B$14,Paramètres!$A$1:$I$89,3,0)*VLOOKUP('Données projet'!$B$14,Paramètres!$A$1:$I$89,5,0)</f>
        <v>154.04479999999995</v>
      </c>
      <c r="DQ41" s="13">
        <f t="shared" si="43"/>
        <v>39.496352638742984</v>
      </c>
      <c r="DR41" s="20">
        <f t="shared" si="16"/>
        <v>337.08417417914399</v>
      </c>
      <c r="DS41" s="59">
        <f t="shared" si="17"/>
        <v>630.4175075124773</v>
      </c>
      <c r="DT41" s="59">
        <f ca="1">AVERAGE(OFFSET($DS$3,0,0,'Données projet'!$E$14+1,1))-AVERAGE(OFFSET($H$3,0,0,'Données projet'!$E$14+1,1))</f>
        <v>216.94426559495264</v>
      </c>
      <c r="DU41" s="59">
        <f t="shared" si="44"/>
        <v>225.33715877618704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10.293157980597472</v>
      </c>
      <c r="EC41" s="21">
        <f>EXP(-LN(2)/2)*EC40+(1-EXP(-LN(2)/2))/(LN(2)/2)*DW41*DZ41*VLOOKUP('Données projet'!$B$14,Paramètres!$A$1:$I$89,3,0)*0.475*44/12</f>
        <v>1.4830849921136857</v>
      </c>
      <c r="ED41" s="22">
        <f t="shared" si="18"/>
        <v>11.776242972711158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22.6</v>
      </c>
      <c r="EJ41" s="12">
        <f>IF('Données projet'!$A$192&gt;35,EJ40+EI41-ER40,IF(A41&lt;'Données projet'!$A$192,$EG$205^A41,IF(A41='Données projet'!$A$192,'Données projet'!$B$192,EJ40+EI41-ER40)))</f>
        <v>402.80000000000013</v>
      </c>
      <c r="EK41" s="17">
        <f>EJ41*VLOOKUP('Données projet'!$B$15,Paramètres!$A$1:$I$89,3,0)*VLOOKUP('Données projet'!$B$15,Paramètres!$A$1:$I$89,5,0)</f>
        <v>193.74680000000009</v>
      </c>
      <c r="EL41" s="13">
        <f t="shared" si="45"/>
        <v>48.367373321255229</v>
      </c>
      <c r="EM41" s="20">
        <f t="shared" si="19"/>
        <v>421.68218520118631</v>
      </c>
      <c r="EN41" s="59">
        <f t="shared" si="20"/>
        <v>715.01551853451963</v>
      </c>
      <c r="EO41" s="59">
        <f ca="1">AVERAGE(OFFSET($EN$3,0,0,'Données projet'!$E$15+1,1))-AVERAGE(OFFSET($H$3,0,0,'Données projet'!$E$15+1,1))</f>
        <v>292.1792787220852</v>
      </c>
      <c r="EP41" s="59">
        <f t="shared" si="46"/>
        <v>273.69206144662144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5.7508295395562445</v>
      </c>
      <c r="EW41" s="21">
        <f>EXP(-LN(2)/25)*EW40+(1-EXP(-LN(2)/25))/(LN(2)/25)*Calculateur!ER41*Calculateur!ET41*VLOOKUP('Données projet'!$B$15,Paramètres!$A$1:$I$89,3,0)*0.475*44/12</f>
        <v>10.752869866625833</v>
      </c>
      <c r="EX41" s="21">
        <f>EXP(-LN(2)/2)*EX40+(1-EXP(-LN(2)/2))/(LN(2)/2)*ER41*EU41*VLOOKUP('Données projet'!$B$15,Paramètres!$A$1:$I$89,3,0)*0.475*44/12</f>
        <v>1.3070489642645522</v>
      </c>
      <c r="EY41" s="22">
        <f t="shared" si="21"/>
        <v>17.810748370446632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10.000000000000004</v>
      </c>
      <c r="N42" s="13">
        <f>IF('Données projet'!$A$36&gt;35,N41+M42-V41,IF(A42&lt;'Données projet'!$A$36,$K$205^A42,IF(A42='Données projet'!$A$36,'Données projet'!$B$36,N41+M42-V41)))</f>
        <v>281.59999999999991</v>
      </c>
      <c r="O42" s="13">
        <f>N42*VLOOKUP('Données projet'!$B$9,Paramètres!$A$1:$I$89,3,0)*VLOOKUP('Données projet'!$B$9,Paramètres!$A$1:$I$89,5,0)</f>
        <v>131.78879999999995</v>
      </c>
      <c r="P42" s="13">
        <f t="shared" si="33"/>
        <v>34.409369159409614</v>
      </c>
      <c r="Q42" s="20">
        <f t="shared" si="53"/>
        <v>289.46181128597163</v>
      </c>
      <c r="R42" s="59">
        <f t="shared" si="0"/>
        <v>582.79514461930489</v>
      </c>
      <c r="S42" s="59">
        <f ca="1">AVERAGE(OFFSET($R$3,0,0,'Données projet'!$E$9+1,1))-AVERAGE(OFFSET($H$3,0,0,'Données projet'!$E$9+1,1))</f>
        <v>215.23235148064941</v>
      </c>
      <c r="T42" s="59">
        <f t="shared" si="34"/>
        <v>184.07239726900434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2.6228404150285667</v>
      </c>
      <c r="AA42" s="21">
        <f>EXP(-LN(2)/25)*AA41+(1-EXP(-LN(2)/25))/(LN(2)/25)*Calculateur!V42*Calculateur!X42*VLOOKUP('Données projet'!$B$9,Paramètres!$A$1:$I$89,3,0)*0.475*44/12</f>
        <v>6.1206995814171732</v>
      </c>
      <c r="AB42" s="21">
        <f>EXP(-LN(2)/2)*AB41+(1-EXP(-LN(2)/2))/(LN(2)/2)*V42*Y42*VLOOKUP('Données projet'!$B$9,Paramètres!$A$1:$I$89,3,0)*0.475*44/12</f>
        <v>0.43452491644001107</v>
      </c>
      <c r="AC42" s="22">
        <f t="shared" si="3"/>
        <v>9.1780649128857519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-8.5265128291212022E-14</v>
      </c>
      <c r="AJ42" s="13">
        <f>AI42*VLOOKUP('Données projet'!$B$10,Paramètres!$A$1:$I$89,3,0)*VLOOKUP('Données projet'!$B$10,Paramètres!$A$1:$I$89,5,0)</f>
        <v>-7.7147888077888636E-14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225.28075317732998</v>
      </c>
      <c r="AO42" s="59">
        <f t="shared" si="36"/>
        <v>358.43407531256207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1.8772539337160274</v>
      </c>
      <c r="AV42" s="21">
        <f>EXP(-LN(2)/25)*AV41+(1-EXP(-LN(2)/25))/(LN(2)/25)*Calculateur!AQ42*Calculateur!AS42*VLOOKUP('Données projet'!$B$10,Paramètres!$A$1:$I$89,3,0)*0.475*44/12</f>
        <v>6.4452935660477326</v>
      </c>
      <c r="AW42" s="21">
        <f>EXP(-LN(2)/2)*AW41+(1-EXP(-LN(2)/2))/(LN(2)/2)*AQ42*AT42*VLOOKUP('Données projet'!$B$10,Paramètres!$A$1:$I$89,3,0)*0.475*44/12</f>
        <v>0.19507401641847222</v>
      </c>
      <c r="AX42" s="21">
        <f t="shared" si="6"/>
        <v>8.5176215161822313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22</v>
      </c>
      <c r="BD42" s="12">
        <f>IF('Données projet'!$A$88&gt;35,BD41+BC42-BL41,IF(A42&lt;'Données projet'!$A$88,$BA$205^A42,IF(A42='Données projet'!$A$88,'Données projet'!$B$88,BD41+BC42-BL41)))</f>
        <v>406.99999999999989</v>
      </c>
      <c r="BE42" s="13">
        <f>BD42*VLOOKUP('Données projet'!$B$11,Paramètres!$A$1:$I$89,3,0)*VLOOKUP('Données projet'!$B$11,Paramètres!$A$1:$I$89,5,0)</f>
        <v>227.51299999999995</v>
      </c>
      <c r="BF42" s="13">
        <f t="shared" si="37"/>
        <v>55.744594200664011</v>
      </c>
      <c r="BG42" s="20">
        <f t="shared" si="7"/>
        <v>493.34030989948968</v>
      </c>
      <c r="BH42" s="59">
        <f t="shared" si="8"/>
        <v>786.673643232823</v>
      </c>
      <c r="BI42" s="59">
        <f ca="1">AVERAGE(OFFSET($BH$3,0,0,'Données projet'!$E$11+1,1))-AVERAGE(OFFSET($H$3,0,0,'Données projet'!$E$11+1,1))</f>
        <v>326.31232746914907</v>
      </c>
      <c r="BJ42" s="59">
        <f t="shared" si="38"/>
        <v>330.17137761430297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3.8221978451880845</v>
      </c>
      <c r="BQ42" s="21">
        <f>EXP(-LN(2)/25)*BQ41+(1-EXP(-LN(2)/25))/(LN(2)/25)*Calculateur!BL42*Calculateur!BN42*VLOOKUP('Données projet'!$B$11,Paramètres!$A$1:$I$89,3,0)*0.475*44/12</f>
        <v>23.509692554771632</v>
      </c>
      <c r="BR42" s="21">
        <f>EXP(-LN(2)/2)*BR41+(1-EXP(-LN(2)/2))/(LN(2)/2)*BL42*BO42*VLOOKUP('Données projet'!$B$11,Paramètres!$A$1:$I$89,3,0)*0.475*44/12</f>
        <v>1.4372868265676821</v>
      </c>
      <c r="BS42" s="22">
        <f t="shared" si="9"/>
        <v>28.7691772265274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13.8</v>
      </c>
      <c r="BY42" s="12">
        <f>IF('Données projet'!$A$114&gt;35,BY41+BX42-CG41,IF(A42&lt;'Données projet'!$A$114,$BV$205^A42,IF(A42='Données projet'!$A$114,'Données projet'!$B$114,BY41+BX42-CG41)))</f>
        <v>300.2000000000001</v>
      </c>
      <c r="BZ42" s="13">
        <f>BY42*VLOOKUP('Données projet'!$B$12,Paramètres!$A$1:$I$89,3,0)*VLOOKUP('Données projet'!$B$12,Paramètres!$A$1:$I$89,5,0)</f>
        <v>163.90920000000006</v>
      </c>
      <c r="CA42" s="13">
        <f t="shared" si="39"/>
        <v>41.723003836805745</v>
      </c>
      <c r="CB42" s="20">
        <f t="shared" si="10"/>
        <v>358.14275501577009</v>
      </c>
      <c r="CC42" s="59">
        <f t="shared" si="11"/>
        <v>651.47608834910341</v>
      </c>
      <c r="CD42" s="59">
        <f ca="1">AVERAGE(OFFSET($CC$3,0,0,'Données projet'!$E$12+1,1))-AVERAGE(OFFSET($H$3,0,0,'Données projet'!$E$12+1,1))</f>
        <v>210.04871822652808</v>
      </c>
      <c r="CE42" s="59">
        <f t="shared" si="40"/>
        <v>250.17540614049324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6.1090519470659412</v>
      </c>
      <c r="CL42" s="21">
        <f>EXP(-LN(2)/25)*CL41+(1-EXP(-LN(2)/25))/(LN(2)/25)*Calculateur!CG42*Calculateur!CI42*VLOOKUP('Données projet'!$B$12,Paramètres!$A$1:$I$89,3,0)*0.475*44/12</f>
        <v>21.684706251451797</v>
      </c>
      <c r="CM42" s="21">
        <f>EXP(-LN(2)/2)*CM41+(1-EXP(-LN(2)/2))/(LN(2)/2)*CG42*CJ42*VLOOKUP('Données projet'!$B$12,Paramètres!$A$1:$I$89,3,0)*0.475*44/12</f>
        <v>0.95255630544510572</v>
      </c>
      <c r="CN42" s="22">
        <f t="shared" si="12"/>
        <v>28.746314503962843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10.199999999999999</v>
      </c>
      <c r="CT42" s="12">
        <f>IF('Données projet'!$A$140&gt;35,CT41+CS42-DB41,IF(A42&lt;'Données projet'!$A$140,$CQ$205^A42,IF(A42='Données projet'!$A$140,'Données projet'!$B$140,CT41+CS42-DB41)))</f>
        <v>209.79999999999987</v>
      </c>
      <c r="CU42" s="17">
        <f>CT42*VLOOKUP('Données projet'!$B$13,Paramètres!$A$1:$I$89,3,0)*VLOOKUP('Données projet'!$B$13,Paramètres!$A$1:$I$89,5,0)</f>
        <v>166.91687999999991</v>
      </c>
      <c r="CV42" s="13">
        <f t="shared" si="41"/>
        <v>42.398773450063487</v>
      </c>
      <c r="CW42" s="20">
        <f t="shared" si="13"/>
        <v>364.55809642552708</v>
      </c>
      <c r="CX42" s="59">
        <f t="shared" si="14"/>
        <v>657.89142975886034</v>
      </c>
      <c r="CY42" s="59">
        <f ca="1">AVERAGE(OFFSET($CX$3,0,0,'Données projet'!$E$13+1,1))-AVERAGE(OFFSET($H$3,0,0,'Données projet'!$E$13+1,1))</f>
        <v>199.58763537752952</v>
      </c>
      <c r="CZ42" s="59">
        <f t="shared" si="42"/>
        <v>242.62852778451929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8.0121310384480697</v>
      </c>
      <c r="DH42" s="21">
        <f>EXP(-LN(2)/2)*DH41+(1-EXP(-LN(2)/2))/(LN(2)/2)*DB42*DE42*VLOOKUP('Données projet'!$B$13,Paramètres!$A$1:$I$89,3,0)*0.475*44/12</f>
        <v>0.47559818224881362</v>
      </c>
      <c r="DI42" s="22">
        <f t="shared" si="15"/>
        <v>8.4877292206968828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13.7</v>
      </c>
      <c r="DO42" s="12">
        <f>IF('Données projet'!$A$166&gt;35,DO41+DN42-DW41,IF(A42&lt;'Données projet'!$A$166,$DL$205^A42,IF(A42='Données projet'!$A$166,'Données projet'!$B$166,DO41+DN42-DW41)))</f>
        <v>271.2999999999999</v>
      </c>
      <c r="DP42" s="17">
        <f>DO42*VLOOKUP('Données projet'!$B$14,Paramètres!$A$1:$I$89,3,0)*VLOOKUP('Données projet'!$B$14,Paramètres!$A$1:$I$89,5,0)</f>
        <v>162.23739999999995</v>
      </c>
      <c r="DQ42" s="13">
        <f t="shared" si="43"/>
        <v>41.346758630600348</v>
      </c>
      <c r="DR42" s="20">
        <f t="shared" si="16"/>
        <v>354.57574294829556</v>
      </c>
      <c r="DS42" s="59">
        <f t="shared" si="17"/>
        <v>647.90907628162881</v>
      </c>
      <c r="DT42" s="59">
        <f ca="1">AVERAGE(OFFSET($DS$3,0,0,'Données projet'!$E$14+1,1))-AVERAGE(OFFSET($H$3,0,0,'Données projet'!$E$14+1,1))</f>
        <v>216.94426559495264</v>
      </c>
      <c r="DU42" s="59">
        <f t="shared" si="44"/>
        <v>225.33715877618704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10.011691034324382</v>
      </c>
      <c r="EC42" s="21">
        <f>EXP(-LN(2)/2)*EC41+(1-EXP(-LN(2)/2))/(LN(2)/2)*DW42*DZ42*VLOOKUP('Données projet'!$B$14,Paramètres!$A$1:$I$89,3,0)*0.475*44/12</f>
        <v>1.0486994549995845</v>
      </c>
      <c r="ED42" s="22">
        <f t="shared" si="18"/>
        <v>11.060390489323966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22.6</v>
      </c>
      <c r="EJ42" s="12">
        <f>IF('Données projet'!$A$192&gt;35,EJ41+EI42-ER41,IF(A42&lt;'Données projet'!$A$192,$EG$205^A42,IF(A42='Données projet'!$A$192,'Données projet'!$B$192,EJ41+EI42-ER41)))</f>
        <v>425.40000000000015</v>
      </c>
      <c r="EK42" s="17">
        <f>EJ42*VLOOKUP('Données projet'!$B$15,Paramètres!$A$1:$I$89,3,0)*VLOOKUP('Données projet'!$B$15,Paramètres!$A$1:$I$89,5,0)</f>
        <v>204.61740000000009</v>
      </c>
      <c r="EL42" s="13">
        <f t="shared" si="45"/>
        <v>50.757580561694567</v>
      </c>
      <c r="EM42" s="20">
        <f t="shared" si="19"/>
        <v>444.77809114495147</v>
      </c>
      <c r="EN42" s="59">
        <f t="shared" si="20"/>
        <v>738.11142447828479</v>
      </c>
      <c r="EO42" s="59">
        <f ca="1">AVERAGE(OFFSET($EN$3,0,0,'Données projet'!$E$15+1,1))-AVERAGE(OFFSET($H$3,0,0,'Données projet'!$E$15+1,1))</f>
        <v>292.1792787220852</v>
      </c>
      <c r="EP42" s="59">
        <f t="shared" si="46"/>
        <v>273.69206144662144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5.6380592799452129</v>
      </c>
      <c r="EW42" s="21">
        <f>EXP(-LN(2)/25)*EW41+(1-EXP(-LN(2)/25))/(LN(2)/25)*Calculateur!ER42*Calculateur!ET42*VLOOKUP('Données projet'!$B$15,Paramètres!$A$1:$I$89,3,0)*0.475*44/12</f>
        <v>10.458832074654099</v>
      </c>
      <c r="EX42" s="21">
        <f>EXP(-LN(2)/2)*EX41+(1-EXP(-LN(2)/2))/(LN(2)/2)*ER42*EU42*VLOOKUP('Données projet'!$B$15,Paramètres!$A$1:$I$89,3,0)*0.475*44/12</f>
        <v>0.9242231859743183</v>
      </c>
      <c r="EY42" s="22">
        <f t="shared" si="21"/>
        <v>17.021114540573631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291.60000000000002</v>
      </c>
      <c r="L43" s="12">
        <f>VLOOKUP(A43,'Données projet'!$A$35:$I$55,9,0)</f>
        <v>10.000000000000004</v>
      </c>
      <c r="M43" s="12">
        <f t="array" ref="M43">INDEX(L:L,MIN(IF(ISNUMBER(L43:L239),ROW(L43:L239),"")))</f>
        <v>10.000000000000004</v>
      </c>
      <c r="N43" s="13">
        <f>IF('Données projet'!$A$36&gt;35,N42+M43-V42,IF(A43&lt;'Données projet'!$A$36,$K$205^A43,IF(A43='Données projet'!$A$36,'Données projet'!$B$36,N42+M43-V42)))</f>
        <v>291.59999999999991</v>
      </c>
      <c r="O43" s="13">
        <f>N43*VLOOKUP('Données projet'!$B$9,Paramètres!$A$1:$I$89,3,0)*VLOOKUP('Données projet'!$B$9,Paramètres!$A$1:$I$89,5,0)</f>
        <v>136.46879999999996</v>
      </c>
      <c r="P43" s="13">
        <f t="shared" si="33"/>
        <v>35.486858352195874</v>
      </c>
      <c r="Q43" s="20">
        <f t="shared" si="53"/>
        <v>299.48943829674107</v>
      </c>
      <c r="R43" s="59">
        <f t="shared" si="0"/>
        <v>592.82277163007439</v>
      </c>
      <c r="S43" s="59">
        <f ca="1">AVERAGE(OFFSET($R$3,0,0,'Données projet'!$E$9+1,1))-AVERAGE(OFFSET($H$3,0,0,'Données projet'!$E$9+1,1))</f>
        <v>215.23235148064941</v>
      </c>
      <c r="T43" s="59">
        <f t="shared" si="34"/>
        <v>184.07239726900434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83.4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2.5714081142645449</v>
      </c>
      <c r="AA43" s="21">
        <f>EXP(-LN(2)/25)*AA42+(1-EXP(-LN(2)/25))/(LN(2)/25)*Calculateur!V43*Calculateur!X43*VLOOKUP('Données projet'!$B$9,Paramètres!$A$1:$I$89,3,0)*0.475*44/12</f>
        <v>5.9533287294897184</v>
      </c>
      <c r="AB43" s="21">
        <f>EXP(-LN(2)/2)*AB42+(1-EXP(-LN(2)/2))/(LN(2)/2)*V43*Y43*VLOOKUP('Données projet'!$B$9,Paramètres!$A$1:$I$89,3,0)*0.475*44/12</f>
        <v>0.30725551500924975</v>
      </c>
      <c r="AC43" s="22">
        <f t="shared" si="3"/>
        <v>8.8319923587635127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-8.5265128291212022E-14</v>
      </c>
      <c r="AJ43" s="13">
        <f>AI43*VLOOKUP('Données projet'!$B$10,Paramètres!$A$1:$I$89,3,0)*VLOOKUP('Données projet'!$B$10,Paramètres!$A$1:$I$89,5,0)</f>
        <v>-7.7147888077888636E-14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225.28075317732998</v>
      </c>
      <c r="AO43" s="59">
        <f t="shared" si="36"/>
        <v>358.43407531256207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1.8404421290876951</v>
      </c>
      <c r="AV43" s="21">
        <f>EXP(-LN(2)/25)*AV42+(1-EXP(-LN(2)/25))/(LN(2)/25)*Calculateur!AQ43*Calculateur!AS43*VLOOKUP('Données projet'!$B$10,Paramètres!$A$1:$I$89,3,0)*0.475*44/12</f>
        <v>6.2690466745408999</v>
      </c>
      <c r="AW43" s="21">
        <f>EXP(-LN(2)/2)*AW42+(1-EXP(-LN(2)/2))/(LN(2)/2)*AQ43*AT43*VLOOKUP('Données projet'!$B$10,Paramètres!$A$1:$I$89,3,0)*0.475*44/12</f>
        <v>0.13793815984279761</v>
      </c>
      <c r="AX43" s="21">
        <f t="shared" si="6"/>
        <v>8.2474269634713924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429</v>
      </c>
      <c r="BB43" s="12">
        <f>VLOOKUP(A43,'Données projet'!$A$87:$I$107,9,0)</f>
        <v>22</v>
      </c>
      <c r="BC43" s="12">
        <f t="array" ref="BC43">INDEX(BB:BB,MIN(IF(ISNUMBER(BB43:BB239),ROW(BB43:BB239),"")))</f>
        <v>22</v>
      </c>
      <c r="BD43" s="12">
        <f>IF('Données projet'!$A$88&gt;35,BD42+BC43-BL42,IF(A43&lt;'Données projet'!$A$88,$BA$205^A43,IF(A43='Données projet'!$A$88,'Données projet'!$B$88,BD42+BC43-BL42)))</f>
        <v>428.99999999999989</v>
      </c>
      <c r="BE43" s="13">
        <f>BD43*VLOOKUP('Données projet'!$B$11,Paramètres!$A$1:$I$89,3,0)*VLOOKUP('Données projet'!$B$11,Paramètres!$A$1:$I$89,5,0)</f>
        <v>239.81099999999992</v>
      </c>
      <c r="BF43" s="13">
        <f t="shared" si="37"/>
        <v>58.398864347229804</v>
      </c>
      <c r="BG43" s="20">
        <f t="shared" si="7"/>
        <v>519.3821804047584</v>
      </c>
      <c r="BH43" s="59">
        <f t="shared" si="8"/>
        <v>812.71551373809166</v>
      </c>
      <c r="BI43" s="59">
        <f ca="1">AVERAGE(OFFSET($BH$3,0,0,'Données projet'!$E$11+1,1))-AVERAGE(OFFSET($H$3,0,0,'Données projet'!$E$11+1,1))</f>
        <v>326.31232746914907</v>
      </c>
      <c r="BJ43" s="59">
        <f t="shared" si="38"/>
        <v>330.17137761430297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112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3.747246876754434</v>
      </c>
      <c r="BQ43" s="21">
        <f>EXP(-LN(2)/25)*BQ42+(1-EXP(-LN(2)/25))/(LN(2)/25)*Calculateur!BL43*Calculateur!BN43*VLOOKUP('Données projet'!$B$11,Paramètres!$A$1:$I$89,3,0)*0.475*44/12</f>
        <v>22.866818775540402</v>
      </c>
      <c r="BR43" s="21">
        <f>EXP(-LN(2)/2)*BR42+(1-EXP(-LN(2)/2))/(LN(2)/2)*BL43*BO43*VLOOKUP('Données projet'!$B$11,Paramètres!$A$1:$I$89,3,0)*0.475*44/12</f>
        <v>1.0163152615761013</v>
      </c>
      <c r="BS43" s="22">
        <f t="shared" si="9"/>
        <v>27.630380913870937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314</v>
      </c>
      <c r="BW43" s="12">
        <f>VLOOKUP(A43,'Données projet'!$A$113:$I$133,9,0)</f>
        <v>13.8</v>
      </c>
      <c r="BX43" s="12">
        <f t="array" ref="BX43">INDEX(BW:BW,MIN(IF(ISNUMBER(BW43:BW239),ROW(BW43:BW239),"")))</f>
        <v>13.8</v>
      </c>
      <c r="BY43" s="12">
        <f>IF('Données projet'!$A$114&gt;35,BY42+BX43-CG42,IF(A43&lt;'Données projet'!$A$114,$BV$205^A43,IF(A43='Données projet'!$A$114,'Données projet'!$B$114,BY42+BX43-CG42)))</f>
        <v>314.00000000000011</v>
      </c>
      <c r="BZ43" s="13">
        <f>BY43*VLOOKUP('Données projet'!$B$12,Paramètres!$A$1:$I$89,3,0)*VLOOKUP('Données projet'!$B$12,Paramètres!$A$1:$I$89,5,0)</f>
        <v>171.44400000000007</v>
      </c>
      <c r="CA43" s="13">
        <f t="shared" si="39"/>
        <v>43.413272173627242</v>
      </c>
      <c r="CB43" s="20">
        <f t="shared" si="10"/>
        <v>374.20974903573421</v>
      </c>
      <c r="CC43" s="59">
        <f t="shared" si="11"/>
        <v>667.54308236906752</v>
      </c>
      <c r="CD43" s="59">
        <f ca="1">AVERAGE(OFFSET($CC$3,0,0,'Données projet'!$E$12+1,1))-AVERAGE(OFFSET($H$3,0,0,'Données projet'!$E$12+1,1))</f>
        <v>210.04871822652808</v>
      </c>
      <c r="CE43" s="59">
        <f t="shared" si="40"/>
        <v>250.17540614049324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5.9892571645377384</v>
      </c>
      <c r="CL43" s="21">
        <f>EXP(-LN(2)/25)*CL42+(1-EXP(-LN(2)/25))/(LN(2)/25)*Calculateur!CG43*Calculateur!CI43*VLOOKUP('Données projet'!$B$12,Paramètres!$A$1:$I$89,3,0)*0.475*44/12</f>
        <v>21.091736818656706</v>
      </c>
      <c r="CM43" s="21">
        <f>EXP(-LN(2)/2)*CM42+(1-EXP(-LN(2)/2))/(LN(2)/2)*CG43*CJ43*VLOOKUP('Données projet'!$B$12,Paramètres!$A$1:$I$89,3,0)*0.475*44/12</f>
        <v>0.67355902304223858</v>
      </c>
      <c r="CN43" s="22">
        <f t="shared" si="12"/>
        <v>27.754553006236684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220</v>
      </c>
      <c r="CR43" s="12">
        <f>VLOOKUP(A43,'Données projet'!$A$139:$I$159,9,0)</f>
        <v>10.199999999999999</v>
      </c>
      <c r="CS43" s="12">
        <f t="array" ref="CS43">INDEX(CR:CR,MIN(IF(ISNUMBER(CR43:CR239),ROW(CR43:CR239),"")))</f>
        <v>10.199999999999999</v>
      </c>
      <c r="CT43" s="12">
        <f>IF('Données projet'!$A$140&gt;35,CT42+CS43-DB42,IF(A43&lt;'Données projet'!$A$140,$CQ$205^A43,IF(A43='Données projet'!$A$140,'Données projet'!$B$140,CT42+CS43-DB42)))</f>
        <v>219.99999999999986</v>
      </c>
      <c r="CU43" s="17">
        <f>CT43*VLOOKUP('Données projet'!$B$13,Paramètres!$A$1:$I$89,3,0)*VLOOKUP('Données projet'!$B$13,Paramètres!$A$1:$I$89,5,0)</f>
        <v>175.0319999999999</v>
      </c>
      <c r="CV43" s="13">
        <f t="shared" si="41"/>
        <v>44.215103743190973</v>
      </c>
      <c r="CW43" s="20">
        <f t="shared" si="13"/>
        <v>381.85537235272409</v>
      </c>
      <c r="CX43" s="59">
        <f t="shared" si="14"/>
        <v>675.18870568605735</v>
      </c>
      <c r="CY43" s="59">
        <f ca="1">AVERAGE(OFFSET($CX$3,0,0,'Données projet'!$E$13+1,1))-AVERAGE(OFFSET($H$3,0,0,'Données projet'!$E$13+1,1))</f>
        <v>199.58763537752952</v>
      </c>
      <c r="CZ43" s="59">
        <f t="shared" si="42"/>
        <v>242.62852778451929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7.7930388938620476</v>
      </c>
      <c r="DH43" s="21">
        <f>EXP(-LN(2)/2)*DH42+(1-EXP(-LN(2)/2))/(LN(2)/2)*DB43*DE43*VLOOKUP('Données projet'!$B$13,Paramètres!$A$1:$I$89,3,0)*0.475*44/12</f>
        <v>0.33629869978813165</v>
      </c>
      <c r="DI43" s="22">
        <f t="shared" si="15"/>
        <v>8.1293375936501793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285</v>
      </c>
      <c r="DM43" s="12">
        <f>VLOOKUP(A43,'Données projet'!$A$165:$I$185,9,0)</f>
        <v>13.7</v>
      </c>
      <c r="DN43" s="12">
        <f t="array" ref="DN43">INDEX(DM:DM,MIN(IF(ISNUMBER(DM43:DM239),ROW(DM43:DM239),"")))</f>
        <v>13.7</v>
      </c>
      <c r="DO43" s="12">
        <f>IF('Données projet'!$A$166&gt;35,DO42+DN43-DW42,IF(A43&lt;'Données projet'!$A$166,$DL$205^A43,IF(A43='Données projet'!$A$166,'Données projet'!$B$166,DO42+DN43-DW42)))</f>
        <v>284.99999999999989</v>
      </c>
      <c r="DP43" s="17">
        <f>DO43*VLOOKUP('Données projet'!$B$14,Paramètres!$A$1:$I$89,3,0)*VLOOKUP('Données projet'!$B$14,Paramètres!$A$1:$I$89,5,0)</f>
        <v>170.42999999999995</v>
      </c>
      <c r="DQ43" s="13">
        <f t="shared" si="43"/>
        <v>43.186315117079396</v>
      </c>
      <c r="DR43" s="20">
        <f t="shared" si="16"/>
        <v>372.04841549557983</v>
      </c>
      <c r="DS43" s="59">
        <f t="shared" si="17"/>
        <v>665.38174882891315</v>
      </c>
      <c r="DT43" s="59">
        <f ca="1">AVERAGE(OFFSET($DS$3,0,0,'Données projet'!$E$14+1,1))-AVERAGE(OFFSET($H$3,0,0,'Données projet'!$E$14+1,1))</f>
        <v>216.94426559495264</v>
      </c>
      <c r="DU43" s="59">
        <f t="shared" si="44"/>
        <v>225.33715877618704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9.737920816498832</v>
      </c>
      <c r="EC43" s="21">
        <f>EXP(-LN(2)/2)*EC42+(1-EXP(-LN(2)/2))/(LN(2)/2)*DW43*DZ43*VLOOKUP('Données projet'!$B$14,Paramètres!$A$1:$I$89,3,0)*0.475*44/12</f>
        <v>0.74154249605684286</v>
      </c>
      <c r="ED43" s="22">
        <f t="shared" si="18"/>
        <v>10.479463312555675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448</v>
      </c>
      <c r="EH43" s="12">
        <f>VLOOKUP(A43,'Données projet'!$A$191:$I$211,9,0)</f>
        <v>22.6</v>
      </c>
      <c r="EI43" s="12">
        <f t="array" ref="EI43">INDEX(EH:EH,MIN(IF(ISNUMBER(EH43:EH239),ROW(EH43:EH239),"")))</f>
        <v>22.6</v>
      </c>
      <c r="EJ43" s="12">
        <f>IF('Données projet'!$A$192&gt;35,EJ42+EI43-ER42,IF(A43&lt;'Données projet'!$A$192,$EG$205^A43,IF(A43='Données projet'!$A$192,'Données projet'!$B$192,EJ42+EI43-ER42)))</f>
        <v>448.00000000000017</v>
      </c>
      <c r="EK43" s="17">
        <f>EJ43*VLOOKUP('Données projet'!$B$15,Paramètres!$A$1:$I$89,3,0)*VLOOKUP('Données projet'!$B$15,Paramètres!$A$1:$I$89,5,0)</f>
        <v>215.48800000000006</v>
      </c>
      <c r="EL43" s="13">
        <f t="shared" si="45"/>
        <v>53.133045236186121</v>
      </c>
      <c r="EM43" s="20">
        <f t="shared" si="19"/>
        <v>467.84832045302431</v>
      </c>
      <c r="EN43" s="59">
        <f t="shared" si="20"/>
        <v>761.18165378635763</v>
      </c>
      <c r="EO43" s="59">
        <f ca="1">AVERAGE(OFFSET($EN$3,0,0,'Données projet'!$E$15+1,1))-AVERAGE(OFFSET($H$3,0,0,'Données projet'!$E$15+1,1))</f>
        <v>292.1792787220852</v>
      </c>
      <c r="EP43" s="59">
        <f t="shared" si="46"/>
        <v>273.69206144662144</v>
      </c>
      <c r="EQ43" s="15">
        <f>IF(ISNA(VLOOKUP(A43,'Données projet'!$A$191:$I$211,3,0)),0,VLOOKUP(A43,'Données projet'!$A$191:$I$211,3,0))</f>
        <v>2</v>
      </c>
      <c r="ER43" s="15">
        <f>IF(ISNA(VLOOKUP(A43,'Données projet'!$A$191:$I$211,4,0)),0,VLOOKUP(A43,'Données projet'!$A$191:$I$211,4,0))</f>
        <v>132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5.5275003763420871</v>
      </c>
      <c r="EW43" s="21">
        <f>EXP(-LN(2)/25)*EW42+(1-EXP(-LN(2)/25))/(LN(2)/25)*Calculateur!ER43*Calculateur!ET43*VLOOKUP('Données projet'!$B$15,Paramètres!$A$1:$I$89,3,0)*0.475*44/12</f>
        <v>10.172834761566607</v>
      </c>
      <c r="EX43" s="21">
        <f>EXP(-LN(2)/2)*EX42+(1-EXP(-LN(2)/2))/(LN(2)/2)*ER43*EU43*VLOOKUP('Données projet'!$B$15,Paramètres!$A$1:$I$89,3,0)*0.475*44/12</f>
        <v>0.6535244821322761</v>
      </c>
      <c r="EY43" s="22">
        <f t="shared" si="21"/>
        <v>16.353859620040971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11.499999999999996</v>
      </c>
      <c r="N44" s="13">
        <f>IF('Données projet'!$A$36&gt;35,N43+M44-V43,IF(A44&lt;'Données projet'!$A$36,$K$205^A44,IF(A44='Données projet'!$A$36,'Données projet'!$B$36,N43+M44-V43)))</f>
        <v>219.6999999999999</v>
      </c>
      <c r="O44" s="13">
        <f>N44*VLOOKUP('Données projet'!$B$9,Paramètres!$A$1:$I$89,3,0)*VLOOKUP('Données projet'!$B$9,Paramètres!$A$1:$I$89,5,0)</f>
        <v>102.81959999999995</v>
      </c>
      <c r="P44" s="13">
        <f t="shared" si="33"/>
        <v>27.632637448562328</v>
      </c>
      <c r="Q44" s="20">
        <f t="shared" si="53"/>
        <v>227.20431355624598</v>
      </c>
      <c r="R44" s="59">
        <f t="shared" si="0"/>
        <v>520.53764688957926</v>
      </c>
      <c r="S44" s="59">
        <f ca="1">AVERAGE(OFFSET($R$3,0,0,'Données projet'!$E$9+1,1))-AVERAGE(OFFSET($H$3,0,0,'Données projet'!$E$9+1,1))</f>
        <v>215.23235148064941</v>
      </c>
      <c r="T44" s="59">
        <f t="shared" si="34"/>
        <v>184.07239726900434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2.5209843695478997</v>
      </c>
      <c r="AA44" s="21">
        <f>EXP(-LN(2)/25)*AA43+(1-EXP(-LN(2)/25))/(LN(2)/25)*Calculateur!V44*Calculateur!X44*VLOOKUP('Données projet'!$B$9,Paramètres!$A$1:$I$89,3,0)*0.475*44/12</f>
        <v>5.7905346423098703</v>
      </c>
      <c r="AB44" s="21">
        <f>EXP(-LN(2)/2)*AB43+(1-EXP(-LN(2)/2))/(LN(2)/2)*V44*Y44*VLOOKUP('Données projet'!$B$9,Paramètres!$A$1:$I$89,3,0)*0.475*44/12</f>
        <v>0.21726245822000553</v>
      </c>
      <c r="AC44" s="22">
        <f t="shared" si="3"/>
        <v>8.5287814700777762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-8.5265128291212022E-14</v>
      </c>
      <c r="AJ44" s="13">
        <f>AI44*VLOOKUP('Données projet'!$B$10,Paramètres!$A$1:$I$89,3,0)*VLOOKUP('Données projet'!$B$10,Paramètres!$A$1:$I$89,5,0)</f>
        <v>-7.7147888077888636E-14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225.28075317732998</v>
      </c>
      <c r="AO44" s="59">
        <f t="shared" si="36"/>
        <v>358.43407531256207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1.8043521814951407</v>
      </c>
      <c r="AV44" s="21">
        <f>EXP(-LN(2)/25)*AV43+(1-EXP(-LN(2)/25))/(LN(2)/25)*Calculateur!AQ44*Calculateur!AS44*VLOOKUP('Données projet'!$B$10,Paramètres!$A$1:$I$89,3,0)*0.475*44/12</f>
        <v>6.0976192635507429</v>
      </c>
      <c r="AW44" s="21">
        <f>EXP(-LN(2)/2)*AW43+(1-EXP(-LN(2)/2))/(LN(2)/2)*AQ44*AT44*VLOOKUP('Données projet'!$B$10,Paramètres!$A$1:$I$89,3,0)*0.475*44/12</f>
        <v>9.7537008209236109E-2</v>
      </c>
      <c r="AX44" s="21">
        <f t="shared" si="6"/>
        <v>7.9995084532551193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19.2</v>
      </c>
      <c r="BD44" s="12">
        <f>IF('Données projet'!$A$88&gt;35,BD43+BC44-BL43,IF(A44&lt;'Données projet'!$A$88,$BA$205^A44,IF(A44='Données projet'!$A$88,'Données projet'!$B$88,BD43+BC44-BL43)))</f>
        <v>336.19999999999987</v>
      </c>
      <c r="BE44" s="13">
        <f>BD44*VLOOKUP('Données projet'!$B$11,Paramètres!$A$1:$I$89,3,0)*VLOOKUP('Données projet'!$B$11,Paramètres!$A$1:$I$89,5,0)</f>
        <v>187.93579999999994</v>
      </c>
      <c r="BF44" s="13">
        <f t="shared" si="37"/>
        <v>47.083297807364765</v>
      </c>
      <c r="BG44" s="20">
        <f t="shared" si="7"/>
        <v>409.3249286811602</v>
      </c>
      <c r="BH44" s="59">
        <f t="shared" si="8"/>
        <v>702.65826201449352</v>
      </c>
      <c r="BI44" s="59">
        <f ca="1">AVERAGE(OFFSET($BH$3,0,0,'Données projet'!$E$11+1,1))-AVERAGE(OFFSET($H$3,0,0,'Données projet'!$E$11+1,1))</f>
        <v>326.31232746914907</v>
      </c>
      <c r="BJ44" s="59">
        <f t="shared" si="38"/>
        <v>330.17137761430297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3.6737656510961907</v>
      </c>
      <c r="BQ44" s="21">
        <f>EXP(-LN(2)/25)*BQ43+(1-EXP(-LN(2)/25))/(LN(2)/25)*Calculateur!BL44*Calculateur!BN44*VLOOKUP('Données projet'!$B$11,Paramètres!$A$1:$I$89,3,0)*0.475*44/12</f>
        <v>22.241524413609515</v>
      </c>
      <c r="BR44" s="21">
        <f>EXP(-LN(2)/2)*BR43+(1-EXP(-LN(2)/2))/(LN(2)/2)*BL44*BO44*VLOOKUP('Données projet'!$B$11,Paramètres!$A$1:$I$89,3,0)*0.475*44/12</f>
        <v>0.71864341328384107</v>
      </c>
      <c r="BS44" s="22">
        <f t="shared" si="9"/>
        <v>26.633933477989544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11.5</v>
      </c>
      <c r="BY44" s="12">
        <f>IF('Données projet'!$A$114&gt;35,BY43+BX44-CG43,IF(A44&lt;'Données projet'!$A$114,$BV$205^A44,IF(A44='Données projet'!$A$114,'Données projet'!$B$114,BY43+BX44-CG43)))</f>
        <v>245.50000000000011</v>
      </c>
      <c r="BZ44" s="13">
        <f>BY44*VLOOKUP('Données projet'!$B$12,Paramètres!$A$1:$I$89,3,0)*VLOOKUP('Données projet'!$B$12,Paramètres!$A$1:$I$89,5,0)</f>
        <v>134.04300000000006</v>
      </c>
      <c r="CA44" s="13">
        <f t="shared" si="39"/>
        <v>34.928906226695894</v>
      </c>
      <c r="CB44" s="20">
        <f t="shared" si="10"/>
        <v>294.2927366781621</v>
      </c>
      <c r="CC44" s="59">
        <f t="shared" si="11"/>
        <v>587.62607001149536</v>
      </c>
      <c r="CD44" s="59">
        <f ca="1">AVERAGE(OFFSET($CC$3,0,0,'Données projet'!$E$12+1,1))-AVERAGE(OFFSET($H$3,0,0,'Données projet'!$E$12+1,1))</f>
        <v>210.04871822652808</v>
      </c>
      <c r="CE44" s="59">
        <f t="shared" si="40"/>
        <v>250.17540614049324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5.8718114846273117</v>
      </c>
      <c r="CL44" s="21">
        <f>EXP(-LN(2)/25)*CL43+(1-EXP(-LN(2)/25))/(LN(2)/25)*Calculateur!CG44*Calculateur!CI44*VLOOKUP('Données projet'!$B$12,Paramètres!$A$1:$I$89,3,0)*0.475*44/12</f>
        <v>20.514982166184303</v>
      </c>
      <c r="CM44" s="21">
        <f>EXP(-LN(2)/2)*CM43+(1-EXP(-LN(2)/2))/(LN(2)/2)*CG44*CJ44*VLOOKUP('Données projet'!$B$12,Paramètres!$A$1:$I$89,3,0)*0.475*44/12</f>
        <v>0.47627815272255297</v>
      </c>
      <c r="CN44" s="22">
        <f t="shared" si="12"/>
        <v>26.863071803534169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7.7</v>
      </c>
      <c r="CT44" s="12">
        <f>IF('Données projet'!$A$140&gt;35,CT43+CS44-DB43,IF(A44&lt;'Données projet'!$A$140,$CQ$205^A44,IF(A44='Données projet'!$A$140,'Données projet'!$B$140,CT43+CS44-DB43)))</f>
        <v>171.69999999999985</v>
      </c>
      <c r="CU44" s="17">
        <f>CT44*VLOOKUP('Données projet'!$B$13,Paramètres!$A$1:$I$89,3,0)*VLOOKUP('Données projet'!$B$13,Paramètres!$A$1:$I$89,5,0)</f>
        <v>136.60451999999989</v>
      </c>
      <c r="CV44" s="13">
        <f t="shared" si="41"/>
        <v>35.518040685530593</v>
      </c>
      <c r="CW44" s="20">
        <f t="shared" si="13"/>
        <v>299.78012652729893</v>
      </c>
      <c r="CX44" s="59">
        <f t="shared" si="14"/>
        <v>593.11345986063225</v>
      </c>
      <c r="CY44" s="59">
        <f ca="1">AVERAGE(OFFSET($CX$3,0,0,'Données projet'!$E$13+1,1))-AVERAGE(OFFSET($H$3,0,0,'Données projet'!$E$13+1,1))</f>
        <v>199.58763537752952</v>
      </c>
      <c r="CZ44" s="59">
        <f t="shared" si="42"/>
        <v>242.62852778451929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7.5799378354912861</v>
      </c>
      <c r="DH44" s="21">
        <f>EXP(-LN(2)/2)*DH43+(1-EXP(-LN(2)/2))/(LN(2)/2)*DB44*DE44*VLOOKUP('Données projet'!$B$13,Paramètres!$A$1:$I$89,3,0)*0.475*44/12</f>
        <v>0.23779909112440686</v>
      </c>
      <c r="DI44" s="22">
        <f t="shared" si="15"/>
        <v>7.8177369266156926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12.8</v>
      </c>
      <c r="DO44" s="12">
        <f>IF('Données projet'!$A$166&gt;35,DO43+DN44-DW43,IF(A44&lt;'Données projet'!$A$166,$DL$205^A44,IF(A44='Données projet'!$A$166,'Données projet'!$B$166,DO43+DN44-DW43)))</f>
        <v>227.7999999999999</v>
      </c>
      <c r="DP44" s="17">
        <f>DO44*VLOOKUP('Données projet'!$B$14,Paramètres!$A$1:$I$89,3,0)*VLOOKUP('Données projet'!$B$14,Paramètres!$A$1:$I$89,5,0)</f>
        <v>136.22439999999995</v>
      </c>
      <c r="DQ44" s="13">
        <f t="shared" si="43"/>
        <v>35.430697151629076</v>
      </c>
      <c r="DR44" s="20">
        <f t="shared" si="16"/>
        <v>298.96596087242057</v>
      </c>
      <c r="DS44" s="59">
        <f t="shared" si="17"/>
        <v>592.29929420575388</v>
      </c>
      <c r="DT44" s="59">
        <f ca="1">AVERAGE(OFFSET($DS$3,0,0,'Données projet'!$E$14+1,1))-AVERAGE(OFFSET($H$3,0,0,'Données projet'!$E$14+1,1))</f>
        <v>216.94426559495264</v>
      </c>
      <c r="DU44" s="59">
        <f t="shared" si="44"/>
        <v>225.33715877618704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9.4716368596766713</v>
      </c>
      <c r="EC44" s="21">
        <f>EXP(-LN(2)/2)*EC43+(1-EXP(-LN(2)/2))/(LN(2)/2)*DW44*DZ44*VLOOKUP('Données projet'!$B$14,Paramètres!$A$1:$I$89,3,0)*0.475*44/12</f>
        <v>0.52434972749979225</v>
      </c>
      <c r="ED44" s="22">
        <f t="shared" si="18"/>
        <v>9.9959865871764642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23.4</v>
      </c>
      <c r="EJ44" s="12">
        <f>IF('Données projet'!$A$192&gt;35,EJ43+EI44-ER43,IF(A44&lt;'Données projet'!$A$192,$EG$205^A44,IF(A44='Données projet'!$A$192,'Données projet'!$B$192,EJ43+EI44-ER43)))</f>
        <v>339.40000000000015</v>
      </c>
      <c r="EK44" s="17">
        <f>EJ44*VLOOKUP('Données projet'!$B$15,Paramètres!$A$1:$I$89,3,0)*VLOOKUP('Données projet'!$B$15,Paramètres!$A$1:$I$89,5,0)</f>
        <v>163.25140000000007</v>
      </c>
      <c r="EL44" s="13">
        <f t="shared" si="45"/>
        <v>41.575016896583769</v>
      </c>
      <c r="EM44" s="20">
        <f t="shared" si="19"/>
        <v>356.73934276155018</v>
      </c>
      <c r="EN44" s="59">
        <f t="shared" si="20"/>
        <v>650.07267609488349</v>
      </c>
      <c r="EO44" s="59">
        <f ca="1">AVERAGE(OFFSET($EN$3,0,0,'Données projet'!$E$15+1,1))-AVERAGE(OFFSET($H$3,0,0,'Données projet'!$E$15+1,1))</f>
        <v>292.1792787220852</v>
      </c>
      <c r="EP44" s="59">
        <f t="shared" si="46"/>
        <v>273.69206144662144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5.4191094654043459</v>
      </c>
      <c r="EW44" s="21">
        <f>EXP(-LN(2)/25)*EW43+(1-EXP(-LN(2)/25))/(LN(2)/25)*Calculateur!ER44*Calculateur!ET44*VLOOKUP('Données projet'!$B$15,Paramètres!$A$1:$I$89,3,0)*0.475*44/12</f>
        <v>9.8946580600454386</v>
      </c>
      <c r="EX44" s="21">
        <f>EXP(-LN(2)/2)*EX43+(1-EXP(-LN(2)/2))/(LN(2)/2)*ER44*EU44*VLOOKUP('Données projet'!$B$15,Paramètres!$A$1:$I$89,3,0)*0.475*44/12</f>
        <v>0.46211159298715915</v>
      </c>
      <c r="EY44" s="22">
        <f t="shared" si="21"/>
        <v>15.775879118436944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11.499999999999996</v>
      </c>
      <c r="N45" s="13">
        <f>IF('Données projet'!$A$36&gt;35,N44+M45-V44,IF(A45&lt;'Données projet'!$A$36,$K$205^A45,IF(A45='Données projet'!$A$36,'Données projet'!$B$36,N44+M45-V44)))</f>
        <v>231.1999999999999</v>
      </c>
      <c r="O45" s="13">
        <f>N45*VLOOKUP('Données projet'!$B$9,Paramètres!$A$1:$I$89,3,0)*VLOOKUP('Données projet'!$B$9,Paramètres!$A$1:$I$89,5,0)</f>
        <v>108.20159999999994</v>
      </c>
      <c r="P45" s="13">
        <f t="shared" si="33"/>
        <v>28.906861857161235</v>
      </c>
      <c r="Q45" s="20">
        <f t="shared" si="53"/>
        <v>238.79723773455569</v>
      </c>
      <c r="R45" s="59">
        <f t="shared" si="0"/>
        <v>532.13057106788904</v>
      </c>
      <c r="S45" s="59">
        <f ca="1">AVERAGE(OFFSET($R$3,0,0,'Données projet'!$E$9+1,1))-AVERAGE(OFFSET($H$3,0,0,'Données projet'!$E$9+1,1))</f>
        <v>215.23235148064941</v>
      </c>
      <c r="T45" s="59">
        <f t="shared" si="34"/>
        <v>184.07239726900434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2.4715494037097008</v>
      </c>
      <c r="AA45" s="21">
        <f>EXP(-LN(2)/25)*AA44+(1-EXP(-LN(2)/25))/(LN(2)/25)*Calculateur!V45*Calculateur!X45*VLOOKUP('Données projet'!$B$9,Paramètres!$A$1:$I$89,3,0)*0.475*44/12</f>
        <v>5.6321921680049245</v>
      </c>
      <c r="AB45" s="21">
        <f>EXP(-LN(2)/2)*AB44+(1-EXP(-LN(2)/2))/(LN(2)/2)*V45*Y45*VLOOKUP('Données projet'!$B$9,Paramètres!$A$1:$I$89,3,0)*0.475*44/12</f>
        <v>0.15362775750462487</v>
      </c>
      <c r="AC45" s="22">
        <f t="shared" si="3"/>
        <v>8.2573693292192498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-8.5265128291212022E-14</v>
      </c>
      <c r="AJ45" s="13">
        <f>AI45*VLOOKUP('Données projet'!$B$10,Paramètres!$A$1:$I$89,3,0)*VLOOKUP('Données projet'!$B$10,Paramètres!$A$1:$I$89,5,0)</f>
        <v>-7.7147888077888636E-14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225.28075317732998</v>
      </c>
      <c r="AO45" s="59">
        <f t="shared" si="36"/>
        <v>358.43407531256207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1.7689699357621818</v>
      </c>
      <c r="AV45" s="21">
        <f>EXP(-LN(2)/25)*AV44+(1-EXP(-LN(2)/25))/(LN(2)/25)*Calculateur!AQ45*Calculateur!AS45*VLOOKUP('Données projet'!$B$10,Paramètres!$A$1:$I$89,3,0)*0.475*44/12</f>
        <v>5.9308795441290867</v>
      </c>
      <c r="AW45" s="21">
        <f>EXP(-LN(2)/2)*AW44+(1-EXP(-LN(2)/2))/(LN(2)/2)*AQ45*AT45*VLOOKUP('Données projet'!$B$10,Paramètres!$A$1:$I$89,3,0)*0.475*44/12</f>
        <v>6.8969079921398807E-2</v>
      </c>
      <c r="AX45" s="21">
        <f t="shared" si="6"/>
        <v>7.7688185598126669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19.2</v>
      </c>
      <c r="BD45" s="12">
        <f>IF('Données projet'!$A$88&gt;35,BD44+BC45-BL44,IF(A45&lt;'Données projet'!$A$88,$BA$205^A45,IF(A45='Données projet'!$A$88,'Données projet'!$B$88,BD44+BC45-BL44)))</f>
        <v>355.39999999999986</v>
      </c>
      <c r="BE45" s="13">
        <f>BD45*VLOOKUP('Données projet'!$B$11,Paramètres!$A$1:$I$89,3,0)*VLOOKUP('Données projet'!$B$11,Paramètres!$A$1:$I$89,5,0)</f>
        <v>198.66859999999994</v>
      </c>
      <c r="BF45" s="13">
        <f t="shared" si="37"/>
        <v>49.451452656287465</v>
      </c>
      <c r="BG45" s="20">
        <f t="shared" si="7"/>
        <v>432.14242504303388</v>
      </c>
      <c r="BH45" s="59">
        <f t="shared" si="8"/>
        <v>725.47575837636714</v>
      </c>
      <c r="BI45" s="59">
        <f ca="1">AVERAGE(OFFSET($BH$3,0,0,'Données projet'!$E$11+1,1))-AVERAGE(OFFSET($H$3,0,0,'Données projet'!$E$11+1,1))</f>
        <v>326.31232746914907</v>
      </c>
      <c r="BJ45" s="59">
        <f t="shared" si="38"/>
        <v>330.17137761430297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3.6017253474539834</v>
      </c>
      <c r="BQ45" s="21">
        <f>EXP(-LN(2)/25)*BQ44+(1-EXP(-LN(2)/25))/(LN(2)/25)*Calculateur!BL45*Calculateur!BN45*VLOOKUP('Données projet'!$B$11,Paramètres!$A$1:$I$89,3,0)*0.475*44/12</f>
        <v>21.633328758888428</v>
      </c>
      <c r="BR45" s="21">
        <f>EXP(-LN(2)/2)*BR44+(1-EXP(-LN(2)/2))/(LN(2)/2)*BL45*BO45*VLOOKUP('Données projet'!$B$11,Paramètres!$A$1:$I$89,3,0)*0.475*44/12</f>
        <v>0.50815763078805065</v>
      </c>
      <c r="BS45" s="22">
        <f t="shared" si="9"/>
        <v>25.743211737130462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11.5</v>
      </c>
      <c r="BY45" s="12">
        <f>IF('Données projet'!$A$114&gt;35,BY44+BX45-CG44,IF(A45&lt;'Données projet'!$A$114,$BV$205^A45,IF(A45='Données projet'!$A$114,'Données projet'!$B$114,BY44+BX45-CG44)))</f>
        <v>257.00000000000011</v>
      </c>
      <c r="BZ45" s="13">
        <f>BY45*VLOOKUP('Données projet'!$B$12,Paramètres!$A$1:$I$89,3,0)*VLOOKUP('Données projet'!$B$12,Paramètres!$A$1:$I$89,5,0)</f>
        <v>140.32200000000006</v>
      </c>
      <c r="CA45" s="13">
        <f t="shared" si="39"/>
        <v>36.370761307502896</v>
      </c>
      <c r="CB45" s="20">
        <f t="shared" si="10"/>
        <v>307.73989261056767</v>
      </c>
      <c r="CC45" s="59">
        <f t="shared" si="11"/>
        <v>601.07322594390098</v>
      </c>
      <c r="CD45" s="59">
        <f ca="1">AVERAGE(OFFSET($CC$3,0,0,'Données projet'!$E$12+1,1))-AVERAGE(OFFSET($H$3,0,0,'Données projet'!$E$12+1,1))</f>
        <v>210.04871822652808</v>
      </c>
      <c r="CE45" s="59">
        <f t="shared" si="40"/>
        <v>250.17540614049324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5.7566688428651371</v>
      </c>
      <c r="CL45" s="21">
        <f>EXP(-LN(2)/25)*CL44+(1-EXP(-LN(2)/25))/(LN(2)/25)*Calculateur!CG45*Calculateur!CI45*VLOOKUP('Données projet'!$B$12,Paramètres!$A$1:$I$89,3,0)*0.475*44/12</f>
        <v>19.953998900013968</v>
      </c>
      <c r="CM45" s="21">
        <f>EXP(-LN(2)/2)*CM44+(1-EXP(-LN(2)/2))/(LN(2)/2)*CG45*CJ45*VLOOKUP('Données projet'!$B$12,Paramètres!$A$1:$I$89,3,0)*0.475*44/12</f>
        <v>0.33677951152111935</v>
      </c>
      <c r="CN45" s="22">
        <f t="shared" si="12"/>
        <v>26.047447254400222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7.7</v>
      </c>
      <c r="CT45" s="12">
        <f>IF('Données projet'!$A$140&gt;35,CT44+CS45-DB44,IF(A45&lt;'Données projet'!$A$140,$CQ$205^A45,IF(A45='Données projet'!$A$140,'Données projet'!$B$140,CT44+CS45-DB44)))</f>
        <v>179.39999999999984</v>
      </c>
      <c r="CU45" s="17">
        <f>CT45*VLOOKUP('Données projet'!$B$13,Paramètres!$A$1:$I$89,3,0)*VLOOKUP('Données projet'!$B$13,Paramètres!$A$1:$I$89,5,0)</f>
        <v>142.73063999999988</v>
      </c>
      <c r="CV45" s="13">
        <f t="shared" si="41"/>
        <v>36.921851771122689</v>
      </c>
      <c r="CW45" s="20">
        <f t="shared" si="13"/>
        <v>312.89475650137177</v>
      </c>
      <c r="CX45" s="59">
        <f t="shared" si="14"/>
        <v>606.22808983470509</v>
      </c>
      <c r="CY45" s="59">
        <f ca="1">AVERAGE(OFFSET($CX$3,0,0,'Données projet'!$E$13+1,1))-AVERAGE(OFFSET($H$3,0,0,'Données projet'!$E$13+1,1))</f>
        <v>199.58763537752952</v>
      </c>
      <c r="CZ45" s="59">
        <f t="shared" si="42"/>
        <v>242.62852778451929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7.3726640367681702</v>
      </c>
      <c r="DH45" s="21">
        <f>EXP(-LN(2)/2)*DH44+(1-EXP(-LN(2)/2))/(LN(2)/2)*DB45*DE45*VLOOKUP('Données projet'!$B$13,Paramètres!$A$1:$I$89,3,0)*0.475*44/12</f>
        <v>0.16814934989406585</v>
      </c>
      <c r="DI45" s="22">
        <f t="shared" si="15"/>
        <v>7.5408133866622364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12.8</v>
      </c>
      <c r="DO45" s="12">
        <f>IF('Données projet'!$A$166&gt;35,DO44+DN45-DW44,IF(A45&lt;'Données projet'!$A$166,$DL$205^A45,IF(A45='Données projet'!$A$166,'Données projet'!$B$166,DO44+DN45-DW44)))</f>
        <v>240.59999999999991</v>
      </c>
      <c r="DP45" s="17">
        <f>DO45*VLOOKUP('Données projet'!$B$14,Paramètres!$A$1:$I$89,3,0)*VLOOKUP('Données projet'!$B$14,Paramètres!$A$1:$I$89,5,0)</f>
        <v>143.87879999999996</v>
      </c>
      <c r="DQ45" s="13">
        <f t="shared" si="43"/>
        <v>37.184165858158067</v>
      </c>
      <c r="DR45" s="20">
        <f t="shared" si="16"/>
        <v>315.35133220295853</v>
      </c>
      <c r="DS45" s="59">
        <f t="shared" si="17"/>
        <v>608.68466553629185</v>
      </c>
      <c r="DT45" s="59">
        <f ca="1">AVERAGE(OFFSET($DS$3,0,0,'Données projet'!$E$14+1,1))-AVERAGE(OFFSET($H$3,0,0,'Données projet'!$E$14+1,1))</f>
        <v>216.94426559495264</v>
      </c>
      <c r="DU45" s="59">
        <f t="shared" si="44"/>
        <v>225.33715877618704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9.2126344516570775</v>
      </c>
      <c r="EC45" s="21">
        <f>EXP(-LN(2)/2)*EC44+(1-EXP(-LN(2)/2))/(LN(2)/2)*DW45*DZ45*VLOOKUP('Données projet'!$B$14,Paramètres!$A$1:$I$89,3,0)*0.475*44/12</f>
        <v>0.37077124802842143</v>
      </c>
      <c r="ED45" s="22">
        <f t="shared" si="18"/>
        <v>9.5834056996854997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23.4</v>
      </c>
      <c r="EJ45" s="12">
        <f>IF('Données projet'!$A$192&gt;35,EJ44+EI45-ER44,IF(A45&lt;'Données projet'!$A$192,$EG$205^A45,IF(A45='Données projet'!$A$192,'Données projet'!$B$192,EJ44+EI45-ER44)))</f>
        <v>362.80000000000013</v>
      </c>
      <c r="EK45" s="17">
        <f>EJ45*VLOOKUP('Données projet'!$B$15,Paramètres!$A$1:$I$89,3,0)*VLOOKUP('Données projet'!$B$15,Paramètres!$A$1:$I$89,5,0)</f>
        <v>174.50680000000006</v>
      </c>
      <c r="EL45" s="13">
        <f t="shared" si="45"/>
        <v>44.097854637536997</v>
      </c>
      <c r="EM45" s="20">
        <f t="shared" si="19"/>
        <v>380.73644016037707</v>
      </c>
      <c r="EN45" s="59">
        <f t="shared" si="20"/>
        <v>674.06977349371039</v>
      </c>
      <c r="EO45" s="59">
        <f ca="1">AVERAGE(OFFSET($EN$3,0,0,'Données projet'!$E$15+1,1))-AVERAGE(OFFSET($H$3,0,0,'Données projet'!$E$15+1,1))</f>
        <v>292.1792787220852</v>
      </c>
      <c r="EP45" s="59">
        <f t="shared" si="46"/>
        <v>273.69206144662144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5.3128440341181662</v>
      </c>
      <c r="EW45" s="21">
        <f>EXP(-LN(2)/25)*EW44+(1-EXP(-LN(2)/25))/(LN(2)/25)*Calculateur!ER45*Calculateur!ET45*VLOOKUP('Données projet'!$B$15,Paramètres!$A$1:$I$89,3,0)*0.475*44/12</f>
        <v>9.6240881150560433</v>
      </c>
      <c r="EX45" s="21">
        <f>EXP(-LN(2)/2)*EX44+(1-EXP(-LN(2)/2))/(LN(2)/2)*ER45*EU45*VLOOKUP('Données projet'!$B$15,Paramètres!$A$1:$I$89,3,0)*0.475*44/12</f>
        <v>0.32676224106613805</v>
      </c>
      <c r="EY45" s="22">
        <f t="shared" si="21"/>
        <v>15.263694390240348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11.499999999999996</v>
      </c>
      <c r="N46" s="13">
        <f>IF('Données projet'!$A$36&gt;35,N45+M46-V45,IF(A46&lt;'Données projet'!$A$36,$K$205^A46,IF(A46='Données projet'!$A$36,'Données projet'!$B$36,N45+M46-V45)))</f>
        <v>242.6999999999999</v>
      </c>
      <c r="O46" s="13">
        <f>N46*VLOOKUP('Données projet'!$B$9,Paramètres!$A$1:$I$89,3,0)*VLOOKUP('Données projet'!$B$9,Paramètres!$A$1:$I$89,5,0)</f>
        <v>113.58359999999995</v>
      </c>
      <c r="P46" s="13">
        <f t="shared" si="33"/>
        <v>30.17372688298952</v>
      </c>
      <c r="Q46" s="20">
        <f t="shared" si="53"/>
        <v>250.37734432120666</v>
      </c>
      <c r="R46" s="59">
        <f t="shared" si="0"/>
        <v>543.71067765453995</v>
      </c>
      <c r="S46" s="59">
        <f ca="1">AVERAGE(OFFSET($R$3,0,0,'Données projet'!$E$9+1,1))-AVERAGE(OFFSET($H$3,0,0,'Données projet'!$E$9+1,1))</f>
        <v>215.23235148064941</v>
      </c>
      <c r="T46" s="59">
        <f t="shared" si="34"/>
        <v>184.07239726900434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2.4230838273992368</v>
      </c>
      <c r="AA46" s="21">
        <f>EXP(-LN(2)/25)*AA45+(1-EXP(-LN(2)/25))/(LN(2)/25)*Calculateur!V46*Calculateur!X46*VLOOKUP('Données projet'!$B$9,Paramètres!$A$1:$I$89,3,0)*0.475*44/12</f>
        <v>5.4781795769867161</v>
      </c>
      <c r="AB46" s="21">
        <f>EXP(-LN(2)/2)*AB45+(1-EXP(-LN(2)/2))/(LN(2)/2)*V46*Y46*VLOOKUP('Données projet'!$B$9,Paramètres!$A$1:$I$89,3,0)*0.475*44/12</f>
        <v>0.10863122911000277</v>
      </c>
      <c r="AC46" s="22">
        <f t="shared" si="3"/>
        <v>8.0098946334959553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-8.5265128291212022E-14</v>
      </c>
      <c r="AJ46" s="13">
        <f>AI46*VLOOKUP('Données projet'!$B$10,Paramètres!$A$1:$I$89,3,0)*VLOOKUP('Données projet'!$B$10,Paramètres!$A$1:$I$89,5,0)</f>
        <v>-7.7147888077888636E-14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225.28075317732998</v>
      </c>
      <c r="AO46" s="59">
        <f t="shared" si="36"/>
        <v>358.43407531256207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1.7342815142870072</v>
      </c>
      <c r="AV46" s="21">
        <f>EXP(-LN(2)/25)*AV45+(1-EXP(-LN(2)/25))/(LN(2)/25)*Calculateur!AQ46*Calculateur!AS46*VLOOKUP('Données projet'!$B$10,Paramètres!$A$1:$I$89,3,0)*0.475*44/12</f>
        <v>5.7686993311034769</v>
      </c>
      <c r="AW46" s="21">
        <f>EXP(-LN(2)/2)*AW45+(1-EXP(-LN(2)/2))/(LN(2)/2)*AQ46*AT46*VLOOKUP('Données projet'!$B$10,Paramètres!$A$1:$I$89,3,0)*0.475*44/12</f>
        <v>4.8768504104618055E-2</v>
      </c>
      <c r="AX46" s="21">
        <f t="shared" si="6"/>
        <v>7.5517493494951022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19.2</v>
      </c>
      <c r="BD46" s="12">
        <f>IF('Données projet'!$A$88&gt;35,BD45+BC46-BL45,IF(A46&lt;'Données projet'!$A$88,$BA$205^A46,IF(A46='Données projet'!$A$88,'Données projet'!$B$88,BD45+BC46-BL45)))</f>
        <v>374.59999999999985</v>
      </c>
      <c r="BE46" s="13">
        <f>BD46*VLOOKUP('Données projet'!$B$11,Paramètres!$A$1:$I$89,3,0)*VLOOKUP('Données projet'!$B$11,Paramètres!$A$1:$I$89,5,0)</f>
        <v>209.40139999999994</v>
      </c>
      <c r="BF46" s="13">
        <f t="shared" si="37"/>
        <v>51.804754813749405</v>
      </c>
      <c r="BG46" s="20">
        <f t="shared" si="7"/>
        <v>454.93405296728002</v>
      </c>
      <c r="BH46" s="59">
        <f t="shared" si="8"/>
        <v>748.26738630061334</v>
      </c>
      <c r="BI46" s="59">
        <f ca="1">AVERAGE(OFFSET($BH$3,0,0,'Données projet'!$E$11+1,1))-AVERAGE(OFFSET($H$3,0,0,'Données projet'!$E$11+1,1))</f>
        <v>326.31232746914907</v>
      </c>
      <c r="BJ46" s="59">
        <f t="shared" si="38"/>
        <v>330.17137761430297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3.5310977102259531</v>
      </c>
      <c r="BQ46" s="21">
        <f>EXP(-LN(2)/25)*BQ45+(1-EXP(-LN(2)/25))/(LN(2)/25)*Calculateur!BL46*Calculateur!BN46*VLOOKUP('Données projet'!$B$11,Paramètres!$A$1:$I$89,3,0)*0.475*44/12</f>
        <v>21.041764246329308</v>
      </c>
      <c r="BR46" s="21">
        <f>EXP(-LN(2)/2)*BR45+(1-EXP(-LN(2)/2))/(LN(2)/2)*BL46*BO46*VLOOKUP('Données projet'!$B$11,Paramètres!$A$1:$I$89,3,0)*0.475*44/12</f>
        <v>0.35932170664192054</v>
      </c>
      <c r="BS46" s="22">
        <f t="shared" si="9"/>
        <v>24.932183663197183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11.5</v>
      </c>
      <c r="BY46" s="12">
        <f>IF('Données projet'!$A$114&gt;35,BY45+BX46-CG45,IF(A46&lt;'Données projet'!$A$114,$BV$205^A46,IF(A46='Données projet'!$A$114,'Données projet'!$B$114,BY45+BX46-CG45)))</f>
        <v>268.50000000000011</v>
      </c>
      <c r="BZ46" s="13">
        <f>BY46*VLOOKUP('Données projet'!$B$12,Paramètres!$A$1:$I$89,3,0)*VLOOKUP('Données projet'!$B$12,Paramètres!$A$1:$I$89,5,0)</f>
        <v>146.60100000000006</v>
      </c>
      <c r="CA46" s="13">
        <f t="shared" si="39"/>
        <v>37.805123282858517</v>
      </c>
      <c r="CB46" s="20">
        <f t="shared" si="10"/>
        <v>321.1739980509787</v>
      </c>
      <c r="CC46" s="59">
        <f t="shared" si="11"/>
        <v>614.50733138431201</v>
      </c>
      <c r="CD46" s="59">
        <f ca="1">AVERAGE(OFFSET($CC$3,0,0,'Données projet'!$E$12+1,1))-AVERAGE(OFFSET($H$3,0,0,'Données projet'!$E$12+1,1))</f>
        <v>210.04871822652808</v>
      </c>
      <c r="CE46" s="59">
        <f t="shared" si="40"/>
        <v>250.17540614049324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5.6437840780778412</v>
      </c>
      <c r="CL46" s="21">
        <f>EXP(-LN(2)/25)*CL45+(1-EXP(-LN(2)/25))/(LN(2)/25)*Calculateur!CG46*Calculateur!CI46*VLOOKUP('Données projet'!$B$12,Paramètres!$A$1:$I$89,3,0)*0.475*44/12</f>
        <v>19.408355750757888</v>
      </c>
      <c r="CM46" s="21">
        <f>EXP(-LN(2)/2)*CM45+(1-EXP(-LN(2)/2))/(LN(2)/2)*CG46*CJ46*VLOOKUP('Données projet'!$B$12,Paramètres!$A$1:$I$89,3,0)*0.475*44/12</f>
        <v>0.23813907636127651</v>
      </c>
      <c r="CN46" s="22">
        <f t="shared" si="12"/>
        <v>25.290278905197003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7.7</v>
      </c>
      <c r="CT46" s="12">
        <f>IF('Données projet'!$A$140&gt;35,CT45+CS46-DB45,IF(A46&lt;'Données projet'!$A$140,$CQ$205^A46,IF(A46='Données projet'!$A$140,'Données projet'!$B$140,CT45+CS46-DB45)))</f>
        <v>187.09999999999982</v>
      </c>
      <c r="CU46" s="17">
        <f>CT46*VLOOKUP('Données projet'!$B$13,Paramètres!$A$1:$I$89,3,0)*VLOOKUP('Données projet'!$B$13,Paramètres!$A$1:$I$89,5,0)</f>
        <v>148.85675999999987</v>
      </c>
      <c r="CV46" s="13">
        <f t="shared" si="41"/>
        <v>38.318664656580218</v>
      </c>
      <c r="CW46" s="20">
        <f t="shared" si="13"/>
        <v>325.9971979435436</v>
      </c>
      <c r="CX46" s="59">
        <f t="shared" si="14"/>
        <v>619.33053127687685</v>
      </c>
      <c r="CY46" s="59">
        <f ca="1">AVERAGE(OFFSET($CX$3,0,0,'Données projet'!$E$13+1,1))-AVERAGE(OFFSET($H$3,0,0,'Données projet'!$E$13+1,1))</f>
        <v>199.58763537752952</v>
      </c>
      <c r="CZ46" s="59">
        <f t="shared" si="42"/>
        <v>242.62852778451929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7.1710581509711933</v>
      </c>
      <c r="DH46" s="21">
        <f>EXP(-LN(2)/2)*DH45+(1-EXP(-LN(2)/2))/(LN(2)/2)*DB46*DE46*VLOOKUP('Données projet'!$B$13,Paramètres!$A$1:$I$89,3,0)*0.475*44/12</f>
        <v>0.11889954556220345</v>
      </c>
      <c r="DI46" s="22">
        <f t="shared" si="15"/>
        <v>7.2899576965333965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12.8</v>
      </c>
      <c r="DO46" s="12">
        <f>IF('Données projet'!$A$166&gt;35,DO45+DN46-DW45,IF(A46&lt;'Données projet'!$A$166,$DL$205^A46,IF(A46='Données projet'!$A$166,'Données projet'!$B$166,DO45+DN46-DW45)))</f>
        <v>253.39999999999992</v>
      </c>
      <c r="DP46" s="17">
        <f>DO46*VLOOKUP('Données projet'!$B$14,Paramètres!$A$1:$I$89,3,0)*VLOOKUP('Données projet'!$B$14,Paramètres!$A$1:$I$89,5,0)</f>
        <v>151.53319999999997</v>
      </c>
      <c r="DQ46" s="13">
        <f t="shared" si="43"/>
        <v>38.926804334954284</v>
      </c>
      <c r="DR46" s="20">
        <f t="shared" si="16"/>
        <v>331.71784088337864</v>
      </c>
      <c r="DS46" s="59">
        <f t="shared" si="17"/>
        <v>625.05117421671196</v>
      </c>
      <c r="DT46" s="59">
        <f ca="1">AVERAGE(OFFSET($DS$3,0,0,'Données projet'!$E$14+1,1))-AVERAGE(OFFSET($H$3,0,0,'Données projet'!$E$14+1,1))</f>
        <v>216.94426559495264</v>
      </c>
      <c r="DU46" s="59">
        <f t="shared" si="44"/>
        <v>225.33715877618704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8.9607144781051247</v>
      </c>
      <c r="EC46" s="21">
        <f>EXP(-LN(2)/2)*EC45+(1-EXP(-LN(2)/2))/(LN(2)/2)*DW46*DZ46*VLOOKUP('Données projet'!$B$14,Paramètres!$A$1:$I$89,3,0)*0.475*44/12</f>
        <v>0.26217486374989613</v>
      </c>
      <c r="ED46" s="22">
        <f t="shared" si="18"/>
        <v>9.2228893418550211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23.4</v>
      </c>
      <c r="EJ46" s="12">
        <f>IF('Données projet'!$A$192&gt;35,EJ45+EI46-ER45,IF(A46&lt;'Données projet'!$A$192,$EG$205^A46,IF(A46='Données projet'!$A$192,'Données projet'!$B$192,EJ45+EI46-ER45)))</f>
        <v>386.2000000000001</v>
      </c>
      <c r="EK46" s="17">
        <f>EJ46*VLOOKUP('Données projet'!$B$15,Paramètres!$A$1:$I$89,3,0)*VLOOKUP('Données projet'!$B$15,Paramètres!$A$1:$I$89,5,0)</f>
        <v>185.76220000000006</v>
      </c>
      <c r="EL46" s="13">
        <f t="shared" si="45"/>
        <v>46.601809007608949</v>
      </c>
      <c r="EM46" s="20">
        <f t="shared" si="19"/>
        <v>404.70064902158566</v>
      </c>
      <c r="EN46" s="59">
        <f t="shared" si="20"/>
        <v>698.03398235491898</v>
      </c>
      <c r="EO46" s="59">
        <f ca="1">AVERAGE(OFFSET($EN$3,0,0,'Données projet'!$E$15+1,1))-AVERAGE(OFFSET($H$3,0,0,'Données projet'!$E$15+1,1))</f>
        <v>292.1792787220852</v>
      </c>
      <c r="EP46" s="59">
        <f t="shared" si="46"/>
        <v>273.69206144662144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5.2086624031239959</v>
      </c>
      <c r="EW46" s="21">
        <f>EXP(-LN(2)/25)*EW45+(1-EXP(-LN(2)/25))/(LN(2)/25)*Calculateur!ER46*Calculateur!ET46*VLOOKUP('Données projet'!$B$15,Paramètres!$A$1:$I$89,3,0)*0.475*44/12</f>
        <v>9.3609169194410384</v>
      </c>
      <c r="EX46" s="21">
        <f>EXP(-LN(2)/2)*EX45+(1-EXP(-LN(2)/2))/(LN(2)/2)*ER46*EU46*VLOOKUP('Données projet'!$B$15,Paramètres!$A$1:$I$89,3,0)*0.475*44/12</f>
        <v>0.23105579649357957</v>
      </c>
      <c r="EY46" s="22">
        <f t="shared" si="21"/>
        <v>14.800635119058613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11.499999999999996</v>
      </c>
      <c r="N47" s="13">
        <f>IF('Données projet'!$A$36&gt;35,N46+M47-V46,IF(A47&lt;'Données projet'!$A$36,$K$205^A47,IF(A47='Données projet'!$A$36,'Données projet'!$B$36,N46+M47-V46)))</f>
        <v>254.1999999999999</v>
      </c>
      <c r="O47" s="13">
        <f>N47*VLOOKUP('Données projet'!$B$9,Paramètres!$A$1:$I$89,3,0)*VLOOKUP('Données projet'!$B$9,Paramètres!$A$1:$I$89,5,0)</f>
        <v>118.96559999999995</v>
      </c>
      <c r="P47" s="13">
        <f t="shared" si="33"/>
        <v>31.433621056182272</v>
      </c>
      <c r="Q47" s="20">
        <f t="shared" si="53"/>
        <v>261.945310006184</v>
      </c>
      <c r="R47" s="59">
        <f t="shared" si="0"/>
        <v>555.27864333951732</v>
      </c>
      <c r="S47" s="59">
        <f ca="1">AVERAGE(OFFSET($R$3,0,0,'Données projet'!$E$9+1,1))-AVERAGE(OFFSET($H$3,0,0,'Données projet'!$E$9+1,1))</f>
        <v>215.23235148064941</v>
      </c>
      <c r="T47" s="59">
        <f t="shared" si="34"/>
        <v>184.07239726900434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2.3755686314791387</v>
      </c>
      <c r="AA47" s="21">
        <f>EXP(-LN(2)/25)*AA46+(1-EXP(-LN(2)/25))/(LN(2)/25)*Calculateur!V47*Calculateur!X47*VLOOKUP('Données projet'!$B$9,Paramètres!$A$1:$I$89,3,0)*0.475*44/12</f>
        <v>5.3283784683690714</v>
      </c>
      <c r="AB47" s="21">
        <f>EXP(-LN(2)/2)*AB46+(1-EXP(-LN(2)/2))/(LN(2)/2)*V47*Y47*VLOOKUP('Données projet'!$B$9,Paramètres!$A$1:$I$89,3,0)*0.475*44/12</f>
        <v>7.6813878752312437E-2</v>
      </c>
      <c r="AC47" s="22">
        <f t="shared" si="3"/>
        <v>7.7807609786005223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-8.5265128291212022E-14</v>
      </c>
      <c r="AJ47" s="13">
        <f>AI47*VLOOKUP('Données projet'!$B$10,Paramètres!$A$1:$I$89,3,0)*VLOOKUP('Données projet'!$B$10,Paramètres!$A$1:$I$89,5,0)</f>
        <v>-7.7147888077888636E-14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225.28075317732998</v>
      </c>
      <c r="AO47" s="59">
        <f t="shared" si="36"/>
        <v>358.43407531256207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1.7002733115991129</v>
      </c>
      <c r="AV47" s="21">
        <f>EXP(-LN(2)/25)*AV46+(1-EXP(-LN(2)/25))/(LN(2)/25)*Calculateur!AQ47*Calculateur!AS47*VLOOKUP('Données projet'!$B$10,Paramètres!$A$1:$I$89,3,0)*0.475*44/12</f>
        <v>5.6109539445317393</v>
      </c>
      <c r="AW47" s="21">
        <f>EXP(-LN(2)/2)*AW46+(1-EXP(-LN(2)/2))/(LN(2)/2)*AQ47*AT47*VLOOKUP('Données projet'!$B$10,Paramètres!$A$1:$I$89,3,0)*0.475*44/12</f>
        <v>3.4484539960699404E-2</v>
      </c>
      <c r="AX47" s="21">
        <f t="shared" si="6"/>
        <v>7.3457117960915514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19.2</v>
      </c>
      <c r="BD47" s="12">
        <f>IF('Données projet'!$A$88&gt;35,BD46+BC47-BL46,IF(A47&lt;'Données projet'!$A$88,$BA$205^A47,IF(A47='Données projet'!$A$88,'Données projet'!$B$88,BD46+BC47-BL46)))</f>
        <v>393.79999999999984</v>
      </c>
      <c r="BE47" s="13">
        <f>BD47*VLOOKUP('Données projet'!$B$11,Paramètres!$A$1:$I$89,3,0)*VLOOKUP('Données projet'!$B$11,Paramètres!$A$1:$I$89,5,0)</f>
        <v>220.13419999999991</v>
      </c>
      <c r="BF47" s="13">
        <f t="shared" si="37"/>
        <v>54.144052392262886</v>
      </c>
      <c r="BG47" s="20">
        <f t="shared" si="7"/>
        <v>477.701289583191</v>
      </c>
      <c r="BH47" s="59">
        <f t="shared" si="8"/>
        <v>771.03462291652431</v>
      </c>
      <c r="BI47" s="59">
        <f ca="1">AVERAGE(OFFSET($BH$3,0,0,'Données projet'!$E$11+1,1))-AVERAGE(OFFSET($H$3,0,0,'Données projet'!$E$11+1,1))</f>
        <v>326.31232746914907</v>
      </c>
      <c r="BJ47" s="59">
        <f t="shared" si="38"/>
        <v>330.17137761430297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3.4618550378853596</v>
      </c>
      <c r="BQ47" s="21">
        <f>EXP(-LN(2)/25)*BQ46+(1-EXP(-LN(2)/25))/(LN(2)/25)*Calculateur!BL47*Calculateur!BN47*VLOOKUP('Données projet'!$B$11,Paramètres!$A$1:$I$89,3,0)*0.475*44/12</f>
        <v>20.466376096475141</v>
      </c>
      <c r="BR47" s="21">
        <f>EXP(-LN(2)/2)*BR46+(1-EXP(-LN(2)/2))/(LN(2)/2)*BL47*BO47*VLOOKUP('Données projet'!$B$11,Paramètres!$A$1:$I$89,3,0)*0.475*44/12</f>
        <v>0.25407881539402533</v>
      </c>
      <c r="BS47" s="22">
        <f t="shared" si="9"/>
        <v>24.182309949754526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11.5</v>
      </c>
      <c r="BY47" s="12">
        <f>IF('Données projet'!$A$114&gt;35,BY46+BX47-CG46,IF(A47&lt;'Données projet'!$A$114,$BV$205^A47,IF(A47='Données projet'!$A$114,'Données projet'!$B$114,BY46+BX47-CG46)))</f>
        <v>280.00000000000011</v>
      </c>
      <c r="BZ47" s="13">
        <f>BY47*VLOOKUP('Données projet'!$B$12,Paramètres!$A$1:$I$89,3,0)*VLOOKUP('Données projet'!$B$12,Paramètres!$A$1:$I$89,5,0)</f>
        <v>152.88000000000005</v>
      </c>
      <c r="CA47" s="13">
        <f t="shared" si="39"/>
        <v>39.232349774697852</v>
      </c>
      <c r="CB47" s="20">
        <f t="shared" si="10"/>
        <v>334.59567585759885</v>
      </c>
      <c r="CC47" s="59">
        <f t="shared" si="11"/>
        <v>627.92900919093222</v>
      </c>
      <c r="CD47" s="59">
        <f ca="1">AVERAGE(OFFSET($CC$3,0,0,'Données projet'!$E$12+1,1))-AVERAGE(OFFSET($H$3,0,0,'Données projet'!$E$12+1,1))</f>
        <v>210.04871822652808</v>
      </c>
      <c r="CE47" s="59">
        <f t="shared" si="40"/>
        <v>250.17540614049324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5.533112914675117</v>
      </c>
      <c r="CL47" s="21">
        <f>EXP(-LN(2)/25)*CL46+(1-EXP(-LN(2)/25))/(LN(2)/25)*Calculateur!CG47*Calculateur!CI47*VLOOKUP('Données projet'!$B$12,Paramètres!$A$1:$I$89,3,0)*0.475*44/12</f>
        <v>18.877633242112342</v>
      </c>
      <c r="CM47" s="21">
        <f>EXP(-LN(2)/2)*CM46+(1-EXP(-LN(2)/2))/(LN(2)/2)*CG47*CJ47*VLOOKUP('Données projet'!$B$12,Paramètres!$A$1:$I$89,3,0)*0.475*44/12</f>
        <v>0.1683897557605597</v>
      </c>
      <c r="CN47" s="22">
        <f t="shared" si="12"/>
        <v>24.579135912548022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7.7</v>
      </c>
      <c r="CT47" s="12">
        <f>IF('Données projet'!$A$140&gt;35,CT46+CS47-DB46,IF(A47&lt;'Données projet'!$A$140,$CQ$205^A47,IF(A47='Données projet'!$A$140,'Données projet'!$B$140,CT46+CS47-DB46)))</f>
        <v>194.79999999999981</v>
      </c>
      <c r="CU47" s="17">
        <f>CT47*VLOOKUP('Données projet'!$B$13,Paramètres!$A$1:$I$89,3,0)*VLOOKUP('Données projet'!$B$13,Paramètres!$A$1:$I$89,5,0)</f>
        <v>154.98287999999985</v>
      </c>
      <c r="CV47" s="13">
        <f t="shared" si="41"/>
        <v>39.708800288935478</v>
      </c>
      <c r="CW47" s="20">
        <f t="shared" si="13"/>
        <v>339.08800983656238</v>
      </c>
      <c r="CX47" s="59">
        <f t="shared" si="14"/>
        <v>632.42134316989564</v>
      </c>
      <c r="CY47" s="59">
        <f ca="1">AVERAGE(OFFSET($CX$3,0,0,'Données projet'!$E$13+1,1))-AVERAGE(OFFSET($H$3,0,0,'Données projet'!$E$13+1,1))</f>
        <v>199.58763537752952</v>
      </c>
      <c r="CZ47" s="59">
        <f t="shared" si="42"/>
        <v>242.62852778451929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6.9749651887233277</v>
      </c>
      <c r="DH47" s="21">
        <f>EXP(-LN(2)/2)*DH46+(1-EXP(-LN(2)/2))/(LN(2)/2)*DB47*DE47*VLOOKUP('Données projet'!$B$13,Paramètres!$A$1:$I$89,3,0)*0.475*44/12</f>
        <v>8.407467494703294E-2</v>
      </c>
      <c r="DI47" s="22">
        <f t="shared" si="15"/>
        <v>7.0590398636703604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12.8</v>
      </c>
      <c r="DO47" s="12">
        <f>IF('Données projet'!$A$166&gt;35,DO46+DN47-DW46,IF(A47&lt;'Données projet'!$A$166,$DL$205^A47,IF(A47='Données projet'!$A$166,'Données projet'!$B$166,DO46+DN47-DW46)))</f>
        <v>266.19999999999993</v>
      </c>
      <c r="DP47" s="17">
        <f>DO47*VLOOKUP('Données projet'!$B$14,Paramètres!$A$1:$I$89,3,0)*VLOOKUP('Données projet'!$B$14,Paramètres!$A$1:$I$89,5,0)</f>
        <v>159.18759999999997</v>
      </c>
      <c r="DQ47" s="13">
        <f t="shared" si="43"/>
        <v>40.659222067351315</v>
      </c>
      <c r="DR47" s="20">
        <f t="shared" si="16"/>
        <v>348.06654843397018</v>
      </c>
      <c r="DS47" s="59">
        <f t="shared" si="17"/>
        <v>641.39988176730344</v>
      </c>
      <c r="DT47" s="59">
        <f ca="1">AVERAGE(OFFSET($DS$3,0,0,'Données projet'!$E$14+1,1))-AVERAGE(OFFSET($H$3,0,0,'Données projet'!$E$14+1,1))</f>
        <v>216.94426559495264</v>
      </c>
      <c r="DU47" s="59">
        <f t="shared" si="44"/>
        <v>225.33715877618704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8.7156832694778448</v>
      </c>
      <c r="EC47" s="21">
        <f>EXP(-LN(2)/2)*EC46+(1-EXP(-LN(2)/2))/(LN(2)/2)*DW47*DZ47*VLOOKUP('Données projet'!$B$14,Paramètres!$A$1:$I$89,3,0)*0.475*44/12</f>
        <v>0.18538562401421071</v>
      </c>
      <c r="ED47" s="22">
        <f t="shared" si="18"/>
        <v>8.9010688934920559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23.4</v>
      </c>
      <c r="EJ47" s="12">
        <f>IF('Données projet'!$A$192&gt;35,EJ46+EI47-ER46,IF(A47&lt;'Données projet'!$A$192,$EG$205^A47,IF(A47='Données projet'!$A$192,'Données projet'!$B$192,EJ46+EI47-ER46)))</f>
        <v>409.60000000000008</v>
      </c>
      <c r="EK47" s="17">
        <f>EJ47*VLOOKUP('Données projet'!$B$15,Paramètres!$A$1:$I$89,3,0)*VLOOKUP('Données projet'!$B$15,Paramètres!$A$1:$I$89,5,0)</f>
        <v>197.01760000000004</v>
      </c>
      <c r="EL47" s="13">
        <f t="shared" si="45"/>
        <v>49.088154448552409</v>
      </c>
      <c r="EM47" s="20">
        <f t="shared" si="19"/>
        <v>428.63418899789554</v>
      </c>
      <c r="EN47" s="59">
        <f t="shared" si="20"/>
        <v>721.96752233122879</v>
      </c>
      <c r="EO47" s="59">
        <f ca="1">AVERAGE(OFFSET($EN$3,0,0,'Données projet'!$E$15+1,1))-AVERAGE(OFFSET($H$3,0,0,'Données projet'!$E$15+1,1))</f>
        <v>292.1792787220852</v>
      </c>
      <c r="EP47" s="59">
        <f t="shared" si="46"/>
        <v>273.69206144662144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5.1065237103691006</v>
      </c>
      <c r="EW47" s="21">
        <f>EXP(-LN(2)/25)*EW46+(1-EXP(-LN(2)/25))/(LN(2)/25)*Calculateur!ER47*Calculateur!ET47*VLOOKUP('Données projet'!$B$15,Paramètres!$A$1:$I$89,3,0)*0.475*44/12</f>
        <v>9.1049421540096969</v>
      </c>
      <c r="EX47" s="21">
        <f>EXP(-LN(2)/2)*EX46+(1-EXP(-LN(2)/2))/(LN(2)/2)*ER47*EU47*VLOOKUP('Données projet'!$B$15,Paramètres!$A$1:$I$89,3,0)*0.475*44/12</f>
        <v>0.16338112053306902</v>
      </c>
      <c r="EY47" s="22">
        <f t="shared" si="21"/>
        <v>14.374846984911867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11.499999999999996</v>
      </c>
      <c r="N48" s="13">
        <f>IF('Données projet'!$A$36&gt;35,N47+M48-V47,IF(A48&lt;'Données projet'!$A$36,$K$205^A48,IF(A48='Données projet'!$A$36,'Données projet'!$B$36,N47+M48-V47)))</f>
        <v>265.69999999999987</v>
      </c>
      <c r="O48" s="13">
        <f>N48*VLOOKUP('Données projet'!$B$9,Paramètres!$A$1:$I$89,3,0)*VLOOKUP('Données projet'!$B$9,Paramètres!$A$1:$I$89,5,0)</f>
        <v>124.34759999999994</v>
      </c>
      <c r="P48" s="13">
        <f t="shared" si="33"/>
        <v>32.68689576547478</v>
      </c>
      <c r="Q48" s="20">
        <f t="shared" si="53"/>
        <v>273.50174679153514</v>
      </c>
      <c r="R48" s="59">
        <f t="shared" si="0"/>
        <v>566.83508012486845</v>
      </c>
      <c r="S48" s="59">
        <f ca="1">AVERAGE(OFFSET($R$3,0,0,'Données projet'!$E$9+1,1))-AVERAGE(OFFSET($H$3,0,0,'Données projet'!$E$9+1,1))</f>
        <v>215.23235148064941</v>
      </c>
      <c r="T48" s="59">
        <f t="shared" si="34"/>
        <v>184.07239726900434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2.3289851795696257</v>
      </c>
      <c r="AA48" s="21">
        <f>EXP(-LN(2)/25)*AA47+(1-EXP(-LN(2)/25))/(LN(2)/25)*Calculateur!V48*Calculateur!X48*VLOOKUP('Données projet'!$B$9,Paramètres!$A$1:$I$89,3,0)*0.475*44/12</f>
        <v>5.1826736789442736</v>
      </c>
      <c r="AB48" s="21">
        <f>EXP(-LN(2)/2)*AB47+(1-EXP(-LN(2)/2))/(LN(2)/2)*V48*Y48*VLOOKUP('Données projet'!$B$9,Paramètres!$A$1:$I$89,3,0)*0.475*44/12</f>
        <v>5.4315614555001383E-2</v>
      </c>
      <c r="AC48" s="22">
        <f t="shared" si="3"/>
        <v>7.5659744730689003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-8.5265128291212022E-14</v>
      </c>
      <c r="AJ48" s="13">
        <f>AI48*VLOOKUP('Données projet'!$B$10,Paramètres!$A$1:$I$89,3,0)*VLOOKUP('Données projet'!$B$10,Paramètres!$A$1:$I$89,5,0)</f>
        <v>-7.7147888077888636E-14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225.28075317732998</v>
      </c>
      <c r="AO48" s="59">
        <f t="shared" si="36"/>
        <v>358.43407531256207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1.6669319890229728</v>
      </c>
      <c r="AV48" s="21">
        <f>EXP(-LN(2)/25)*AV47+(1-EXP(-LN(2)/25))/(LN(2)/25)*Calculateur!AQ48*Calculateur!AS48*VLOOKUP('Données projet'!$B$10,Paramètres!$A$1:$I$89,3,0)*0.475*44/12</f>
        <v>5.4575221138512751</v>
      </c>
      <c r="AW48" s="21">
        <f>EXP(-LN(2)/2)*AW47+(1-EXP(-LN(2)/2))/(LN(2)/2)*AQ48*AT48*VLOOKUP('Données projet'!$B$10,Paramètres!$A$1:$I$89,3,0)*0.475*44/12</f>
        <v>2.4384252052309027E-2</v>
      </c>
      <c r="AX48" s="21">
        <f t="shared" si="6"/>
        <v>7.1488383549265571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19.2</v>
      </c>
      <c r="BD48" s="12">
        <f>IF('Données projet'!$A$88&gt;35,BD47+BC48-BL47,IF(A48&lt;'Données projet'!$A$88,$BA$205^A48,IF(A48='Données projet'!$A$88,'Données projet'!$B$88,BD47+BC48-BL47)))</f>
        <v>412.99999999999983</v>
      </c>
      <c r="BE48" s="13">
        <f>BD48*VLOOKUP('Données projet'!$B$11,Paramètres!$A$1:$I$89,3,0)*VLOOKUP('Données projet'!$B$11,Paramètres!$A$1:$I$89,5,0)</f>
        <v>230.8669999999999</v>
      </c>
      <c r="BF48" s="13">
        <f t="shared" si="37"/>
        <v>56.470106131334084</v>
      </c>
      <c r="BG48" s="20">
        <f t="shared" si="7"/>
        <v>500.44545984540667</v>
      </c>
      <c r="BH48" s="59">
        <f t="shared" si="8"/>
        <v>793.77879317873999</v>
      </c>
      <c r="BI48" s="59">
        <f ca="1">AVERAGE(OFFSET($BH$3,0,0,'Données projet'!$E$11+1,1))-AVERAGE(OFFSET($H$3,0,0,'Données projet'!$E$11+1,1))</f>
        <v>326.31232746914907</v>
      </c>
      <c r="BJ48" s="59">
        <f t="shared" si="38"/>
        <v>330.17137761430297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3.3939701721155053</v>
      </c>
      <c r="BQ48" s="21">
        <f>EXP(-LN(2)/25)*BQ47+(1-EXP(-LN(2)/25))/(LN(2)/25)*Calculateur!BL48*Calculateur!BN48*VLOOKUP('Données projet'!$B$11,Paramètres!$A$1:$I$89,3,0)*0.475*44/12</f>
        <v>19.906721965837086</v>
      </c>
      <c r="BR48" s="21">
        <f>EXP(-LN(2)/2)*BR47+(1-EXP(-LN(2)/2))/(LN(2)/2)*BL48*BO48*VLOOKUP('Données projet'!$B$11,Paramètres!$A$1:$I$89,3,0)*0.475*44/12</f>
        <v>0.17966085332096027</v>
      </c>
      <c r="BS48" s="22">
        <f t="shared" si="9"/>
        <v>23.480352991273552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11.5</v>
      </c>
      <c r="BY48" s="12">
        <f>IF('Données projet'!$A$114&gt;35,BY47+BX48-CG47,IF(A48&lt;'Données projet'!$A$114,$BV$205^A48,IF(A48='Données projet'!$A$114,'Données projet'!$B$114,BY47+BX48-CG47)))</f>
        <v>291.50000000000011</v>
      </c>
      <c r="BZ48" s="13">
        <f>BY48*VLOOKUP('Données projet'!$B$12,Paramètres!$A$1:$I$89,3,0)*VLOOKUP('Données projet'!$B$12,Paramètres!$A$1:$I$89,5,0)</f>
        <v>159.15900000000008</v>
      </c>
      <c r="CA48" s="13">
        <f t="shared" si="39"/>
        <v>40.65276736661405</v>
      </c>
      <c r="CB48" s="20">
        <f t="shared" si="10"/>
        <v>348.00549483018625</v>
      </c>
      <c r="CC48" s="59">
        <f t="shared" si="11"/>
        <v>641.33882816351957</v>
      </c>
      <c r="CD48" s="59">
        <f ca="1">AVERAGE(OFFSET($CC$3,0,0,'Données projet'!$E$12+1,1))-AVERAGE(OFFSET($H$3,0,0,'Données projet'!$E$12+1,1))</f>
        <v>210.04871822652808</v>
      </c>
      <c r="CE48" s="59">
        <f t="shared" si="40"/>
        <v>250.17540614049324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5.4246119452839761</v>
      </c>
      <c r="CL48" s="21">
        <f>EXP(-LN(2)/25)*CL47+(1-EXP(-LN(2)/25))/(LN(2)/25)*Calculateur!CG48*Calculateur!CI48*VLOOKUP('Données projet'!$B$12,Paramètres!$A$1:$I$89,3,0)*0.475*44/12</f>
        <v>18.361423368375192</v>
      </c>
      <c r="CM48" s="21">
        <f>EXP(-LN(2)/2)*CM47+(1-EXP(-LN(2)/2))/(LN(2)/2)*CG48*CJ48*VLOOKUP('Données projet'!$B$12,Paramètres!$A$1:$I$89,3,0)*0.475*44/12</f>
        <v>0.11906953818063827</v>
      </c>
      <c r="CN48" s="22">
        <f t="shared" si="12"/>
        <v>23.905104851839809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7.7</v>
      </c>
      <c r="CT48" s="12">
        <f>IF('Données projet'!$A$140&gt;35,CT47+CS48-DB47,IF(A48&lt;'Données projet'!$A$140,$CQ$205^A48,IF(A48='Données projet'!$A$140,'Données projet'!$B$140,CT47+CS48-DB47)))</f>
        <v>202.4999999999998</v>
      </c>
      <c r="CU48" s="17">
        <f>CT48*VLOOKUP('Données projet'!$B$13,Paramètres!$A$1:$I$89,3,0)*VLOOKUP('Données projet'!$B$13,Paramètres!$A$1:$I$89,5,0)</f>
        <v>161.10899999999987</v>
      </c>
      <c r="CV48" s="13">
        <f t="shared" si="41"/>
        <v>41.092552806229506</v>
      </c>
      <c r="CW48" s="20">
        <f t="shared" si="13"/>
        <v>352.16770447084946</v>
      </c>
      <c r="CX48" s="59">
        <f t="shared" si="14"/>
        <v>645.50103780418272</v>
      </c>
      <c r="CY48" s="59">
        <f ca="1">AVERAGE(OFFSET($CX$3,0,0,'Données projet'!$E$13+1,1))-AVERAGE(OFFSET($H$3,0,0,'Données projet'!$E$13+1,1))</f>
        <v>199.58763537752952</v>
      </c>
      <c r="CZ48" s="59">
        <f t="shared" si="42"/>
        <v>242.62852778451929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6.7842343988402103</v>
      </c>
      <c r="DH48" s="21">
        <f>EXP(-LN(2)/2)*DH47+(1-EXP(-LN(2)/2))/(LN(2)/2)*DB48*DE48*VLOOKUP('Données projet'!$B$13,Paramètres!$A$1:$I$89,3,0)*0.475*44/12</f>
        <v>5.9449772781101737E-2</v>
      </c>
      <c r="DI48" s="22">
        <f t="shared" si="15"/>
        <v>6.8436841716213124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12.8</v>
      </c>
      <c r="DO48" s="12">
        <f>IF('Données projet'!$A$166&gt;35,DO47+DN48-DW47,IF(A48&lt;'Données projet'!$A$166,$DL$205^A48,IF(A48='Données projet'!$A$166,'Données projet'!$B$166,DO47+DN48-DW47)))</f>
        <v>278.99999999999994</v>
      </c>
      <c r="DP48" s="17">
        <f>DO48*VLOOKUP('Données projet'!$B$14,Paramètres!$A$1:$I$89,3,0)*VLOOKUP('Données projet'!$B$14,Paramètres!$A$1:$I$89,5,0)</f>
        <v>166.84199999999998</v>
      </c>
      <c r="DQ48" s="13">
        <f t="shared" si="43"/>
        <v>42.381966615760334</v>
      </c>
      <c r="DR48" s="20">
        <f t="shared" si="16"/>
        <v>364.39840852244924</v>
      </c>
      <c r="DS48" s="59">
        <f t="shared" si="17"/>
        <v>657.7317418557825</v>
      </c>
      <c r="DT48" s="59">
        <f ca="1">AVERAGE(OFFSET($DS$3,0,0,'Données projet'!$E$14+1,1))-AVERAGE(OFFSET($H$3,0,0,'Données projet'!$E$14+1,1))</f>
        <v>216.94426559495264</v>
      </c>
      <c r="DU48" s="59">
        <f t="shared" si="44"/>
        <v>225.33715877618704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8.4773524521361097</v>
      </c>
      <c r="EC48" s="21">
        <f>EXP(-LN(2)/2)*EC47+(1-EXP(-LN(2)/2))/(LN(2)/2)*DW48*DZ48*VLOOKUP('Données projet'!$B$14,Paramètres!$A$1:$I$89,3,0)*0.475*44/12</f>
        <v>0.13108743187494806</v>
      </c>
      <c r="ED48" s="22">
        <f t="shared" si="18"/>
        <v>8.608439884011057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23.4</v>
      </c>
      <c r="EJ48" s="12">
        <f>IF('Données projet'!$A$192&gt;35,EJ47+EI48-ER47,IF(A48&lt;'Données projet'!$A$192,$EG$205^A48,IF(A48='Données projet'!$A$192,'Données projet'!$B$192,EJ47+EI48-ER47)))</f>
        <v>433.00000000000006</v>
      </c>
      <c r="EK48" s="17">
        <f>EJ48*VLOOKUP('Données projet'!$B$15,Paramètres!$A$1:$I$89,3,0)*VLOOKUP('Données projet'!$B$15,Paramètres!$A$1:$I$89,5,0)</f>
        <v>208.27300000000002</v>
      </c>
      <c r="EL48" s="13">
        <f t="shared" si="45"/>
        <v>51.558011562434125</v>
      </c>
      <c r="EM48" s="20">
        <f t="shared" si="19"/>
        <v>452.53901180457274</v>
      </c>
      <c r="EN48" s="59">
        <f t="shared" si="20"/>
        <v>745.872345137906</v>
      </c>
      <c r="EO48" s="59">
        <f ca="1">AVERAGE(OFFSET($EN$3,0,0,'Données projet'!$E$15+1,1))-AVERAGE(OFFSET($H$3,0,0,'Données projet'!$E$15+1,1))</f>
        <v>292.1792787220852</v>
      </c>
      <c r="EP48" s="59">
        <f t="shared" si="46"/>
        <v>273.69206144662144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5.0063878950806773</v>
      </c>
      <c r="EW48" s="21">
        <f>EXP(-LN(2)/25)*EW47+(1-EXP(-LN(2)/25))/(LN(2)/25)*Calculateur!ER48*Calculateur!ET48*VLOOKUP('Données projet'!$B$15,Paramètres!$A$1:$I$89,3,0)*0.475*44/12</f>
        <v>8.8559670320002031</v>
      </c>
      <c r="EX48" s="21">
        <f>EXP(-LN(2)/2)*EX47+(1-EXP(-LN(2)/2))/(LN(2)/2)*ER48*EU48*VLOOKUP('Données projet'!$B$15,Paramètres!$A$1:$I$89,3,0)*0.475*44/12</f>
        <v>0.11552789824678979</v>
      </c>
      <c r="EY48" s="22">
        <f t="shared" si="21"/>
        <v>13.977882825327669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11.499999999999996</v>
      </c>
      <c r="N49" s="13">
        <f>IF('Données projet'!$A$36&gt;35,N48+M49-V48,IF(A49&lt;'Données projet'!$A$36,$K$205^A49,IF(A49='Données projet'!$A$36,'Données projet'!$B$36,N48+M49-V48)))</f>
        <v>277.19999999999987</v>
      </c>
      <c r="O49" s="13">
        <f>N49*VLOOKUP('Données projet'!$B$9,Paramètres!$A$1:$I$89,3,0)*VLOOKUP('Données projet'!$B$9,Paramètres!$A$1:$I$89,5,0)</f>
        <v>129.72959999999992</v>
      </c>
      <c r="P49" s="13">
        <f t="shared" si="33"/>
        <v>33.933870261867483</v>
      </c>
      <c r="Q49" s="20">
        <f t="shared" si="53"/>
        <v>285.04721070608576</v>
      </c>
      <c r="R49" s="59">
        <f t="shared" si="0"/>
        <v>578.38054403941908</v>
      </c>
      <c r="S49" s="59">
        <f ca="1">AVERAGE(OFFSET($R$3,0,0,'Données projet'!$E$9+1,1))-AVERAGE(OFFSET($H$3,0,0,'Données projet'!$E$9+1,1))</f>
        <v>215.23235148064941</v>
      </c>
      <c r="T49" s="59">
        <f t="shared" si="34"/>
        <v>184.07239726900434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2.2833152007389583</v>
      </c>
      <c r="AA49" s="21">
        <f>EXP(-LN(2)/25)*AA48+(1-EXP(-LN(2)/25))/(LN(2)/25)*Calculateur!V49*Calculateur!X49*VLOOKUP('Données projet'!$B$9,Paramètres!$A$1:$I$89,3,0)*0.475*44/12</f>
        <v>5.040953194648579</v>
      </c>
      <c r="AB49" s="21">
        <f>EXP(-LN(2)/2)*AB48+(1-EXP(-LN(2)/2))/(LN(2)/2)*V49*Y49*VLOOKUP('Données projet'!$B$9,Paramètres!$A$1:$I$89,3,0)*0.475*44/12</f>
        <v>3.8406939376156218E-2</v>
      </c>
      <c r="AC49" s="22">
        <f t="shared" si="3"/>
        <v>7.3626753347636944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-8.5265128291212022E-14</v>
      </c>
      <c r="AJ49" s="13">
        <f>AI49*VLOOKUP('Données projet'!$B$10,Paramètres!$A$1:$I$89,3,0)*VLOOKUP('Données projet'!$B$10,Paramètres!$A$1:$I$89,5,0)</f>
        <v>-7.7147888077888636E-14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225.28075317732998</v>
      </c>
      <c r="AO49" s="59">
        <f t="shared" si="36"/>
        <v>358.43407531256207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1.634244469446352</v>
      </c>
      <c r="AV49" s="21">
        <f>EXP(-LN(2)/25)*AV48+(1-EXP(-LN(2)/25))/(LN(2)/25)*Calculateur!AQ49*Calculateur!AS49*VLOOKUP('Données projet'!$B$10,Paramètres!$A$1:$I$89,3,0)*0.475*44/12</f>
        <v>5.308285884649397</v>
      </c>
      <c r="AW49" s="21">
        <f>EXP(-LN(2)/2)*AW48+(1-EXP(-LN(2)/2))/(LN(2)/2)*AQ49*AT49*VLOOKUP('Données projet'!$B$10,Paramètres!$A$1:$I$89,3,0)*0.475*44/12</f>
        <v>1.7242269980349702E-2</v>
      </c>
      <c r="AX49" s="21">
        <f t="shared" si="6"/>
        <v>6.9597726240760984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19.2</v>
      </c>
      <c r="BD49" s="12">
        <f>IF('Données projet'!$A$88&gt;35,BD48+BC49-BL48,IF(A49&lt;'Données projet'!$A$88,$BA$205^A49,IF(A49='Données projet'!$A$88,'Données projet'!$B$88,BD48+BC49-BL48)))</f>
        <v>432.19999999999982</v>
      </c>
      <c r="BE49" s="13">
        <f>BD49*VLOOKUP('Données projet'!$B$11,Paramètres!$A$1:$I$89,3,0)*VLOOKUP('Données projet'!$B$11,Paramètres!$A$1:$I$89,5,0)</f>
        <v>241.5997999999999</v>
      </c>
      <c r="BF49" s="13">
        <f t="shared" si="37"/>
        <v>58.783602040793284</v>
      </c>
      <c r="BG49" s="20">
        <f t="shared" si="7"/>
        <v>523.16775855438141</v>
      </c>
      <c r="BH49" s="59">
        <f t="shared" si="8"/>
        <v>816.50109188771467</v>
      </c>
      <c r="BI49" s="59">
        <f ca="1">AVERAGE(OFFSET($BH$3,0,0,'Données projet'!$E$11+1,1))-AVERAGE(OFFSET($H$3,0,0,'Données projet'!$E$11+1,1))</f>
        <v>326.31232746914907</v>
      </c>
      <c r="BJ49" s="59">
        <f t="shared" si="38"/>
        <v>330.17137761430297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3.3274164871577181</v>
      </c>
      <c r="BQ49" s="21">
        <f>EXP(-LN(2)/25)*BQ48+(1-EXP(-LN(2)/25))/(LN(2)/25)*Calculateur!BL49*Calculateur!BN49*VLOOKUP('Données projet'!$B$11,Paramètres!$A$1:$I$89,3,0)*0.475*44/12</f>
        <v>19.362371606832259</v>
      </c>
      <c r="BR49" s="21">
        <f>EXP(-LN(2)/2)*BR48+(1-EXP(-LN(2)/2))/(LN(2)/2)*BL49*BO49*VLOOKUP('Données projet'!$B$11,Paramètres!$A$1:$I$89,3,0)*0.475*44/12</f>
        <v>0.12703940769701266</v>
      </c>
      <c r="BS49" s="22">
        <f t="shared" si="9"/>
        <v>22.816827501686987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11.5</v>
      </c>
      <c r="BY49" s="12">
        <f>IF('Données projet'!$A$114&gt;35,BY48+BX49-CG48,IF(A49&lt;'Données projet'!$A$114,$BV$205^A49,IF(A49='Données projet'!$A$114,'Données projet'!$B$114,BY48+BX49-CG48)))</f>
        <v>303.00000000000011</v>
      </c>
      <c r="BZ49" s="13">
        <f>BY49*VLOOKUP('Données projet'!$B$12,Paramètres!$A$1:$I$89,3,0)*VLOOKUP('Données projet'!$B$12,Paramètres!$A$1:$I$89,5,0)</f>
        <v>165.43800000000007</v>
      </c>
      <c r="CA49" s="13">
        <f t="shared" si="39"/>
        <v>42.066675415215805</v>
      </c>
      <c r="CB49" s="20">
        <f t="shared" si="10"/>
        <v>361.40397634816759</v>
      </c>
      <c r="CC49" s="59">
        <f t="shared" si="11"/>
        <v>654.73730968150085</v>
      </c>
      <c r="CD49" s="59">
        <f ca="1">AVERAGE(OFFSET($CC$3,0,0,'Données projet'!$E$12+1,1))-AVERAGE(OFFSET($H$3,0,0,'Données projet'!$E$12+1,1))</f>
        <v>210.04871822652808</v>
      </c>
      <c r="CE49" s="59">
        <f t="shared" si="40"/>
        <v>250.17540614049324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5.3182386137235387</v>
      </c>
      <c r="CL49" s="21">
        <f>EXP(-LN(2)/25)*CL48+(1-EXP(-LN(2)/25))/(LN(2)/25)*Calculateur!CG49*Calculateur!CI49*VLOOKUP('Données projet'!$B$12,Paramètres!$A$1:$I$89,3,0)*0.475*44/12</f>
        <v>17.859329280781683</v>
      </c>
      <c r="CM49" s="21">
        <f>EXP(-LN(2)/2)*CM48+(1-EXP(-LN(2)/2))/(LN(2)/2)*CG49*CJ49*VLOOKUP('Données projet'!$B$12,Paramètres!$A$1:$I$89,3,0)*0.475*44/12</f>
        <v>8.4194877880279864E-2</v>
      </c>
      <c r="CN49" s="22">
        <f t="shared" si="12"/>
        <v>23.261762772385502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7.7</v>
      </c>
      <c r="CT49" s="12">
        <f>IF('Données projet'!$A$140&gt;35,CT48+CS49-DB48,IF(A49&lt;'Données projet'!$A$140,$CQ$205^A49,IF(A49='Données projet'!$A$140,'Données projet'!$B$140,CT48+CS49-DB48)))</f>
        <v>210.19999999999979</v>
      </c>
      <c r="CU49" s="17">
        <f>CT49*VLOOKUP('Données projet'!$B$13,Paramètres!$A$1:$I$89,3,0)*VLOOKUP('Données projet'!$B$13,Paramètres!$A$1:$I$89,5,0)</f>
        <v>167.23511999999985</v>
      </c>
      <c r="CV49" s="13">
        <f t="shared" si="41"/>
        <v>42.470192710511569</v>
      </c>
      <c r="CW49" s="20">
        <f t="shared" si="13"/>
        <v>365.23675297080734</v>
      </c>
      <c r="CX49" s="59">
        <f t="shared" si="14"/>
        <v>658.57008630414066</v>
      </c>
      <c r="CY49" s="59">
        <f ca="1">AVERAGE(OFFSET($CX$3,0,0,'Données projet'!$E$13+1,1))-AVERAGE(OFFSET($H$3,0,0,'Données projet'!$E$13+1,1))</f>
        <v>199.58763537752952</v>
      </c>
      <c r="CZ49" s="59">
        <f t="shared" si="42"/>
        <v>242.62852778451929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6.5987191524365434</v>
      </c>
      <c r="DH49" s="21">
        <f>EXP(-LN(2)/2)*DH48+(1-EXP(-LN(2)/2))/(LN(2)/2)*DB49*DE49*VLOOKUP('Données projet'!$B$13,Paramètres!$A$1:$I$89,3,0)*0.475*44/12</f>
        <v>4.2037337473516477E-2</v>
      </c>
      <c r="DI49" s="22">
        <f t="shared" si="15"/>
        <v>6.6407564899100597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12.8</v>
      </c>
      <c r="DO49" s="12">
        <f>IF('Données projet'!$A$166&gt;35,DO48+DN49-DW48,IF(A49&lt;'Données projet'!$A$166,$DL$205^A49,IF(A49='Données projet'!$A$166,'Données projet'!$B$166,DO48+DN49-DW48)))</f>
        <v>291.79999999999995</v>
      </c>
      <c r="DP49" s="17">
        <f>DO49*VLOOKUP('Données projet'!$B$14,Paramètres!$A$1:$I$89,3,0)*VLOOKUP('Données projet'!$B$14,Paramètres!$A$1:$I$89,5,0)</f>
        <v>174.49639999999999</v>
      </c>
      <c r="DQ49" s="13">
        <f t="shared" si="43"/>
        <v>44.095532458716939</v>
      </c>
      <c r="DR49" s="20">
        <f t="shared" si="16"/>
        <v>380.71428236559865</v>
      </c>
      <c r="DS49" s="59">
        <f t="shared" si="17"/>
        <v>674.04761569893196</v>
      </c>
      <c r="DT49" s="59">
        <f ca="1">AVERAGE(OFFSET($DS$3,0,0,'Données projet'!$E$14+1,1))-AVERAGE(OFFSET($H$3,0,0,'Données projet'!$E$14+1,1))</f>
        <v>216.94426559495264</v>
      </c>
      <c r="DU49" s="59">
        <f t="shared" si="44"/>
        <v>225.33715877618704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8.2455388035278574</v>
      </c>
      <c r="EC49" s="21">
        <f>EXP(-LN(2)/2)*EC48+(1-EXP(-LN(2)/2))/(LN(2)/2)*DW49*DZ49*VLOOKUP('Données projet'!$B$14,Paramètres!$A$1:$I$89,3,0)*0.475*44/12</f>
        <v>9.2692812007105357E-2</v>
      </c>
      <c r="ED49" s="22">
        <f t="shared" si="18"/>
        <v>8.3382316155349621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23.4</v>
      </c>
      <c r="EJ49" s="12">
        <f>IF('Données projet'!$A$192&gt;35,EJ48+EI49-ER48,IF(A49&lt;'Données projet'!$A$192,$EG$205^A49,IF(A49='Données projet'!$A$192,'Données projet'!$B$192,EJ48+EI49-ER48)))</f>
        <v>456.40000000000003</v>
      </c>
      <c r="EK49" s="17">
        <f>EJ49*VLOOKUP('Données projet'!$B$15,Paramètres!$A$1:$I$89,3,0)*VLOOKUP('Données projet'!$B$15,Paramètres!$A$1:$I$89,5,0)</f>
        <v>219.52840000000003</v>
      </c>
      <c r="EL49" s="13">
        <f t="shared" si="45"/>
        <v>54.012372992613365</v>
      </c>
      <c r="EM49" s="20">
        <f t="shared" si="19"/>
        <v>476.4168462954683</v>
      </c>
      <c r="EN49" s="59">
        <f t="shared" si="20"/>
        <v>769.75017962880156</v>
      </c>
      <c r="EO49" s="59">
        <f ca="1">AVERAGE(OFFSET($EN$3,0,0,'Données projet'!$E$15+1,1))-AVERAGE(OFFSET($H$3,0,0,'Données projet'!$E$15+1,1))</f>
        <v>292.1792787220852</v>
      </c>
      <c r="EP49" s="59">
        <f t="shared" si="46"/>
        <v>273.69206144662144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4.9082156820532434</v>
      </c>
      <c r="EW49" s="21">
        <f>EXP(-LN(2)/25)*EW48+(1-EXP(-LN(2)/25))/(LN(2)/25)*Calculateur!ER49*Calculateur!ET49*VLOOKUP('Données projet'!$B$15,Paramètres!$A$1:$I$89,3,0)*0.475*44/12</f>
        <v>8.6138001477950912</v>
      </c>
      <c r="EX49" s="21">
        <f>EXP(-LN(2)/2)*EX48+(1-EXP(-LN(2)/2))/(LN(2)/2)*ER49*EU49*VLOOKUP('Données projet'!$B$15,Paramètres!$A$1:$I$89,3,0)*0.475*44/12</f>
        <v>8.1690560266534512E-2</v>
      </c>
      <c r="EY49" s="22">
        <f t="shared" si="21"/>
        <v>13.603706390114869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11.499999999999996</v>
      </c>
      <c r="N50" s="13">
        <f>IF('Données projet'!$A$36&gt;35,N49+M50-V49,IF(A50&lt;'Données projet'!$A$36,$K$205^A50,IF(A50='Données projet'!$A$36,'Données projet'!$B$36,N49+M50-V49)))</f>
        <v>288.69999999999987</v>
      </c>
      <c r="O50" s="13">
        <f>N50*VLOOKUP('Données projet'!$B$9,Paramètres!$A$1:$I$89,3,0)*VLOOKUP('Données projet'!$B$9,Paramètres!$A$1:$I$89,5,0)</f>
        <v>135.11159999999992</v>
      </c>
      <c r="P50" s="13">
        <f t="shared" si="33"/>
        <v>35.174835808562257</v>
      </c>
      <c r="Q50" s="20">
        <f t="shared" si="53"/>
        <v>296.58220903324576</v>
      </c>
      <c r="R50" s="59">
        <f t="shared" si="0"/>
        <v>589.91554236657907</v>
      </c>
      <c r="S50" s="59">
        <f ca="1">AVERAGE(OFFSET($R$3,0,0,'Données projet'!$E$9+1,1))-AVERAGE(OFFSET($H$3,0,0,'Données projet'!$E$9+1,1))</f>
        <v>215.23235148064941</v>
      </c>
      <c r="T50" s="59">
        <f t="shared" si="34"/>
        <v>184.07239726900434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2.2385407823372234</v>
      </c>
      <c r="AA50" s="21">
        <f>EXP(-LN(2)/25)*AA49+(1-EXP(-LN(2)/25))/(LN(2)/25)*Calculateur!V50*Calculateur!X50*VLOOKUP('Données projet'!$B$9,Paramètres!$A$1:$I$89,3,0)*0.475*44/12</f>
        <v>4.9031080644487064</v>
      </c>
      <c r="AB50" s="21">
        <f>EXP(-LN(2)/2)*AB49+(1-EXP(-LN(2)/2))/(LN(2)/2)*V50*Y50*VLOOKUP('Données projet'!$B$9,Paramètres!$A$1:$I$89,3,0)*0.475*44/12</f>
        <v>2.7157807277500692E-2</v>
      </c>
      <c r="AC50" s="22">
        <f t="shared" si="3"/>
        <v>7.168806654063431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-8.5265128291212022E-14</v>
      </c>
      <c r="AJ50" s="13">
        <f>AI50*VLOOKUP('Données projet'!$B$10,Paramètres!$A$1:$I$89,3,0)*VLOOKUP('Données projet'!$B$10,Paramètres!$A$1:$I$89,5,0)</f>
        <v>-7.7147888077888636E-14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225.28075317732998</v>
      </c>
      <c r="AO50" s="59">
        <f t="shared" si="36"/>
        <v>358.43407531256207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1.6021979321912105</v>
      </c>
      <c r="AV50" s="21">
        <f>EXP(-LN(2)/25)*AV49+(1-EXP(-LN(2)/25))/(LN(2)/25)*Calculateur!AQ50*Calculateur!AS50*VLOOKUP('Données projet'!$B$10,Paramètres!$A$1:$I$89,3,0)*0.475*44/12</f>
        <v>5.1631305279830366</v>
      </c>
      <c r="AW50" s="21">
        <f>EXP(-LN(2)/2)*AW49+(1-EXP(-LN(2)/2))/(LN(2)/2)*AQ50*AT50*VLOOKUP('Données projet'!$B$10,Paramètres!$A$1:$I$89,3,0)*0.475*44/12</f>
        <v>1.2192126026154514E-2</v>
      </c>
      <c r="AX50" s="21">
        <f t="shared" si="6"/>
        <v>6.777520586200402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19.2</v>
      </c>
      <c r="BD50" s="12">
        <f>IF('Données projet'!$A$88&gt;35,BD49+BC50-BL49,IF(A50&lt;'Données projet'!$A$88,$BA$205^A50,IF(A50='Données projet'!$A$88,'Données projet'!$B$88,BD49+BC50-BL49)))</f>
        <v>451.39999999999981</v>
      </c>
      <c r="BE50" s="13">
        <f>BD50*VLOOKUP('Données projet'!$B$11,Paramètres!$A$1:$I$89,3,0)*VLOOKUP('Données projet'!$B$11,Paramètres!$A$1:$I$89,5,0)</f>
        <v>252.3325999999999</v>
      </c>
      <c r="BF50" s="13">
        <f t="shared" si="37"/>
        <v>61.08516173401626</v>
      </c>
      <c r="BG50" s="20">
        <f t="shared" si="7"/>
        <v>545.86926835341148</v>
      </c>
      <c r="BH50" s="59">
        <f t="shared" si="8"/>
        <v>839.20260168674486</v>
      </c>
      <c r="BI50" s="59">
        <f ca="1">AVERAGE(OFFSET($BH$3,0,0,'Données projet'!$E$11+1,1))-AVERAGE(OFFSET($H$3,0,0,'Données projet'!$E$11+1,1))</f>
        <v>326.31232746914907</v>
      </c>
      <c r="BJ50" s="59">
        <f t="shared" si="38"/>
        <v>330.17137761430297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3.2621678793682136</v>
      </c>
      <c r="BQ50" s="21">
        <f>EXP(-LN(2)/25)*BQ49+(1-EXP(-LN(2)/25))/(LN(2)/25)*Calculateur!BL50*Calculateur!BN50*VLOOKUP('Données projet'!$B$11,Paramètres!$A$1:$I$89,3,0)*0.475*44/12</f>
        <v>18.832906537020563</v>
      </c>
      <c r="BR50" s="21">
        <f>EXP(-LN(2)/2)*BR49+(1-EXP(-LN(2)/2))/(LN(2)/2)*BL50*BO50*VLOOKUP('Données projet'!$B$11,Paramètres!$A$1:$I$89,3,0)*0.475*44/12</f>
        <v>8.9830426660480134E-2</v>
      </c>
      <c r="BS50" s="22">
        <f t="shared" si="9"/>
        <v>22.184904843049257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11.5</v>
      </c>
      <c r="BY50" s="12">
        <f>IF('Données projet'!$A$114&gt;35,BY49+BX50-CG49,IF(A50&lt;'Données projet'!$A$114,$BV$205^A50,IF(A50='Données projet'!$A$114,'Données projet'!$B$114,BY49+BX50-CG49)))</f>
        <v>314.50000000000011</v>
      </c>
      <c r="BZ50" s="13">
        <f>BY50*VLOOKUP('Données projet'!$B$12,Paramètres!$A$1:$I$89,3,0)*VLOOKUP('Données projet'!$B$12,Paramètres!$A$1:$I$89,5,0)</f>
        <v>171.71700000000004</v>
      </c>
      <c r="CA50" s="13">
        <f t="shared" si="39"/>
        <v>43.474349266591211</v>
      </c>
      <c r="CB50" s="20">
        <f t="shared" si="10"/>
        <v>374.79159997264645</v>
      </c>
      <c r="CC50" s="59">
        <f t="shared" si="11"/>
        <v>668.12493330597977</v>
      </c>
      <c r="CD50" s="59">
        <f ca="1">AVERAGE(OFFSET($CC$3,0,0,'Données projet'!$E$12+1,1))-AVERAGE(OFFSET($H$3,0,0,'Données projet'!$E$12+1,1))</f>
        <v>210.04871822652808</v>
      </c>
      <c r="CE50" s="59">
        <f t="shared" si="40"/>
        <v>250.17540614049324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5.2139511983136755</v>
      </c>
      <c r="CL50" s="21">
        <f>EXP(-LN(2)/25)*CL49+(1-EXP(-LN(2)/25))/(LN(2)/25)*Calculateur!CG50*Calculateur!CI50*VLOOKUP('Données projet'!$B$12,Paramètres!$A$1:$I$89,3,0)*0.475*44/12</f>
        <v>17.370964982417398</v>
      </c>
      <c r="CM50" s="21">
        <f>EXP(-LN(2)/2)*CM49+(1-EXP(-LN(2)/2))/(LN(2)/2)*CG50*CJ50*VLOOKUP('Données projet'!$B$12,Paramètres!$A$1:$I$89,3,0)*0.475*44/12</f>
        <v>5.9534769090319149E-2</v>
      </c>
      <c r="CN50" s="22">
        <f t="shared" si="12"/>
        <v>22.644450949821394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7.7</v>
      </c>
      <c r="CT50" s="12">
        <f>IF('Données projet'!$A$140&gt;35,CT49+CS50-DB49,IF(A50&lt;'Données projet'!$A$140,$CQ$205^A50,IF(A50='Données projet'!$A$140,'Données projet'!$B$140,CT49+CS50-DB49)))</f>
        <v>217.89999999999978</v>
      </c>
      <c r="CU50" s="17">
        <f>CT50*VLOOKUP('Données projet'!$B$13,Paramètres!$A$1:$I$89,3,0)*VLOOKUP('Données projet'!$B$13,Paramètres!$A$1:$I$89,5,0)</f>
        <v>173.36123999999984</v>
      </c>
      <c r="CV50" s="13">
        <f t="shared" si="41"/>
        <v>43.841969562839758</v>
      </c>
      <c r="CW50" s="20">
        <f t="shared" si="13"/>
        <v>378.29558998861233</v>
      </c>
      <c r="CX50" s="59">
        <f t="shared" si="14"/>
        <v>671.62892332194565</v>
      </c>
      <c r="CY50" s="59">
        <f ca="1">AVERAGE(OFFSET($CX$3,0,0,'Données projet'!$E$13+1,1))-AVERAGE(OFFSET($H$3,0,0,'Données projet'!$E$13+1,1))</f>
        <v>199.58763537752952</v>
      </c>
      <c r="CZ50" s="59">
        <f t="shared" si="42"/>
        <v>242.62852778451929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6.4182768302016076</v>
      </c>
      <c r="DH50" s="21">
        <f>EXP(-LN(2)/2)*DH49+(1-EXP(-LN(2)/2))/(LN(2)/2)*DB50*DE50*VLOOKUP('Données projet'!$B$13,Paramètres!$A$1:$I$89,3,0)*0.475*44/12</f>
        <v>2.9724886390550872E-2</v>
      </c>
      <c r="DI50" s="22">
        <f t="shared" si="15"/>
        <v>6.4480017165921586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12.8</v>
      </c>
      <c r="DO50" s="12">
        <f>IF('Données projet'!$A$166&gt;35,DO49+DN50-DW49,IF(A50&lt;'Données projet'!$A$166,$DL$205^A50,IF(A50='Données projet'!$A$166,'Données projet'!$B$166,DO49+DN50-DW49)))</f>
        <v>304.59999999999997</v>
      </c>
      <c r="DP50" s="17">
        <f>DO50*VLOOKUP('Données projet'!$B$14,Paramètres!$A$1:$I$89,3,0)*VLOOKUP('Données projet'!$B$14,Paramètres!$A$1:$I$89,5,0)</f>
        <v>182.15079999999998</v>
      </c>
      <c r="DQ50" s="13">
        <f t="shared" si="43"/>
        <v>45.800368240506849</v>
      </c>
      <c r="DR50" s="20">
        <f t="shared" si="16"/>
        <v>397.01495135221603</v>
      </c>
      <c r="DS50" s="59">
        <f t="shared" si="17"/>
        <v>690.34828468554929</v>
      </c>
      <c r="DT50" s="59">
        <f ca="1">AVERAGE(OFFSET($DS$3,0,0,'Données projet'!$E$14+1,1))-AVERAGE(OFFSET($H$3,0,0,'Données projet'!$E$14+1,1))</f>
        <v>216.94426559495264</v>
      </c>
      <c r="DU50" s="59">
        <f t="shared" si="44"/>
        <v>225.33715877618704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8.0200641113313473</v>
      </c>
      <c r="EC50" s="21">
        <f>EXP(-LN(2)/2)*EC49+(1-EXP(-LN(2)/2))/(LN(2)/2)*DW50*DZ50*VLOOKUP('Données projet'!$B$14,Paramètres!$A$1:$I$89,3,0)*0.475*44/12</f>
        <v>6.5543715937474031E-2</v>
      </c>
      <c r="ED50" s="22">
        <f t="shared" si="18"/>
        <v>8.0856078272688219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23.4</v>
      </c>
      <c r="EJ50" s="12">
        <f>IF('Données projet'!$A$192&gt;35,EJ49+EI50-ER49,IF(A50&lt;'Données projet'!$A$192,$EG$205^A50,IF(A50='Données projet'!$A$192,'Données projet'!$B$192,EJ49+EI50-ER49)))</f>
        <v>479.8</v>
      </c>
      <c r="EK50" s="17">
        <f>EJ50*VLOOKUP('Données projet'!$B$15,Paramètres!$A$1:$I$89,3,0)*VLOOKUP('Données projet'!$B$15,Paramètres!$A$1:$I$89,5,0)</f>
        <v>230.78380000000001</v>
      </c>
      <c r="EL50" s="13">
        <f t="shared" si="45"/>
        <v>56.452123845857628</v>
      </c>
      <c r="EM50" s="20">
        <f t="shared" si="19"/>
        <v>500.2692340315354</v>
      </c>
      <c r="EN50" s="59">
        <f t="shared" si="20"/>
        <v>793.60256736486872</v>
      </c>
      <c r="EO50" s="59">
        <f ca="1">AVERAGE(OFFSET($EN$3,0,0,'Données projet'!$E$15+1,1))-AVERAGE(OFFSET($H$3,0,0,'Données projet'!$E$15+1,1))</f>
        <v>292.1792787220852</v>
      </c>
      <c r="EP50" s="59">
        <f t="shared" si="46"/>
        <v>273.69206144662144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4.8119685662441407</v>
      </c>
      <c r="EW50" s="21">
        <f>EXP(-LN(2)/25)*EW49+(1-EXP(-LN(2)/25))/(LN(2)/25)*Calculateur!ER50*Calculateur!ET50*VLOOKUP('Données projet'!$B$15,Paramètres!$A$1:$I$89,3,0)*0.475*44/12</f>
        <v>8.3782553297735713</v>
      </c>
      <c r="EX50" s="21">
        <f>EXP(-LN(2)/2)*EX49+(1-EXP(-LN(2)/2))/(LN(2)/2)*ER50*EU50*VLOOKUP('Données projet'!$B$15,Paramètres!$A$1:$I$89,3,0)*0.475*44/12</f>
        <v>5.7763949123394893E-2</v>
      </c>
      <c r="EY50" s="22">
        <f t="shared" si="21"/>
        <v>13.247987845141107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11.499999999999996</v>
      </c>
      <c r="N51" s="13">
        <f>IF('Données projet'!$A$36&gt;35,N50+M51-V50,IF(A51&lt;'Données projet'!$A$36,$K$205^A51,IF(A51='Données projet'!$A$36,'Données projet'!$B$36,N50+M51-V50)))</f>
        <v>300.19999999999987</v>
      </c>
      <c r="O51" s="13">
        <f>N51*VLOOKUP('Données projet'!$B$9,Paramètres!$A$1:$I$89,3,0)*VLOOKUP('Données projet'!$B$9,Paramètres!$A$1:$I$89,5,0)</f>
        <v>140.49359999999993</v>
      </c>
      <c r="P51" s="13">
        <f t="shared" si="33"/>
        <v>36.410059151057915</v>
      </c>
      <c r="Q51" s="20">
        <f t="shared" si="53"/>
        <v>308.10720635475906</v>
      </c>
      <c r="R51" s="59">
        <f t="shared" si="0"/>
        <v>601.44053968809237</v>
      </c>
      <c r="S51" s="59">
        <f ca="1">AVERAGE(OFFSET($R$3,0,0,'Données projet'!$E$9+1,1))-AVERAGE(OFFSET($H$3,0,0,'Données projet'!$E$9+1,1))</f>
        <v>215.23235148064941</v>
      </c>
      <c r="T51" s="59">
        <f t="shared" si="34"/>
        <v>184.07239726900434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2.194644362970648</v>
      </c>
      <c r="AA51" s="21">
        <f>EXP(-LN(2)/25)*AA50+(1-EXP(-LN(2)/25))/(LN(2)/25)*Calculateur!V51*Calculateur!X51*VLOOKUP('Données projet'!$B$9,Paramètres!$A$1:$I$89,3,0)*0.475*44/12</f>
        <v>4.7690323165831092</v>
      </c>
      <c r="AB51" s="21">
        <f>EXP(-LN(2)/2)*AB50+(1-EXP(-LN(2)/2))/(LN(2)/2)*V51*Y51*VLOOKUP('Données projet'!$B$9,Paramètres!$A$1:$I$89,3,0)*0.475*44/12</f>
        <v>1.9203469688078109E-2</v>
      </c>
      <c r="AC51" s="22">
        <f t="shared" si="3"/>
        <v>6.9828801492418346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-8.5265128291212022E-14</v>
      </c>
      <c r="AJ51" s="13">
        <f>AI51*VLOOKUP('Données projet'!$B$10,Paramètres!$A$1:$I$89,3,0)*VLOOKUP('Données projet'!$B$10,Paramètres!$A$1:$I$89,5,0)</f>
        <v>-7.7147888077888636E-14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225.28075317732998</v>
      </c>
      <c r="AO51" s="59">
        <f t="shared" si="36"/>
        <v>358.43407531256207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1.5707798079851847</v>
      </c>
      <c r="AV51" s="21">
        <f>EXP(-LN(2)/25)*AV50+(1-EXP(-LN(2)/25))/(LN(2)/25)*Calculateur!AQ51*Calculateur!AS51*VLOOKUP('Données projet'!$B$10,Paramètres!$A$1:$I$89,3,0)*0.475*44/12</f>
        <v>5.0219444521781069</v>
      </c>
      <c r="AW51" s="21">
        <f>EXP(-LN(2)/2)*AW50+(1-EXP(-LN(2)/2))/(LN(2)/2)*AQ51*AT51*VLOOKUP('Données projet'!$B$10,Paramètres!$A$1:$I$89,3,0)*0.475*44/12</f>
        <v>8.6211349901748509E-3</v>
      </c>
      <c r="AX51" s="21">
        <f t="shared" si="6"/>
        <v>6.6013453951534666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19.2</v>
      </c>
      <c r="BD51" s="12">
        <f>IF('Données projet'!$A$88&gt;35,BD50+BC51-BL50,IF(A51&lt;'Données projet'!$A$88,$BA$205^A51,IF(A51='Données projet'!$A$88,'Données projet'!$B$88,BD50+BC51-BL50)))</f>
        <v>470.5999999999998</v>
      </c>
      <c r="BE51" s="13">
        <f>BD51*VLOOKUP('Données projet'!$B$11,Paramètres!$A$1:$I$89,3,0)*VLOOKUP('Données projet'!$B$11,Paramètres!$A$1:$I$89,5,0)</f>
        <v>263.0653999999999</v>
      </c>
      <c r="BF51" s="13">
        <f t="shared" si="37"/>
        <v>63.375350953508303</v>
      </c>
      <c r="BG51" s="20">
        <f t="shared" si="7"/>
        <v>568.55097457736008</v>
      </c>
      <c r="BH51" s="59">
        <f t="shared" si="8"/>
        <v>861.88430791069345</v>
      </c>
      <c r="BI51" s="59">
        <f ca="1">AVERAGE(OFFSET($BH$3,0,0,'Données projet'!$E$11+1,1))-AVERAGE(OFFSET($H$3,0,0,'Données projet'!$E$11+1,1))</f>
        <v>326.31232746914907</v>
      </c>
      <c r="BJ51" s="59">
        <f t="shared" si="38"/>
        <v>330.17137761430297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3.1981987569797403</v>
      </c>
      <c r="BQ51" s="21">
        <f>EXP(-LN(2)/25)*BQ50+(1-EXP(-LN(2)/25))/(LN(2)/25)*Calculateur!BL51*Calculateur!BN51*VLOOKUP('Données projet'!$B$11,Paramètres!$A$1:$I$89,3,0)*0.475*44/12</f>
        <v>18.317919717386225</v>
      </c>
      <c r="BR51" s="21">
        <f>EXP(-LN(2)/2)*BR50+(1-EXP(-LN(2)/2))/(LN(2)/2)*BL51*BO51*VLOOKUP('Données projet'!$B$11,Paramètres!$A$1:$I$89,3,0)*0.475*44/12</f>
        <v>6.3519703848506331E-2</v>
      </c>
      <c r="BS51" s="22">
        <f t="shared" si="9"/>
        <v>21.57963817821447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11.5</v>
      </c>
      <c r="BY51" s="12">
        <f>IF('Données projet'!$A$114&gt;35,BY50+BX51-CG50,IF(A51&lt;'Données projet'!$A$114,$BV$205^A51,IF(A51='Données projet'!$A$114,'Données projet'!$B$114,BY50+BX51-CG50)))</f>
        <v>326.00000000000011</v>
      </c>
      <c r="BZ51" s="13">
        <f>BY51*VLOOKUP('Données projet'!$B$12,Paramètres!$A$1:$I$89,3,0)*VLOOKUP('Données projet'!$B$12,Paramètres!$A$1:$I$89,5,0)</f>
        <v>177.99600000000007</v>
      </c>
      <c r="CA51" s="13">
        <f t="shared" si="39"/>
        <v>44.876042989096391</v>
      </c>
      <c r="CB51" s="20">
        <f t="shared" si="10"/>
        <v>388.1688082060096</v>
      </c>
      <c r="CC51" s="59">
        <f t="shared" si="11"/>
        <v>681.50214153934292</v>
      </c>
      <c r="CD51" s="59">
        <f ca="1">AVERAGE(OFFSET($CC$3,0,0,'Données projet'!$E$12+1,1))-AVERAGE(OFFSET($H$3,0,0,'Données projet'!$E$12+1,1))</f>
        <v>210.04871822652808</v>
      </c>
      <c r="CE51" s="59">
        <f t="shared" si="40"/>
        <v>250.17540614049324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5.1117087955109568</v>
      </c>
      <c r="CL51" s="21">
        <f>EXP(-LN(2)/25)*CL50+(1-EXP(-LN(2)/25))/(LN(2)/25)*Calculateur!CG51*Calculateur!CI51*VLOOKUP('Données projet'!$B$12,Paramètres!$A$1:$I$89,3,0)*0.475*44/12</f>
        <v>16.895955031473846</v>
      </c>
      <c r="CM51" s="21">
        <f>EXP(-LN(2)/2)*CM50+(1-EXP(-LN(2)/2))/(LN(2)/2)*CG51*CJ51*VLOOKUP('Données projet'!$B$12,Paramètres!$A$1:$I$89,3,0)*0.475*44/12</f>
        <v>4.2097438940139939E-2</v>
      </c>
      <c r="CN51" s="22">
        <f t="shared" si="12"/>
        <v>22.049761265924943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7.7</v>
      </c>
      <c r="CT51" s="12">
        <f>IF('Données projet'!$A$140&gt;35,CT50+CS51-DB50,IF(A51&lt;'Données projet'!$A$140,$CQ$205^A51,IF(A51='Données projet'!$A$140,'Données projet'!$B$140,CT50+CS51-DB50)))</f>
        <v>225.59999999999977</v>
      </c>
      <c r="CU51" s="17">
        <f>CT51*VLOOKUP('Données projet'!$B$13,Paramètres!$A$1:$I$89,3,0)*VLOOKUP('Données projet'!$B$13,Paramètres!$A$1:$I$89,5,0)</f>
        <v>179.48735999999982</v>
      </c>
      <c r="CV51" s="13">
        <f t="shared" si="41"/>
        <v>45.208114286641525</v>
      </c>
      <c r="CW51" s="20">
        <f t="shared" si="13"/>
        <v>391.34461771590031</v>
      </c>
      <c r="CX51" s="59">
        <f t="shared" si="14"/>
        <v>684.67795104923357</v>
      </c>
      <c r="CY51" s="59">
        <f ca="1">AVERAGE(OFFSET($CX$3,0,0,'Données projet'!$E$13+1,1))-AVERAGE(OFFSET($H$3,0,0,'Données projet'!$E$13+1,1))</f>
        <v>199.58763537752952</v>
      </c>
      <c r="CZ51" s="59">
        <f t="shared" si="42"/>
        <v>242.62852778451929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6.2427687127572353</v>
      </c>
      <c r="DH51" s="21">
        <f>EXP(-LN(2)/2)*DH50+(1-EXP(-LN(2)/2))/(LN(2)/2)*DB51*DE51*VLOOKUP('Données projet'!$B$13,Paramètres!$A$1:$I$89,3,0)*0.475*44/12</f>
        <v>2.1018668736758242E-2</v>
      </c>
      <c r="DI51" s="22">
        <f t="shared" si="15"/>
        <v>6.2637873814939935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12.8</v>
      </c>
      <c r="DO51" s="12">
        <f>IF('Données projet'!$A$166&gt;35,DO50+DN51-DW50,IF(A51&lt;'Données projet'!$A$166,$DL$205^A51,IF(A51='Données projet'!$A$166,'Données projet'!$B$166,DO50+DN51-DW50)))</f>
        <v>317.39999999999998</v>
      </c>
      <c r="DP51" s="17">
        <f>DO51*VLOOKUP('Données projet'!$B$14,Paramètres!$A$1:$I$89,3,0)*VLOOKUP('Données projet'!$B$14,Paramètres!$A$1:$I$89,5,0)</f>
        <v>189.80519999999999</v>
      </c>
      <c r="DQ51" s="13">
        <f t="shared" si="43"/>
        <v>47.496882766206909</v>
      </c>
      <c r="DR51" s="20">
        <f t="shared" si="16"/>
        <v>413.30112748447704</v>
      </c>
      <c r="DS51" s="59">
        <f t="shared" si="17"/>
        <v>706.63446081781035</v>
      </c>
      <c r="DT51" s="59">
        <f ca="1">AVERAGE(OFFSET($DS$3,0,0,'Données projet'!$E$14+1,1))-AVERAGE(OFFSET($H$3,0,0,'Données projet'!$E$14+1,1))</f>
        <v>216.94426559495264</v>
      </c>
      <c r="DU51" s="59">
        <f t="shared" si="44"/>
        <v>225.33715877618704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7.8007550364501501</v>
      </c>
      <c r="EC51" s="21">
        <f>EXP(-LN(2)/2)*EC50+(1-EXP(-LN(2)/2))/(LN(2)/2)*DW51*DZ51*VLOOKUP('Données projet'!$B$14,Paramètres!$A$1:$I$89,3,0)*0.475*44/12</f>
        <v>4.6346406003552679E-2</v>
      </c>
      <c r="ED51" s="22">
        <f t="shared" si="18"/>
        <v>7.8471014424537024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23.4</v>
      </c>
      <c r="EJ51" s="12">
        <f>IF('Données projet'!$A$192&gt;35,EJ50+EI51-ER50,IF(A51&lt;'Données projet'!$A$192,$EG$205^A51,IF(A51='Données projet'!$A$192,'Données projet'!$B$192,EJ50+EI51-ER50)))</f>
        <v>503.2</v>
      </c>
      <c r="EK51" s="17">
        <f>EJ51*VLOOKUP('Données projet'!$B$15,Paramètres!$A$1:$I$89,3,0)*VLOOKUP('Données projet'!$B$15,Paramètres!$A$1:$I$89,5,0)</f>
        <v>242.03919999999999</v>
      </c>
      <c r="EL51" s="13">
        <f t="shared" si="45"/>
        <v>58.878058017449845</v>
      </c>
      <c r="EM51" s="20">
        <f t="shared" si="19"/>
        <v>524.09755771372511</v>
      </c>
      <c r="EN51" s="59">
        <f t="shared" si="20"/>
        <v>817.43089104705837</v>
      </c>
      <c r="EO51" s="59">
        <f ca="1">AVERAGE(OFFSET($EN$3,0,0,'Données projet'!$E$15+1,1))-AVERAGE(OFFSET($H$3,0,0,'Données projet'!$E$15+1,1))</f>
        <v>292.1792787220852</v>
      </c>
      <c r="EP51" s="59">
        <f t="shared" si="46"/>
        <v>273.69206144662144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4.7176087976711099</v>
      </c>
      <c r="EW51" s="21">
        <f>EXP(-LN(2)/25)*EW50+(1-EXP(-LN(2)/25))/(LN(2)/25)*Calculateur!ER51*Calculateur!ET51*VLOOKUP('Données projet'!$B$15,Paramètres!$A$1:$I$89,3,0)*0.475*44/12</f>
        <v>8.1491514971876136</v>
      </c>
      <c r="EX51" s="21">
        <f>EXP(-LN(2)/2)*EX50+(1-EXP(-LN(2)/2))/(LN(2)/2)*ER51*EU51*VLOOKUP('Données projet'!$B$15,Paramètres!$A$1:$I$89,3,0)*0.475*44/12</f>
        <v>4.0845280133267256E-2</v>
      </c>
      <c r="EY51" s="22">
        <f t="shared" si="21"/>
        <v>12.90760557499199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11.499999999999996</v>
      </c>
      <c r="N52" s="13">
        <f>IF('Données projet'!$A$36&gt;35,N51+M52-V51,IF(A52&lt;'Données projet'!$A$36,$K$205^A52,IF(A52='Données projet'!$A$36,'Données projet'!$B$36,N51+M52-V51)))</f>
        <v>311.69999999999987</v>
      </c>
      <c r="O52" s="13">
        <f>N52*VLOOKUP('Données projet'!$B$9,Paramètres!$A$1:$I$89,3,0)*VLOOKUP('Données projet'!$B$9,Paramètres!$A$1:$I$89,5,0)</f>
        <v>145.87559999999993</v>
      </c>
      <c r="P52" s="13">
        <f t="shared" si="33"/>
        <v>37.639785440563628</v>
      </c>
      <c r="Q52" s="20">
        <f t="shared" si="53"/>
        <v>319.62262964231485</v>
      </c>
      <c r="R52" s="59">
        <f t="shared" si="0"/>
        <v>612.95596297564816</v>
      </c>
      <c r="S52" s="59">
        <f ca="1">AVERAGE(OFFSET($R$3,0,0,'Données projet'!$E$9+1,1))-AVERAGE(OFFSET($H$3,0,0,'Données projet'!$E$9+1,1))</f>
        <v>215.23235148064941</v>
      </c>
      <c r="T52" s="59">
        <f t="shared" si="34"/>
        <v>184.07239726900434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2.1516087256136793</v>
      </c>
      <c r="AA52" s="21">
        <f>EXP(-LN(2)/25)*AA51+(1-EXP(-LN(2)/25))/(LN(2)/25)*Calculateur!V52*Calculateur!X52*VLOOKUP('Données projet'!$B$9,Paramètres!$A$1:$I$89,3,0)*0.475*44/12</f>
        <v>4.638622877093634</v>
      </c>
      <c r="AB52" s="21">
        <f>EXP(-LN(2)/2)*AB51+(1-EXP(-LN(2)/2))/(LN(2)/2)*V52*Y52*VLOOKUP('Données projet'!$B$9,Paramètres!$A$1:$I$89,3,0)*0.475*44/12</f>
        <v>1.3578903638750346E-2</v>
      </c>
      <c r="AC52" s="22">
        <f t="shared" si="3"/>
        <v>6.8038105063460641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-8.5265128291212022E-14</v>
      </c>
      <c r="AJ52" s="13">
        <f>AI52*VLOOKUP('Données projet'!$B$10,Paramètres!$A$1:$I$89,3,0)*VLOOKUP('Données projet'!$B$10,Paramètres!$A$1:$I$89,5,0)</f>
        <v>-7.7147888077888636E-14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225.28075317732998</v>
      </c>
      <c r="AO52" s="59">
        <f t="shared" si="36"/>
        <v>358.43407531256207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1.5399777740316754</v>
      </c>
      <c r="AV52" s="21">
        <f>EXP(-LN(2)/25)*AV51+(1-EXP(-LN(2)/25))/(LN(2)/25)*Calculateur!AQ52*Calculateur!AS52*VLOOKUP('Données projet'!$B$10,Paramètres!$A$1:$I$89,3,0)*0.475*44/12</f>
        <v>4.8846191170407156</v>
      </c>
      <c r="AW52" s="21">
        <f>EXP(-LN(2)/2)*AW51+(1-EXP(-LN(2)/2))/(LN(2)/2)*AQ52*AT52*VLOOKUP('Données projet'!$B$10,Paramètres!$A$1:$I$89,3,0)*0.475*44/12</f>
        <v>6.0960630130772568E-3</v>
      </c>
      <c r="AX52" s="21">
        <f t="shared" si="6"/>
        <v>6.430692954085468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19.2</v>
      </c>
      <c r="BD52" s="12">
        <f>IF('Données projet'!$A$88&gt;35,BD51+BC52-BL51,IF(A52&lt;'Données projet'!$A$88,$BA$205^A52,IF(A52='Données projet'!$A$88,'Données projet'!$B$88,BD51+BC52-BL51)))</f>
        <v>489.79999999999978</v>
      </c>
      <c r="BE52" s="13">
        <f>BD52*VLOOKUP('Données projet'!$B$11,Paramètres!$A$1:$I$89,3,0)*VLOOKUP('Données projet'!$B$11,Paramètres!$A$1:$I$89,5,0)</f>
        <v>273.79819999999989</v>
      </c>
      <c r="BF52" s="13">
        <f t="shared" si="37"/>
        <v>65.654686665964775</v>
      </c>
      <c r="BG52" s="20">
        <f t="shared" si="7"/>
        <v>591.21377760988844</v>
      </c>
      <c r="BH52" s="59">
        <f t="shared" si="8"/>
        <v>884.5471109432217</v>
      </c>
      <c r="BI52" s="59">
        <f ca="1">AVERAGE(OFFSET($BH$3,0,0,'Données projet'!$E$11+1,1))-AVERAGE(OFFSET($H$3,0,0,'Données projet'!$E$11+1,1))</f>
        <v>326.31232746914907</v>
      </c>
      <c r="BJ52" s="59">
        <f t="shared" si="38"/>
        <v>330.17137761430297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3.135484030063993</v>
      </c>
      <c r="BQ52" s="21">
        <f>EXP(-LN(2)/25)*BQ51+(1-EXP(-LN(2)/25))/(LN(2)/25)*Calculateur!BL52*Calculateur!BN52*VLOOKUP('Données projet'!$B$11,Paramètres!$A$1:$I$89,3,0)*0.475*44/12</f>
        <v>17.817015239416765</v>
      </c>
      <c r="BR52" s="21">
        <f>EXP(-LN(2)/2)*BR51+(1-EXP(-LN(2)/2))/(LN(2)/2)*BL52*BO52*VLOOKUP('Données projet'!$B$11,Paramètres!$A$1:$I$89,3,0)*0.475*44/12</f>
        <v>4.4915213330240067E-2</v>
      </c>
      <c r="BS52" s="22">
        <f t="shared" si="9"/>
        <v>20.997414482810996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11.5</v>
      </c>
      <c r="BY52" s="12">
        <f>IF('Données projet'!$A$114&gt;35,BY51+BX52-CG51,IF(A52&lt;'Données projet'!$A$114,$BV$205^A52,IF(A52='Données projet'!$A$114,'Données projet'!$B$114,BY51+BX52-CG51)))</f>
        <v>337.50000000000011</v>
      </c>
      <c r="BZ52" s="13">
        <f>BY52*VLOOKUP('Données projet'!$B$12,Paramètres!$A$1:$I$89,3,0)*VLOOKUP('Données projet'!$B$12,Paramètres!$A$1:$I$89,5,0)</f>
        <v>184.27500000000003</v>
      </c>
      <c r="CA52" s="13">
        <f t="shared" si="39"/>
        <v>46.27199170970021</v>
      </c>
      <c r="CB52" s="20">
        <f t="shared" si="10"/>
        <v>401.53601056106123</v>
      </c>
      <c r="CC52" s="59">
        <f t="shared" si="11"/>
        <v>694.86934389439455</v>
      </c>
      <c r="CD52" s="59">
        <f ca="1">AVERAGE(OFFSET($CC$3,0,0,'Données projet'!$E$12+1,1))-AVERAGE(OFFSET($H$3,0,0,'Données projet'!$E$12+1,1))</f>
        <v>210.04871822652808</v>
      </c>
      <c r="CE52" s="59">
        <f t="shared" si="40"/>
        <v>250.17540614049324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5.0114713038654912</v>
      </c>
      <c r="CL52" s="21">
        <f>EXP(-LN(2)/25)*CL51+(1-EXP(-LN(2)/25))/(LN(2)/25)*Calculateur!CG52*Calculateur!CI52*VLOOKUP('Données projet'!$B$12,Paramètres!$A$1:$I$89,3,0)*0.475*44/12</f>
        <v>16.433934252618535</v>
      </c>
      <c r="CM52" s="21">
        <f>EXP(-LN(2)/2)*CM51+(1-EXP(-LN(2)/2))/(LN(2)/2)*CG52*CJ52*VLOOKUP('Données projet'!$B$12,Paramètres!$A$1:$I$89,3,0)*0.475*44/12</f>
        <v>2.9767384545159578E-2</v>
      </c>
      <c r="CN52" s="22">
        <f t="shared" si="12"/>
        <v>21.475172941029186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7.7</v>
      </c>
      <c r="CT52" s="12">
        <f>IF('Données projet'!$A$140&gt;35,CT51+CS52-DB51,IF(A52&lt;'Données projet'!$A$140,$CQ$205^A52,IF(A52='Données projet'!$A$140,'Données projet'!$B$140,CT51+CS52-DB51)))</f>
        <v>233.29999999999976</v>
      </c>
      <c r="CU52" s="17">
        <f>CT52*VLOOKUP('Données projet'!$B$13,Paramètres!$A$1:$I$89,3,0)*VLOOKUP('Données projet'!$B$13,Paramètres!$A$1:$I$89,5,0)</f>
        <v>185.61347999999981</v>
      </c>
      <c r="CV52" s="13">
        <f t="shared" si="41"/>
        <v>46.568841147773846</v>
      </c>
      <c r="CW52" s="20">
        <f t="shared" si="13"/>
        <v>404.38420933237239</v>
      </c>
      <c r="CX52" s="59">
        <f t="shared" si="14"/>
        <v>697.71754266570565</v>
      </c>
      <c r="CY52" s="59">
        <f ca="1">AVERAGE(OFFSET($CX$3,0,0,'Données projet'!$E$13+1,1))-AVERAGE(OFFSET($H$3,0,0,'Données projet'!$E$13+1,1))</f>
        <v>199.58763537752952</v>
      </c>
      <c r="CZ52" s="59">
        <f t="shared" si="42"/>
        <v>242.62852778451929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6.0720598740139504</v>
      </c>
      <c r="DH52" s="21">
        <f>EXP(-LN(2)/2)*DH51+(1-EXP(-LN(2)/2))/(LN(2)/2)*DB52*DE52*VLOOKUP('Données projet'!$B$13,Paramètres!$A$1:$I$89,3,0)*0.475*44/12</f>
        <v>1.4862443195275438E-2</v>
      </c>
      <c r="DI52" s="22">
        <f t="shared" si="15"/>
        <v>6.0869223172092255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12.8</v>
      </c>
      <c r="DO52" s="12">
        <f>IF('Données projet'!$A$166&gt;35,DO51+DN52-DW51,IF(A52&lt;'Données projet'!$A$166,$DL$205^A52,IF(A52='Données projet'!$A$166,'Données projet'!$B$166,DO51+DN52-DW51)))</f>
        <v>330.2</v>
      </c>
      <c r="DP52" s="17">
        <f>DO52*VLOOKUP('Données projet'!$B$14,Paramètres!$A$1:$I$89,3,0)*VLOOKUP('Données projet'!$B$14,Paramètres!$A$1:$I$89,5,0)</f>
        <v>197.45959999999999</v>
      </c>
      <c r="DQ52" s="13">
        <f t="shared" si="43"/>
        <v>49.185450002435452</v>
      </c>
      <c r="DR52" s="20">
        <f t="shared" si="16"/>
        <v>429.57346208757502</v>
      </c>
      <c r="DS52" s="59">
        <f t="shared" si="17"/>
        <v>722.90679542090834</v>
      </c>
      <c r="DT52" s="59">
        <f ca="1">AVERAGE(OFFSET($DS$3,0,0,'Données projet'!$E$14+1,1))-AVERAGE(OFFSET($H$3,0,0,'Données projet'!$E$14+1,1))</f>
        <v>216.94426559495264</v>
      </c>
      <c r="DU52" s="59">
        <f t="shared" si="44"/>
        <v>225.33715877618704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7.5874429797545426</v>
      </c>
      <c r="EC52" s="21">
        <f>EXP(-LN(2)/2)*EC51+(1-EXP(-LN(2)/2))/(LN(2)/2)*DW52*DZ52*VLOOKUP('Données projet'!$B$14,Paramètres!$A$1:$I$89,3,0)*0.475*44/12</f>
        <v>3.2771857968737016E-2</v>
      </c>
      <c r="ED52" s="22">
        <f t="shared" si="18"/>
        <v>7.6202148377232799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23.4</v>
      </c>
      <c r="EJ52" s="12">
        <f>IF('Données projet'!$A$192&gt;35,EJ51+EI52-ER51,IF(A52&lt;'Données projet'!$A$192,$EG$205^A52,IF(A52='Données projet'!$A$192,'Données projet'!$B$192,EJ51+EI52-ER51)))</f>
        <v>526.6</v>
      </c>
      <c r="EK52" s="17">
        <f>EJ52*VLOOKUP('Données projet'!$B$15,Paramètres!$A$1:$I$89,3,0)*VLOOKUP('Données projet'!$B$15,Paramètres!$A$1:$I$89,5,0)</f>
        <v>253.29460000000003</v>
      </c>
      <c r="EL52" s="13">
        <f t="shared" si="45"/>
        <v>61.290891393738576</v>
      </c>
      <c r="EM52" s="20">
        <f t="shared" si="19"/>
        <v>547.90306417742806</v>
      </c>
      <c r="EN52" s="59">
        <f t="shared" si="20"/>
        <v>841.23639751076144</v>
      </c>
      <c r="EO52" s="59">
        <f ca="1">AVERAGE(OFFSET($EN$3,0,0,'Données projet'!$E$15+1,1))-AVERAGE(OFFSET($H$3,0,0,'Données projet'!$E$15+1,1))</f>
        <v>292.1792787220852</v>
      </c>
      <c r="EP52" s="59">
        <f t="shared" si="46"/>
        <v>273.69206144662144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4.6250993666060207</v>
      </c>
      <c r="EW52" s="21">
        <f>EXP(-LN(2)/25)*EW51+(1-EXP(-LN(2)/25))/(LN(2)/25)*Calculateur!ER52*Calculateur!ET52*VLOOKUP('Données projet'!$B$15,Paramètres!$A$1:$I$89,3,0)*0.475*44/12</f>
        <v>7.9263125209517664</v>
      </c>
      <c r="EX52" s="21">
        <f>EXP(-LN(2)/2)*EX51+(1-EXP(-LN(2)/2))/(LN(2)/2)*ER52*EU52*VLOOKUP('Données projet'!$B$15,Paramètres!$A$1:$I$89,3,0)*0.475*44/12</f>
        <v>2.8881974561697447E-2</v>
      </c>
      <c r="EY52" s="22">
        <f t="shared" si="21"/>
        <v>12.580293862119484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323.2</v>
      </c>
      <c r="L53" s="12">
        <f>VLOOKUP(A53,'Données projet'!$A$35:$I$55,9,0)</f>
        <v>11.499999999999996</v>
      </c>
      <c r="M53" s="12">
        <f t="array" ref="M53">INDEX(L:L,MIN(IF(ISNUMBER(L53:L249),ROW(L53:L249),"")))</f>
        <v>11.499999999999996</v>
      </c>
      <c r="N53" s="13">
        <f>IF('Données projet'!$A$36&gt;35,N52+M53-V52,IF(A53&lt;'Données projet'!$A$36,$K$205^A53,IF(A53='Données projet'!$A$36,'Données projet'!$B$36,N52+M53-V52)))</f>
        <v>323.19999999999987</v>
      </c>
      <c r="O53" s="13">
        <f>N53*VLOOKUP('Données projet'!$B$9,Paramètres!$A$1:$I$89,3,0)*VLOOKUP('Données projet'!$B$9,Paramètres!$A$1:$I$89,5,0)</f>
        <v>151.25759999999994</v>
      </c>
      <c r="P53" s="13">
        <f t="shared" si="33"/>
        <v>38.864240713854024</v>
      </c>
      <c r="Q53" s="20">
        <f t="shared" si="53"/>
        <v>331.12887257662896</v>
      </c>
      <c r="R53" s="59">
        <f t="shared" si="0"/>
        <v>624.46220590996222</v>
      </c>
      <c r="S53" s="59">
        <f ca="1">AVERAGE(OFFSET($R$3,0,0,'Données projet'!$E$9+1,1))-AVERAGE(OFFSET($H$3,0,0,'Données projet'!$E$9+1,1))</f>
        <v>215.23235148064941</v>
      </c>
      <c r="T53" s="59">
        <f t="shared" si="34"/>
        <v>184.07239726900434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83.4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2.1094169908561335</v>
      </c>
      <c r="AA53" s="21">
        <f>EXP(-LN(2)/25)*AA52+(1-EXP(-LN(2)/25))/(LN(2)/25)*Calculateur!V53*Calculateur!X53*VLOOKUP('Données projet'!$B$9,Paramètres!$A$1:$I$89,3,0)*0.475*44/12</f>
        <v>4.5117794905849333</v>
      </c>
      <c r="AB53" s="21">
        <f>EXP(-LN(2)/2)*AB52+(1-EXP(-LN(2)/2))/(LN(2)/2)*V53*Y53*VLOOKUP('Données projet'!$B$9,Paramètres!$A$1:$I$89,3,0)*0.475*44/12</f>
        <v>9.6017348440390546E-3</v>
      </c>
      <c r="AC53" s="22">
        <f t="shared" si="3"/>
        <v>6.6307982162851058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-8.5265128291212022E-14</v>
      </c>
      <c r="AJ53" s="13">
        <f>AI53*VLOOKUP('Données projet'!$B$10,Paramètres!$A$1:$I$89,3,0)*VLOOKUP('Données projet'!$B$10,Paramètres!$A$1:$I$89,5,0)</f>
        <v>-7.7147888077888636E-14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225.28075317732998</v>
      </c>
      <c r="AO53" s="59">
        <f t="shared" si="36"/>
        <v>358.43407531256207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1.5097797491766087</v>
      </c>
      <c r="AV53" s="21">
        <f>EXP(-LN(2)/25)*AV52+(1-EXP(-LN(2)/25))/(LN(2)/25)*Calculateur!AQ53*Calculateur!AS53*VLOOKUP('Données projet'!$B$10,Paramètres!$A$1:$I$89,3,0)*0.475*44/12</f>
        <v>4.7510489504142814</v>
      </c>
      <c r="AW53" s="21">
        <f>EXP(-LN(2)/2)*AW52+(1-EXP(-LN(2)/2))/(LN(2)/2)*AQ53*AT53*VLOOKUP('Données projet'!$B$10,Paramètres!$A$1:$I$89,3,0)*0.475*44/12</f>
        <v>4.3105674950874254E-3</v>
      </c>
      <c r="AX53" s="21">
        <f t="shared" si="6"/>
        <v>6.2651392670859778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509</v>
      </c>
      <c r="BB53" s="12">
        <f>VLOOKUP(A53,'Données projet'!$A$87:$I$107,9,0)</f>
        <v>19.2</v>
      </c>
      <c r="BC53" s="12">
        <f t="array" ref="BC53">INDEX(BB:BB,MIN(IF(ISNUMBER(BB53:BB249),ROW(BB53:BB249),"")))</f>
        <v>19.2</v>
      </c>
      <c r="BD53" s="12">
        <f>IF('Données projet'!$A$88&gt;35,BD52+BC53-BL52,IF(A53&lt;'Données projet'!$A$88,$BA$205^A53,IF(A53='Données projet'!$A$88,'Données projet'!$B$88,BD52+BC53-BL52)))</f>
        <v>508.99999999999977</v>
      </c>
      <c r="BE53" s="13">
        <f>BD53*VLOOKUP('Données projet'!$B$11,Paramètres!$A$1:$I$89,3,0)*VLOOKUP('Données projet'!$B$11,Paramètres!$A$1:$I$89,5,0)</f>
        <v>284.53099999999989</v>
      </c>
      <c r="BF53" s="13">
        <f t="shared" si="37"/>
        <v>67.92364301353318</v>
      </c>
      <c r="BG53" s="20">
        <f t="shared" si="7"/>
        <v>613.85850324857017</v>
      </c>
      <c r="BH53" s="59">
        <f t="shared" si="8"/>
        <v>907.19183658190354</v>
      </c>
      <c r="BI53" s="59">
        <f ca="1">AVERAGE(OFFSET($BH$3,0,0,'Données projet'!$E$11+1,1))-AVERAGE(OFFSET($H$3,0,0,'Données projet'!$E$11+1,1))</f>
        <v>326.31232746914907</v>
      </c>
      <c r="BJ53" s="59">
        <f t="shared" si="38"/>
        <v>330.17137761430297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108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3.0739991006908571</v>
      </c>
      <c r="BQ53" s="21">
        <f>EXP(-LN(2)/25)*BQ52+(1-EXP(-LN(2)/25))/(LN(2)/25)*Calculateur!BL53*Calculateur!BN53*VLOOKUP('Données projet'!$B$11,Paramètres!$A$1:$I$89,3,0)*0.475*44/12</f>
        <v>17.329808020738803</v>
      </c>
      <c r="BR53" s="21">
        <f>EXP(-LN(2)/2)*BR52+(1-EXP(-LN(2)/2))/(LN(2)/2)*BL53*BO53*VLOOKUP('Données projet'!$B$11,Paramètres!$A$1:$I$89,3,0)*0.475*44/12</f>
        <v>3.1759851924253166E-2</v>
      </c>
      <c r="BS53" s="22">
        <f t="shared" si="9"/>
        <v>20.435566973353911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349</v>
      </c>
      <c r="BW53" s="12">
        <f>VLOOKUP(A53,'Données projet'!$A$113:$I$133,9,0)</f>
        <v>11.5</v>
      </c>
      <c r="BX53" s="12">
        <f t="array" ref="BX53">INDEX(BW:BW,MIN(IF(ISNUMBER(BW53:BW249),ROW(BW53:BW249),"")))</f>
        <v>11.5</v>
      </c>
      <c r="BY53" s="12">
        <f>IF('Données projet'!$A$114&gt;35,BY52+BX53-CG52,IF(A53&lt;'Données projet'!$A$114,$BV$205^A53,IF(A53='Données projet'!$A$114,'Données projet'!$B$114,BY52+BX53-CG52)))</f>
        <v>349.00000000000011</v>
      </c>
      <c r="BZ53" s="13">
        <f>BY53*VLOOKUP('Données projet'!$B$12,Paramètres!$A$1:$I$89,3,0)*VLOOKUP('Données projet'!$B$12,Paramètres!$A$1:$I$89,5,0)</f>
        <v>190.55400000000006</v>
      </c>
      <c r="CA53" s="13">
        <f t="shared" si="39"/>
        <v>47.662413622948378</v>
      </c>
      <c r="CB53" s="20">
        <f t="shared" si="10"/>
        <v>414.89358705996847</v>
      </c>
      <c r="CC53" s="59">
        <f t="shared" si="11"/>
        <v>708.22692039330173</v>
      </c>
      <c r="CD53" s="59">
        <f ca="1">AVERAGE(OFFSET($CC$3,0,0,'Données projet'!$E$12+1,1))-AVERAGE(OFFSET($H$3,0,0,'Données projet'!$E$12+1,1))</f>
        <v>210.04871822652808</v>
      </c>
      <c r="CE53" s="59">
        <f t="shared" si="40"/>
        <v>250.17540614049324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4.9131994082923605</v>
      </c>
      <c r="CL53" s="21">
        <f>EXP(-LN(2)/25)*CL52+(1-EXP(-LN(2)/25))/(LN(2)/25)*Calculateur!CG53*Calculateur!CI53*VLOOKUP('Données projet'!$B$12,Paramètres!$A$1:$I$89,3,0)*0.475*44/12</f>
        <v>15.984547456257639</v>
      </c>
      <c r="CM53" s="21">
        <f>EXP(-LN(2)/2)*CM52+(1-EXP(-LN(2)/2))/(LN(2)/2)*CG53*CJ53*VLOOKUP('Données projet'!$B$12,Paramètres!$A$1:$I$89,3,0)*0.475*44/12</f>
        <v>2.1048719470069973E-2</v>
      </c>
      <c r="CN53" s="22">
        <f t="shared" si="12"/>
        <v>20.918795584020071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241</v>
      </c>
      <c r="CR53" s="12">
        <f>VLOOKUP(A53,'Données projet'!$A$139:$I$159,9,0)</f>
        <v>7.7</v>
      </c>
      <c r="CS53" s="12">
        <f t="array" ref="CS53">INDEX(CR:CR,MIN(IF(ISNUMBER(CR53:CR249),ROW(CR53:CR249),"")))</f>
        <v>7.7</v>
      </c>
      <c r="CT53" s="12">
        <f>IF('Données projet'!$A$140&gt;35,CT52+CS53-DB52,IF(A53&lt;'Données projet'!$A$140,$CQ$205^A53,IF(A53='Données projet'!$A$140,'Données projet'!$B$140,CT52+CS53-DB52)))</f>
        <v>240.99999999999974</v>
      </c>
      <c r="CU53" s="17">
        <f>CT53*VLOOKUP('Données projet'!$B$13,Paramètres!$A$1:$I$89,3,0)*VLOOKUP('Données projet'!$B$13,Paramètres!$A$1:$I$89,5,0)</f>
        <v>191.7395999999998</v>
      </c>
      <c r="CV53" s="13">
        <f t="shared" si="41"/>
        <v>47.924349465834901</v>
      </c>
      <c r="CW53" s="20">
        <f t="shared" si="13"/>
        <v>417.41471198632871</v>
      </c>
      <c r="CX53" s="59">
        <f t="shared" si="14"/>
        <v>710.74804531966197</v>
      </c>
      <c r="CY53" s="59">
        <f ca="1">AVERAGE(OFFSET($CX$3,0,0,'Données projet'!$E$13+1,1))-AVERAGE(OFFSET($H$3,0,0,'Données projet'!$E$13+1,1))</f>
        <v>199.58763537752952</v>
      </c>
      <c r="CZ53" s="59">
        <f t="shared" si="42"/>
        <v>242.62852778451929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39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5.9060190774432879</v>
      </c>
      <c r="DH53" s="21">
        <f>EXP(-LN(2)/2)*DH52+(1-EXP(-LN(2)/2))/(LN(2)/2)*DB53*DE53*VLOOKUP('Données projet'!$B$13,Paramètres!$A$1:$I$89,3,0)*0.475*44/12</f>
        <v>1.0509334368379121E-2</v>
      </c>
      <c r="DI53" s="22">
        <f t="shared" si="15"/>
        <v>5.916528411811667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343</v>
      </c>
      <c r="DM53" s="12">
        <f>VLOOKUP(A53,'Données projet'!$A$165:$I$185,9,0)</f>
        <v>12.8</v>
      </c>
      <c r="DN53" s="12">
        <f t="array" ref="DN53">INDEX(DM:DM,MIN(IF(ISNUMBER(DM53:DM249),ROW(DM53:DM249),"")))</f>
        <v>12.8</v>
      </c>
      <c r="DO53" s="12">
        <f>IF('Données projet'!$A$166&gt;35,DO52+DN53-DW52,IF(A53&lt;'Données projet'!$A$166,$DL$205^A53,IF(A53='Données projet'!$A$166,'Données projet'!$B$166,DO52+DN53-DW52)))</f>
        <v>343</v>
      </c>
      <c r="DP53" s="17">
        <f>DO53*VLOOKUP('Données projet'!$B$14,Paramètres!$A$1:$I$89,3,0)*VLOOKUP('Données projet'!$B$14,Paramètres!$A$1:$I$89,5,0)</f>
        <v>205.114</v>
      </c>
      <c r="DQ53" s="13">
        <f t="shared" si="43"/>
        <v>50.86641328088507</v>
      </c>
      <c r="DR53" s="20">
        <f t="shared" si="16"/>
        <v>445.83255313087483</v>
      </c>
      <c r="DS53" s="59">
        <f t="shared" si="17"/>
        <v>739.16588646420814</v>
      </c>
      <c r="DT53" s="59">
        <f ca="1">AVERAGE(OFFSET($DS$3,0,0,'Données projet'!$E$14+1,1))-AVERAGE(OFFSET($H$3,0,0,'Données projet'!$E$14+1,1))</f>
        <v>216.94426559495264</v>
      </c>
      <c r="DU53" s="59">
        <f t="shared" si="44"/>
        <v>225.33715877618704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70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7.3799639524668699</v>
      </c>
      <c r="EC53" s="21">
        <f>EXP(-LN(2)/2)*EC52+(1-EXP(-LN(2)/2))/(LN(2)/2)*DW53*DZ53*VLOOKUP('Données projet'!$B$14,Paramètres!$A$1:$I$89,3,0)*0.475*44/12</f>
        <v>2.3173203001776339E-2</v>
      </c>
      <c r="ED53" s="22">
        <f t="shared" si="18"/>
        <v>7.403137155468646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550</v>
      </c>
      <c r="EH53" s="12">
        <f>VLOOKUP(A53,'Données projet'!$A$191:$I$211,9,0)</f>
        <v>23.4</v>
      </c>
      <c r="EI53" s="12">
        <f t="array" ref="EI53">INDEX(EH:EH,MIN(IF(ISNUMBER(EH53:EH249),ROW(EH53:EH249),"")))</f>
        <v>23.4</v>
      </c>
      <c r="EJ53" s="12">
        <f>IF('Données projet'!$A$192&gt;35,EJ52+EI53-ER52,IF(A53&lt;'Données projet'!$A$192,$EG$205^A53,IF(A53='Données projet'!$A$192,'Données projet'!$B$192,EJ52+EI53-ER52)))</f>
        <v>550</v>
      </c>
      <c r="EK53" s="17">
        <f>EJ53*VLOOKUP('Données projet'!$B$15,Paramètres!$A$1:$I$89,3,0)*VLOOKUP('Données projet'!$B$15,Paramètres!$A$1:$I$89,5,0)</f>
        <v>264.55</v>
      </c>
      <c r="EL53" s="13">
        <f t="shared" si="45"/>
        <v>63.691272641742799</v>
      </c>
      <c r="EM53" s="20">
        <f t="shared" si="19"/>
        <v>571.68688318436864</v>
      </c>
      <c r="EN53" s="59">
        <f t="shared" si="20"/>
        <v>865.02021651770201</v>
      </c>
      <c r="EO53" s="59">
        <f ca="1">AVERAGE(OFFSET($EN$3,0,0,'Données projet'!$E$15+1,1))-AVERAGE(OFFSET($H$3,0,0,'Données projet'!$E$15+1,1))</f>
        <v>292.1792787220852</v>
      </c>
      <c r="EP53" s="59">
        <f t="shared" si="46"/>
        <v>273.69206144662144</v>
      </c>
      <c r="EQ53" s="15">
        <f>IF(ISNA(VLOOKUP(A53,'Données projet'!$A$191:$I$211,3,0)),0,VLOOKUP(A53,'Données projet'!$A$191:$I$211,3,0))</f>
        <v>3</v>
      </c>
      <c r="ER53" s="15">
        <f>IF(ISNA(VLOOKUP(A53,'Données projet'!$A$191:$I$211,4,0)),0,VLOOKUP(A53,'Données projet'!$A$191:$I$211,4,0))</f>
        <v>132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4.5344039890589363</v>
      </c>
      <c r="EW53" s="21">
        <f>EXP(-LN(2)/25)*EW52+(1-EXP(-LN(2)/25))/(LN(2)/25)*Calculateur!ER53*Calculateur!ET53*VLOOKUP('Données projet'!$B$15,Paramètres!$A$1:$I$89,3,0)*0.475*44/12</f>
        <v>7.7095670882396803</v>
      </c>
      <c r="EX53" s="21">
        <f>EXP(-LN(2)/2)*EX52+(1-EXP(-LN(2)/2))/(LN(2)/2)*ER53*EU53*VLOOKUP('Données projet'!$B$15,Paramètres!$A$1:$I$89,3,0)*0.475*44/12</f>
        <v>2.0422640066633628E-2</v>
      </c>
      <c r="EY53" s="22">
        <f t="shared" si="21"/>
        <v>12.264393717365252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13.499999999999996</v>
      </c>
      <c r="N54" s="13">
        <f>IF('Données projet'!$A$36&gt;35,N53+M54-V53,IF(A54&lt;'Données projet'!$A$36,$K$205^A54,IF(A54='Données projet'!$A$36,'Données projet'!$B$36,N53+M54-V53)))</f>
        <v>253.29999999999987</v>
      </c>
      <c r="O54" s="13">
        <f>N54*VLOOKUP('Données projet'!$B$9,Paramètres!$A$1:$I$89,3,0)*VLOOKUP('Données projet'!$B$9,Paramètres!$A$1:$I$89,5,0)</f>
        <v>118.54439999999994</v>
      </c>
      <c r="P54" s="13">
        <f t="shared" si="33"/>
        <v>31.3352637371359</v>
      </c>
      <c r="Q54" s="20">
        <f t="shared" si="53"/>
        <v>261.04041434217822</v>
      </c>
      <c r="R54" s="59">
        <f t="shared" si="0"/>
        <v>554.37374767551159</v>
      </c>
      <c r="S54" s="59">
        <f ca="1">AVERAGE(OFFSET($R$3,0,0,'Données projet'!$E$9+1,1))-AVERAGE(OFFSET($H$3,0,0,'Données projet'!$E$9+1,1))</f>
        <v>215.23235148064941</v>
      </c>
      <c r="T54" s="59">
        <f t="shared" si="34"/>
        <v>184.07239726900434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2.0680526102827663</v>
      </c>
      <c r="AA54" s="21">
        <f>EXP(-LN(2)/25)*AA53+(1-EXP(-LN(2)/25))/(LN(2)/25)*Calculateur!V54*Calculateur!X54*VLOOKUP('Données projet'!$B$9,Paramètres!$A$1:$I$89,3,0)*0.475*44/12</f>
        <v>4.3884046431507171</v>
      </c>
      <c r="AB54" s="21">
        <f>EXP(-LN(2)/2)*AB53+(1-EXP(-LN(2)/2))/(LN(2)/2)*V54*Y54*VLOOKUP('Données projet'!$B$9,Paramètres!$A$1:$I$89,3,0)*0.475*44/12</f>
        <v>6.7894518193751729E-3</v>
      </c>
      <c r="AC54" s="22">
        <f t="shared" si="3"/>
        <v>6.4632467052528586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-8.5265128291212022E-14</v>
      </c>
      <c r="AJ54" s="13">
        <f>AI54*VLOOKUP('Données projet'!$B$10,Paramètres!$A$1:$I$89,3,0)*VLOOKUP('Données projet'!$B$10,Paramètres!$A$1:$I$89,5,0)</f>
        <v>-7.7147888077888636E-14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225.28075317732998</v>
      </c>
      <c r="AO54" s="59">
        <f t="shared" si="36"/>
        <v>358.43407531256207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1.4801738891699736</v>
      </c>
      <c r="AV54" s="21">
        <f>EXP(-LN(2)/25)*AV53+(1-EXP(-LN(2)/25))/(LN(2)/25)*Calculateur!AQ54*Calculateur!AS54*VLOOKUP('Données projet'!$B$10,Paramètres!$A$1:$I$89,3,0)*0.475*44/12</f>
        <v>4.6211312670183977</v>
      </c>
      <c r="AW54" s="21">
        <f>EXP(-LN(2)/2)*AW53+(1-EXP(-LN(2)/2))/(LN(2)/2)*AQ54*AT54*VLOOKUP('Données projet'!$B$10,Paramètres!$A$1:$I$89,3,0)*0.475*44/12</f>
        <v>3.0480315065386284E-3</v>
      </c>
      <c r="AX54" s="21">
        <f t="shared" si="6"/>
        <v>6.10435318769491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16.2</v>
      </c>
      <c r="BD54" s="12">
        <f>IF('Données projet'!$A$88&gt;35,BD53+BC54-BL53,IF(A54&lt;'Données projet'!$A$88,$BA$205^A54,IF(A54='Données projet'!$A$88,'Données projet'!$B$88,BD53+BC54-BL53)))</f>
        <v>417.19999999999982</v>
      </c>
      <c r="BE54" s="13">
        <f>BD54*VLOOKUP('Données projet'!$B$11,Paramètres!$A$1:$I$89,3,0)*VLOOKUP('Données projet'!$B$11,Paramètres!$A$1:$I$89,5,0)</f>
        <v>233.21479999999991</v>
      </c>
      <c r="BF54" s="13">
        <f t="shared" si="37"/>
        <v>56.977233907865298</v>
      </c>
      <c r="BG54" s="20">
        <f t="shared" si="7"/>
        <v>505.41779238953194</v>
      </c>
      <c r="BH54" s="59">
        <f t="shared" si="8"/>
        <v>798.75112572286525</v>
      </c>
      <c r="BI54" s="59">
        <f ca="1">AVERAGE(OFFSET($BH$3,0,0,'Données projet'!$E$11+1,1))-AVERAGE(OFFSET($H$3,0,0,'Données projet'!$E$11+1,1))</f>
        <v>326.31232746914907</v>
      </c>
      <c r="BJ54" s="59">
        <f t="shared" si="38"/>
        <v>330.17137761430297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3.0137198532806244</v>
      </c>
      <c r="BQ54" s="21">
        <f>EXP(-LN(2)/25)*BQ53+(1-EXP(-LN(2)/25))/(LN(2)/25)*Calculateur!BL54*Calculateur!BN54*VLOOKUP('Données projet'!$B$11,Paramètres!$A$1:$I$89,3,0)*0.475*44/12</f>
        <v>16.855923509076703</v>
      </c>
      <c r="BR54" s="21">
        <f>EXP(-LN(2)/2)*BR53+(1-EXP(-LN(2)/2))/(LN(2)/2)*BL54*BO54*VLOOKUP('Données projet'!$B$11,Paramètres!$A$1:$I$89,3,0)*0.475*44/12</f>
        <v>2.2457606665120033E-2</v>
      </c>
      <c r="BS54" s="22">
        <f t="shared" si="9"/>
        <v>19.892100969022447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293.80000000000013</v>
      </c>
      <c r="BZ54" s="13">
        <f>BY54*VLOOKUP('Données projet'!$B$12,Paramètres!$A$1:$I$89,3,0)*VLOOKUP('Données projet'!$B$12,Paramètres!$A$1:$I$89,5,0)</f>
        <v>160.41480000000007</v>
      </c>
      <c r="CA54" s="13">
        <f t="shared" si="39"/>
        <v>40.936060601587023</v>
      </c>
      <c r="CB54" s="20">
        <f t="shared" si="10"/>
        <v>350.68608221443083</v>
      </c>
      <c r="CC54" s="59">
        <f t="shared" si="11"/>
        <v>644.01941554776408</v>
      </c>
      <c r="CD54" s="59">
        <f ca="1">AVERAGE(OFFSET($CC$3,0,0,'Données projet'!$E$12+1,1))-AVERAGE(OFFSET($H$3,0,0,'Données projet'!$E$12+1,1))</f>
        <v>210.04871822652808</v>
      </c>
      <c r="CE54" s="59">
        <f t="shared" si="40"/>
        <v>250.17540614049324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4.8168545646514813</v>
      </c>
      <c r="CL54" s="21">
        <f>EXP(-LN(2)/25)*CL53+(1-EXP(-LN(2)/25))/(LN(2)/25)*Calculateur!CG54*Calculateur!CI54*VLOOKUP('Données projet'!$B$12,Paramètres!$A$1:$I$89,3,0)*0.475*44/12</f>
        <v>15.547449165475456</v>
      </c>
      <c r="CM54" s="21">
        <f>EXP(-LN(2)/2)*CM53+(1-EXP(-LN(2)/2))/(LN(2)/2)*CG54*CJ54*VLOOKUP('Données projet'!$B$12,Paramètres!$A$1:$I$89,3,0)*0.475*44/12</f>
        <v>1.4883692272579793E-2</v>
      </c>
      <c r="CN54" s="22">
        <f t="shared" si="12"/>
        <v>20.379187422399518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5.6</v>
      </c>
      <c r="CT54" s="12">
        <f>IF('Données projet'!$A$140&gt;35,CT53+CS54-DB53,IF(A54&lt;'Données projet'!$A$140,$CQ$205^A54,IF(A54='Données projet'!$A$140,'Données projet'!$B$140,CT53+CS54-DB53)))</f>
        <v>207.59999999999974</v>
      </c>
      <c r="CU54" s="17">
        <f>CT54*VLOOKUP('Données projet'!$B$13,Paramètres!$A$1:$I$89,3,0)*VLOOKUP('Données projet'!$B$13,Paramètres!$A$1:$I$89,5,0)</f>
        <v>165.16655999999981</v>
      </c>
      <c r="CV54" s="13">
        <f t="shared" si="41"/>
        <v>42.005683261714502</v>
      </c>
      <c r="CW54" s="20">
        <f t="shared" si="13"/>
        <v>360.82499034748571</v>
      </c>
      <c r="CX54" s="59">
        <f t="shared" si="14"/>
        <v>654.15832368081897</v>
      </c>
      <c r="CY54" s="59">
        <f ca="1">AVERAGE(OFFSET($CX$3,0,0,'Données projet'!$E$13+1,1))-AVERAGE(OFFSET($H$3,0,0,'Données projet'!$E$13+1,1))</f>
        <v>199.58763537752952</v>
      </c>
      <c r="CZ54" s="59">
        <f t="shared" si="42"/>
        <v>242.62852778451929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5.7445186751865567</v>
      </c>
      <c r="DH54" s="21">
        <f>EXP(-LN(2)/2)*DH53+(1-EXP(-LN(2)/2))/(LN(2)/2)*DB54*DE54*VLOOKUP('Données projet'!$B$13,Paramètres!$A$1:$I$89,3,0)*0.475*44/12</f>
        <v>7.4312215976377188E-3</v>
      </c>
      <c r="DI54" s="22">
        <f t="shared" si="15"/>
        <v>5.7519498967841942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11.4</v>
      </c>
      <c r="DO54" s="12">
        <f>IF('Données projet'!$A$166&gt;35,DO53+DN54-DW53,IF(A54&lt;'Données projet'!$A$166,$DL$205^A54,IF(A54='Données projet'!$A$166,'Données projet'!$B$166,DO53+DN54-DW53)))</f>
        <v>284.39999999999998</v>
      </c>
      <c r="DP54" s="17">
        <f>DO54*VLOOKUP('Données projet'!$B$14,Paramètres!$A$1:$I$89,3,0)*VLOOKUP('Données projet'!$B$14,Paramètres!$A$1:$I$89,5,0)</f>
        <v>170.07119999999998</v>
      </c>
      <c r="DQ54" s="13">
        <f t="shared" si="43"/>
        <v>43.105969628155904</v>
      </c>
      <c r="DR54" s="20">
        <f t="shared" si="16"/>
        <v>371.2835704357048</v>
      </c>
      <c r="DS54" s="59">
        <f t="shared" si="17"/>
        <v>664.61690376903812</v>
      </c>
      <c r="DT54" s="59">
        <f ca="1">AVERAGE(OFFSET($DS$3,0,0,'Données projet'!$E$14+1,1))-AVERAGE(OFFSET($H$3,0,0,'Données projet'!$E$14+1,1))</f>
        <v>216.94426559495264</v>
      </c>
      <c r="DU54" s="59">
        <f t="shared" si="44"/>
        <v>225.33715877618704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7.1781584500912263</v>
      </c>
      <c r="EC54" s="21">
        <f>EXP(-LN(2)/2)*EC53+(1-EXP(-LN(2)/2))/(LN(2)/2)*DW54*DZ54*VLOOKUP('Données projet'!$B$14,Paramètres!$A$1:$I$89,3,0)*0.475*44/12</f>
        <v>1.6385928984368508E-2</v>
      </c>
      <c r="ED54" s="22">
        <f t="shared" si="18"/>
        <v>7.1945443790755945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21.2</v>
      </c>
      <c r="EJ54" s="12">
        <f>IF('Données projet'!$A$192&gt;35,EJ53+EI54-ER53,IF(A54&lt;'Données projet'!$A$192,$EG$205^A54,IF(A54='Données projet'!$A$192,'Données projet'!$B$192,EJ53+EI54-ER53)))</f>
        <v>439.20000000000005</v>
      </c>
      <c r="EK54" s="17">
        <f>EJ54*VLOOKUP('Données projet'!$B$15,Paramètres!$A$1:$I$89,3,0)*VLOOKUP('Données projet'!$B$15,Paramètres!$A$1:$I$89,5,0)</f>
        <v>211.25520000000003</v>
      </c>
      <c r="EL54" s="13">
        <f t="shared" si="45"/>
        <v>52.209783272091016</v>
      </c>
      <c r="EM54" s="20">
        <f t="shared" si="19"/>
        <v>458.86817919889182</v>
      </c>
      <c r="EN54" s="59">
        <f t="shared" si="20"/>
        <v>752.20151253222514</v>
      </c>
      <c r="EO54" s="59">
        <f ca="1">AVERAGE(OFFSET($EN$3,0,0,'Données projet'!$E$15+1,1))-AVERAGE(OFFSET($H$3,0,0,'Données projet'!$E$15+1,1))</f>
        <v>292.1792787220852</v>
      </c>
      <c r="EP54" s="59">
        <f t="shared" si="46"/>
        <v>273.69206144662144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4.4454870925468324</v>
      </c>
      <c r="EW54" s="21">
        <f>EXP(-LN(2)/25)*EW53+(1-EXP(-LN(2)/25))/(LN(2)/25)*Calculateur!ER54*Calculateur!ET54*VLOOKUP('Données projet'!$B$15,Paramètres!$A$1:$I$89,3,0)*0.475*44/12</f>
        <v>7.4987485707832535</v>
      </c>
      <c r="EX54" s="21">
        <f>EXP(-LN(2)/2)*EX53+(1-EXP(-LN(2)/2))/(LN(2)/2)*ER54*EU54*VLOOKUP('Données projet'!$B$15,Paramètres!$A$1:$I$89,3,0)*0.475*44/12</f>
        <v>1.4440987280848723E-2</v>
      </c>
      <c r="EY54" s="22">
        <f t="shared" si="21"/>
        <v>11.958676650610936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13.499999999999996</v>
      </c>
      <c r="N55" s="13">
        <f>IF('Données projet'!$A$36&gt;35,N54+M55-V54,IF(A55&lt;'Données projet'!$A$36,$K$205^A55,IF(A55='Données projet'!$A$36,'Données projet'!$B$36,N54+M55-V54)))</f>
        <v>266.79999999999984</v>
      </c>
      <c r="O55" s="13">
        <f>N55*VLOOKUP('Données projet'!$B$9,Paramètres!$A$1:$I$89,3,0)*VLOOKUP('Données projet'!$B$9,Paramètres!$A$1:$I$89,5,0)</f>
        <v>124.86239999999994</v>
      </c>
      <c r="P55" s="13">
        <f t="shared" si="33"/>
        <v>32.80643928056157</v>
      </c>
      <c r="Q55" s="20">
        <f t="shared" si="53"/>
        <v>274.60656174697795</v>
      </c>
      <c r="R55" s="59">
        <f t="shared" si="0"/>
        <v>567.93989508031132</v>
      </c>
      <c r="S55" s="59">
        <f ca="1">AVERAGE(OFFSET($R$3,0,0,'Données projet'!$E$9+1,1))-AVERAGE(OFFSET($H$3,0,0,'Données projet'!$E$9+1,1))</f>
        <v>215.23235148064941</v>
      </c>
      <c r="T55" s="59">
        <f t="shared" si="34"/>
        <v>184.07239726900434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2.0274993599826621</v>
      </c>
      <c r="AA55" s="21">
        <f>EXP(-LN(2)/25)*AA54+(1-EXP(-LN(2)/25))/(LN(2)/25)*Calculateur!V55*Calculateur!X55*VLOOKUP('Données projet'!$B$9,Paramètres!$A$1:$I$89,3,0)*0.475*44/12</f>
        <v>4.26840348740759</v>
      </c>
      <c r="AB55" s="21">
        <f>EXP(-LN(2)/2)*AB54+(1-EXP(-LN(2)/2))/(LN(2)/2)*V55*Y55*VLOOKUP('Données projet'!$B$9,Paramètres!$A$1:$I$89,3,0)*0.475*44/12</f>
        <v>4.8008674220195273E-3</v>
      </c>
      <c r="AC55" s="22">
        <f t="shared" si="3"/>
        <v>6.300703714812272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-8.5265128291212022E-14</v>
      </c>
      <c r="AJ55" s="13">
        <f>AI55*VLOOKUP('Données projet'!$B$10,Paramètres!$A$1:$I$89,3,0)*VLOOKUP('Données projet'!$B$10,Paramètres!$A$1:$I$89,5,0)</f>
        <v>-7.7147888077888636E-14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225.28075317732998</v>
      </c>
      <c r="AO55" s="59">
        <f t="shared" si="36"/>
        <v>358.43407531256207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1.451148582020277</v>
      </c>
      <c r="AV55" s="21">
        <f>EXP(-LN(2)/25)*AV54+(1-EXP(-LN(2)/25))/(LN(2)/25)*Calculateur!AQ55*Calculateur!AS55*VLOOKUP('Données projet'!$B$10,Paramètres!$A$1:$I$89,3,0)*0.475*44/12</f>
        <v>4.4947661895070476</v>
      </c>
      <c r="AW55" s="21">
        <f>EXP(-LN(2)/2)*AW54+(1-EXP(-LN(2)/2))/(LN(2)/2)*AQ55*AT55*VLOOKUP('Données projet'!$B$10,Paramètres!$A$1:$I$89,3,0)*0.475*44/12</f>
        <v>2.1552837475437127E-3</v>
      </c>
      <c r="AX55" s="21">
        <f t="shared" si="6"/>
        <v>5.9480700552748687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16.2</v>
      </c>
      <c r="BD55" s="12">
        <f>IF('Données projet'!$A$88&gt;35,BD54+BC55-BL54,IF(A55&lt;'Données projet'!$A$88,$BA$205^A55,IF(A55='Données projet'!$A$88,'Données projet'!$B$88,BD54+BC55-BL54)))</f>
        <v>433.39999999999981</v>
      </c>
      <c r="BE55" s="13">
        <f>BD55*VLOOKUP('Données projet'!$B$11,Paramètres!$A$1:$I$89,3,0)*VLOOKUP('Données projet'!$B$11,Paramètres!$A$1:$I$89,5,0)</f>
        <v>242.27059999999989</v>
      </c>
      <c r="BF55" s="13">
        <f t="shared" si="37"/>
        <v>58.927793080541385</v>
      </c>
      <c r="BG55" s="20">
        <f t="shared" si="7"/>
        <v>524.58720128194273</v>
      </c>
      <c r="BH55" s="59">
        <f t="shared" si="8"/>
        <v>817.92053461527598</v>
      </c>
      <c r="BI55" s="59">
        <f ca="1">AVERAGE(OFFSET($BH$3,0,0,'Données projet'!$E$11+1,1))-AVERAGE(OFFSET($H$3,0,0,'Données projet'!$E$11+1,1))</f>
        <v>326.31232746914907</v>
      </c>
      <c r="BJ55" s="59">
        <f t="shared" si="38"/>
        <v>330.17137761430297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2.9546226451453959</v>
      </c>
      <c r="BQ55" s="21">
        <f>EXP(-LN(2)/25)*BQ54+(1-EXP(-LN(2)/25))/(LN(2)/25)*Calculateur!BL55*Calculateur!BN55*VLOOKUP('Données projet'!$B$11,Paramètres!$A$1:$I$89,3,0)*0.475*44/12</f>
        <v>16.394997394306507</v>
      </c>
      <c r="BR55" s="21">
        <f>EXP(-LN(2)/2)*BR54+(1-EXP(-LN(2)/2))/(LN(2)/2)*BL55*BO55*VLOOKUP('Données projet'!$B$11,Paramètres!$A$1:$I$89,3,0)*0.475*44/12</f>
        <v>1.5879925962126583E-2</v>
      </c>
      <c r="BS55" s="22">
        <f t="shared" si="9"/>
        <v>19.365499965414031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303.60000000000014</v>
      </c>
      <c r="BZ55" s="13">
        <f>BY55*VLOOKUP('Données projet'!$B$12,Paramètres!$A$1:$I$89,3,0)*VLOOKUP('Données projet'!$B$12,Paramètres!$A$1:$I$89,5,0)</f>
        <v>165.76560000000009</v>
      </c>
      <c r="CA55" s="13">
        <f t="shared" si="39"/>
        <v>42.140271125684301</v>
      </c>
      <c r="CB55" s="20">
        <f t="shared" si="10"/>
        <v>362.10272554390031</v>
      </c>
      <c r="CC55" s="59">
        <f t="shared" si="11"/>
        <v>655.43605887723356</v>
      </c>
      <c r="CD55" s="59">
        <f ca="1">AVERAGE(OFFSET($CC$3,0,0,'Données projet'!$E$12+1,1))-AVERAGE(OFFSET($H$3,0,0,'Données projet'!$E$12+1,1))</f>
        <v>210.04871822652808</v>
      </c>
      <c r="CE55" s="59">
        <f t="shared" si="40"/>
        <v>250.17540614049324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4.722398984629848</v>
      </c>
      <c r="CL55" s="21">
        <f>EXP(-LN(2)/25)*CL54+(1-EXP(-LN(2)/25))/(LN(2)/25)*Calculateur!CG55*Calculateur!CI55*VLOOKUP('Données projet'!$B$12,Paramètres!$A$1:$I$89,3,0)*0.475*44/12</f>
        <v>15.122303350440712</v>
      </c>
      <c r="CM55" s="21">
        <f>EXP(-LN(2)/2)*CM54+(1-EXP(-LN(2)/2))/(LN(2)/2)*CG55*CJ55*VLOOKUP('Données projet'!$B$12,Paramètres!$A$1:$I$89,3,0)*0.475*44/12</f>
        <v>1.0524359735034988E-2</v>
      </c>
      <c r="CN55" s="22">
        <f t="shared" si="12"/>
        <v>19.855226694805594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5.6</v>
      </c>
      <c r="CT55" s="12">
        <f>IF('Données projet'!$A$140&gt;35,CT54+CS55-DB54,IF(A55&lt;'Données projet'!$A$140,$CQ$205^A55,IF(A55='Données projet'!$A$140,'Données projet'!$B$140,CT54+CS55-DB54)))</f>
        <v>213.19999999999973</v>
      </c>
      <c r="CU55" s="17">
        <f>CT55*VLOOKUP('Données projet'!$B$13,Paramètres!$A$1:$I$89,3,0)*VLOOKUP('Données projet'!$B$13,Paramètres!$A$1:$I$89,5,0)</f>
        <v>169.62191999999982</v>
      </c>
      <c r="CV55" s="13">
        <f t="shared" si="41"/>
        <v>43.005335272941906</v>
      </c>
      <c r="CW55" s="20">
        <f t="shared" si="13"/>
        <v>370.32580293370683</v>
      </c>
      <c r="CX55" s="59">
        <f t="shared" si="14"/>
        <v>663.65913626704014</v>
      </c>
      <c r="CY55" s="59">
        <f ca="1">AVERAGE(OFFSET($CX$3,0,0,'Données projet'!$E$13+1,1))-AVERAGE(OFFSET($H$3,0,0,'Données projet'!$E$13+1,1))</f>
        <v>199.58763537752952</v>
      </c>
      <c r="CZ55" s="59">
        <f t="shared" si="42"/>
        <v>242.62852778451929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5.5874345099224723</v>
      </c>
      <c r="DH55" s="21">
        <f>EXP(-LN(2)/2)*DH54+(1-EXP(-LN(2)/2))/(LN(2)/2)*DB55*DE55*VLOOKUP('Données projet'!$B$13,Paramètres!$A$1:$I$89,3,0)*0.475*44/12</f>
        <v>5.2546671841895605E-3</v>
      </c>
      <c r="DI55" s="22">
        <f t="shared" si="15"/>
        <v>5.5926891771066618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11.4</v>
      </c>
      <c r="DO55" s="12">
        <f>IF('Données projet'!$A$166&gt;35,DO54+DN55-DW54,IF(A55&lt;'Données projet'!$A$166,$DL$205^A55,IF(A55='Données projet'!$A$166,'Données projet'!$B$166,DO54+DN55-DW54)))</f>
        <v>295.79999999999995</v>
      </c>
      <c r="DP55" s="17">
        <f>DO55*VLOOKUP('Données projet'!$B$14,Paramètres!$A$1:$I$89,3,0)*VLOOKUP('Données projet'!$B$14,Paramètres!$A$1:$I$89,5,0)</f>
        <v>176.88839999999999</v>
      </c>
      <c r="DQ55" s="13">
        <f t="shared" si="43"/>
        <v>44.629211487047861</v>
      </c>
      <c r="DR55" s="20">
        <f t="shared" si="16"/>
        <v>385.80984000660828</v>
      </c>
      <c r="DS55" s="59">
        <f t="shared" si="17"/>
        <v>679.14317333994154</v>
      </c>
      <c r="DT55" s="59">
        <f ca="1">AVERAGE(OFFSET($DS$3,0,0,'Données projet'!$E$14+1,1))-AVERAGE(OFFSET($H$3,0,0,'Données projet'!$E$14+1,1))</f>
        <v>216.94426559495264</v>
      </c>
      <c r="DU55" s="59">
        <f t="shared" si="44"/>
        <v>225.33715877618704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6.9818713297905344</v>
      </c>
      <c r="EC55" s="21">
        <f>EXP(-LN(2)/2)*EC54+(1-EXP(-LN(2)/2))/(LN(2)/2)*DW55*DZ55*VLOOKUP('Données projet'!$B$14,Paramètres!$A$1:$I$89,3,0)*0.475*44/12</f>
        <v>1.158660150088817E-2</v>
      </c>
      <c r="ED55" s="22">
        <f t="shared" si="18"/>
        <v>6.9934579312914229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21.2</v>
      </c>
      <c r="EJ55" s="12">
        <f>IF('Données projet'!$A$192&gt;35,EJ54+EI55-ER54,IF(A55&lt;'Données projet'!$A$192,$EG$205^A55,IF(A55='Données projet'!$A$192,'Données projet'!$B$192,EJ54+EI55-ER54)))</f>
        <v>460.40000000000003</v>
      </c>
      <c r="EK55" s="17">
        <f>EJ55*VLOOKUP('Données projet'!$B$15,Paramètres!$A$1:$I$89,3,0)*VLOOKUP('Données projet'!$B$15,Paramètres!$A$1:$I$89,5,0)</f>
        <v>221.45240000000001</v>
      </c>
      <c r="EL55" s="13">
        <f t="shared" si="45"/>
        <v>54.430436692192742</v>
      </c>
      <c r="EM55" s="20">
        <f t="shared" si="19"/>
        <v>480.49594057223567</v>
      </c>
      <c r="EN55" s="59">
        <f t="shared" si="20"/>
        <v>773.82927390556893</v>
      </c>
      <c r="EO55" s="59">
        <f ca="1">AVERAGE(OFFSET($EN$3,0,0,'Données projet'!$E$15+1,1))-AVERAGE(OFFSET($H$3,0,0,'Données projet'!$E$15+1,1))</f>
        <v>292.1792787220852</v>
      </c>
      <c r="EP55" s="59">
        <f t="shared" si="46"/>
        <v>273.69206144662144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4.358313802141379</v>
      </c>
      <c r="EW55" s="21">
        <f>EXP(-LN(2)/25)*EW54+(1-EXP(-LN(2)/25))/(LN(2)/25)*Calculateur!ER55*Calculateur!ET55*VLOOKUP('Données projet'!$B$15,Paramètres!$A$1:$I$89,3,0)*0.475*44/12</f>
        <v>7.293694896773137</v>
      </c>
      <c r="EX55" s="21">
        <f>EXP(-LN(2)/2)*EX54+(1-EXP(-LN(2)/2))/(LN(2)/2)*ER55*EU55*VLOOKUP('Données projet'!$B$15,Paramètres!$A$1:$I$89,3,0)*0.475*44/12</f>
        <v>1.0211320033316814E-2</v>
      </c>
      <c r="EY55" s="22">
        <f t="shared" si="21"/>
        <v>11.662220018947833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13.499999999999996</v>
      </c>
      <c r="N56" s="13">
        <f>IF('Données projet'!$A$36&gt;35,N55+M56-V55,IF(A56&lt;'Données projet'!$A$36,$K$205^A56,IF(A56='Données projet'!$A$36,'Données projet'!$B$36,N55+M56-V55)))</f>
        <v>280.29999999999984</v>
      </c>
      <c r="O56" s="13">
        <f>N56*VLOOKUP('Données projet'!$B$9,Paramètres!$A$1:$I$89,3,0)*VLOOKUP('Données projet'!$B$9,Paramètres!$A$1:$I$89,5,0)</f>
        <v>131.18039999999993</v>
      </c>
      <c r="P56" s="13">
        <f t="shared" si="33"/>
        <v>34.268971460239172</v>
      </c>
      <c r="Q56" s="20">
        <f t="shared" si="53"/>
        <v>288.15765529324972</v>
      </c>
      <c r="R56" s="59">
        <f t="shared" si="0"/>
        <v>581.49098862658298</v>
      </c>
      <c r="S56" s="59">
        <f ca="1">AVERAGE(OFFSET($R$3,0,0,'Données projet'!$E$9+1,1))-AVERAGE(OFFSET($H$3,0,0,'Données projet'!$E$9+1,1))</f>
        <v>215.23235148064941</v>
      </c>
      <c r="T56" s="59">
        <f t="shared" si="34"/>
        <v>184.07239726900434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1.9877413341859023</v>
      </c>
      <c r="AA56" s="21">
        <f>EXP(-LN(2)/25)*AA55+(1-EXP(-LN(2)/25))/(LN(2)/25)*Calculateur!V56*Calculateur!X56*VLOOKUP('Données projet'!$B$9,Paramètres!$A$1:$I$89,3,0)*0.475*44/12</f>
        <v>4.1516837695788453</v>
      </c>
      <c r="AB56" s="21">
        <f>EXP(-LN(2)/2)*AB55+(1-EXP(-LN(2)/2))/(LN(2)/2)*V56*Y56*VLOOKUP('Données projet'!$B$9,Paramètres!$A$1:$I$89,3,0)*0.475*44/12</f>
        <v>3.3947259096875865E-3</v>
      </c>
      <c r="AC56" s="22">
        <f t="shared" si="3"/>
        <v>6.1428198296744343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-8.5265128291212022E-14</v>
      </c>
      <c r="AJ56" s="13">
        <f>AI56*VLOOKUP('Données projet'!$B$10,Paramètres!$A$1:$I$89,3,0)*VLOOKUP('Données projet'!$B$10,Paramètres!$A$1:$I$89,5,0)</f>
        <v>-7.7147888077888636E-14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225.28075317732998</v>
      </c>
      <c r="AO56" s="59">
        <f t="shared" si="36"/>
        <v>358.43407531256207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1.4226924434400967</v>
      </c>
      <c r="AV56" s="21">
        <f>EXP(-LN(2)/25)*AV55+(1-EXP(-LN(2)/25))/(LN(2)/25)*Calculateur!AQ56*Calculateur!AS56*VLOOKUP('Données projet'!$B$10,Paramètres!$A$1:$I$89,3,0)*0.475*44/12</f>
        <v>4.3718565716854965</v>
      </c>
      <c r="AW56" s="21">
        <f>EXP(-LN(2)/2)*AW55+(1-EXP(-LN(2)/2))/(LN(2)/2)*AQ56*AT56*VLOOKUP('Données projet'!$B$10,Paramètres!$A$1:$I$89,3,0)*0.475*44/12</f>
        <v>1.5240157532693142E-3</v>
      </c>
      <c r="AX56" s="21">
        <f t="shared" si="6"/>
        <v>5.7960730308788628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16.2</v>
      </c>
      <c r="BD56" s="12">
        <f>IF('Données projet'!$A$88&gt;35,BD55+BC56-BL55,IF(A56&lt;'Données projet'!$A$88,$BA$205^A56,IF(A56='Données projet'!$A$88,'Données projet'!$B$88,BD55+BC56-BL55)))</f>
        <v>449.5999999999998</v>
      </c>
      <c r="BE56" s="13">
        <f>BD56*VLOOKUP('Données projet'!$B$11,Paramètres!$A$1:$I$89,3,0)*VLOOKUP('Données projet'!$B$11,Paramètres!$A$1:$I$89,5,0)</f>
        <v>251.32639999999989</v>
      </c>
      <c r="BF56" s="13">
        <f t="shared" si="37"/>
        <v>60.869881917806573</v>
      </c>
      <c r="BG56" s="20">
        <f t="shared" si="7"/>
        <v>543.74185767351298</v>
      </c>
      <c r="BH56" s="59">
        <f t="shared" si="8"/>
        <v>837.07519100684635</v>
      </c>
      <c r="BI56" s="59">
        <f ca="1">AVERAGE(OFFSET($BH$3,0,0,'Données projet'!$E$11+1,1))-AVERAGE(OFFSET($H$3,0,0,'Données projet'!$E$11+1,1))</f>
        <v>326.31232746914907</v>
      </c>
      <c r="BJ56" s="59">
        <f t="shared" si="38"/>
        <v>330.17137761430297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2.8966842972159617</v>
      </c>
      <c r="BQ56" s="21">
        <f>EXP(-LN(2)/25)*BQ55+(1-EXP(-LN(2)/25))/(LN(2)/25)*Calculateur!BL56*Calculateur!BN56*VLOOKUP('Données projet'!$B$11,Paramètres!$A$1:$I$89,3,0)*0.475*44/12</f>
        <v>15.946675328383755</v>
      </c>
      <c r="BR56" s="21">
        <f>EXP(-LN(2)/2)*BR55+(1-EXP(-LN(2)/2))/(LN(2)/2)*BL56*BO56*VLOOKUP('Données projet'!$B$11,Paramètres!$A$1:$I$89,3,0)*0.475*44/12</f>
        <v>1.1228803332560017E-2</v>
      </c>
      <c r="BS56" s="22">
        <f t="shared" si="9"/>
        <v>18.854588428932278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313.40000000000015</v>
      </c>
      <c r="BZ56" s="13">
        <f>BY56*VLOOKUP('Données projet'!$B$12,Paramètres!$A$1:$I$89,3,0)*VLOOKUP('Données projet'!$B$12,Paramètres!$A$1:$I$89,5,0)</f>
        <v>171.11640000000011</v>
      </c>
      <c r="CA56" s="13">
        <f t="shared" si="39"/>
        <v>43.339964715636555</v>
      </c>
      <c r="CB56" s="20">
        <f t="shared" si="10"/>
        <v>373.51150187973388</v>
      </c>
      <c r="CC56" s="59">
        <f t="shared" si="11"/>
        <v>666.8448352130672</v>
      </c>
      <c r="CD56" s="59">
        <f ca="1">AVERAGE(OFFSET($CC$3,0,0,'Données projet'!$E$12+1,1))-AVERAGE(OFFSET($H$3,0,0,'Données projet'!$E$12+1,1))</f>
        <v>210.04871822652808</v>
      </c>
      <c r="CE56" s="59">
        <f t="shared" si="40"/>
        <v>250.17540614049324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4.6297956209202233</v>
      </c>
      <c r="CL56" s="21">
        <f>EXP(-LN(2)/25)*CL55+(1-EXP(-LN(2)/25))/(LN(2)/25)*Calculateur!CG56*Calculateur!CI56*VLOOKUP('Données projet'!$B$12,Paramètres!$A$1:$I$89,3,0)*0.475*44/12</f>
        <v>14.70878317007554</v>
      </c>
      <c r="CM56" s="21">
        <f>EXP(-LN(2)/2)*CM55+(1-EXP(-LN(2)/2))/(LN(2)/2)*CG56*CJ56*VLOOKUP('Données projet'!$B$12,Paramètres!$A$1:$I$89,3,0)*0.475*44/12</f>
        <v>7.4418461362898971E-3</v>
      </c>
      <c r="CN56" s="22">
        <f t="shared" si="12"/>
        <v>19.34602063713205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5.6</v>
      </c>
      <c r="CT56" s="12">
        <f>IF('Données projet'!$A$140&gt;35,CT55+CS56-DB55,IF(A56&lt;'Données projet'!$A$140,$CQ$205^A56,IF(A56='Données projet'!$A$140,'Données projet'!$B$140,CT55+CS56-DB55)))</f>
        <v>218.79999999999973</v>
      </c>
      <c r="CU56" s="17">
        <f>CT56*VLOOKUP('Données projet'!$B$13,Paramètres!$A$1:$I$89,3,0)*VLOOKUP('Données projet'!$B$13,Paramètres!$A$1:$I$89,5,0)</f>
        <v>174.0772799999998</v>
      </c>
      <c r="CV56" s="13">
        <f t="shared" si="41"/>
        <v>44.001935233861104</v>
      </c>
      <c r="CW56" s="20">
        <f t="shared" si="13"/>
        <v>379.82129986564109</v>
      </c>
      <c r="CX56" s="59">
        <f t="shared" si="14"/>
        <v>673.15463319897435</v>
      </c>
      <c r="CY56" s="59">
        <f ca="1">AVERAGE(OFFSET($CX$3,0,0,'Données projet'!$E$13+1,1))-AVERAGE(OFFSET($H$3,0,0,'Données projet'!$E$13+1,1))</f>
        <v>199.58763537752952</v>
      </c>
      <c r="CZ56" s="59">
        <f t="shared" si="42"/>
        <v>242.62852778451929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5.4346458194182317</v>
      </c>
      <c r="DH56" s="21">
        <f>EXP(-LN(2)/2)*DH55+(1-EXP(-LN(2)/2))/(LN(2)/2)*DB56*DE56*VLOOKUP('Données projet'!$B$13,Paramètres!$A$1:$I$89,3,0)*0.475*44/12</f>
        <v>3.7156107988188594E-3</v>
      </c>
      <c r="DI56" s="22">
        <f t="shared" si="15"/>
        <v>5.4383614302170509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11.4</v>
      </c>
      <c r="DO56" s="12">
        <f>IF('Données projet'!$A$166&gt;35,DO55+DN56-DW55,IF(A56&lt;'Données projet'!$A$166,$DL$205^A56,IF(A56='Données projet'!$A$166,'Données projet'!$B$166,DO55+DN56-DW55)))</f>
        <v>307.19999999999993</v>
      </c>
      <c r="DP56" s="17">
        <f>DO56*VLOOKUP('Données projet'!$B$14,Paramètres!$A$1:$I$89,3,0)*VLOOKUP('Données projet'!$B$14,Paramètres!$A$1:$I$89,5,0)</f>
        <v>183.70559999999998</v>
      </c>
      <c r="DQ56" s="13">
        <f t="shared" si="43"/>
        <v>46.145633597806309</v>
      </c>
      <c r="DR56" s="20">
        <f t="shared" si="16"/>
        <v>400.32423184951267</v>
      </c>
      <c r="DS56" s="59">
        <f t="shared" si="17"/>
        <v>693.65756518284593</v>
      </c>
      <c r="DT56" s="59">
        <f ca="1">AVERAGE(OFFSET($DS$3,0,0,'Données projet'!$E$14+1,1))-AVERAGE(OFFSET($H$3,0,0,'Données projet'!$E$14+1,1))</f>
        <v>216.94426559495264</v>
      </c>
      <c r="DU56" s="59">
        <f t="shared" si="44"/>
        <v>225.33715877618704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6.7909516911167565</v>
      </c>
      <c r="EC56" s="21">
        <f>EXP(-LN(2)/2)*EC55+(1-EXP(-LN(2)/2))/(LN(2)/2)*DW56*DZ56*VLOOKUP('Données projet'!$B$14,Paramètres!$A$1:$I$89,3,0)*0.475*44/12</f>
        <v>8.1929644921842539E-3</v>
      </c>
      <c r="ED56" s="22">
        <f t="shared" si="18"/>
        <v>6.7991446556089405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21.2</v>
      </c>
      <c r="EJ56" s="12">
        <f>IF('Données projet'!$A$192&gt;35,EJ55+EI56-ER55,IF(A56&lt;'Données projet'!$A$192,$EG$205^A56,IF(A56='Données projet'!$A$192,'Données projet'!$B$192,EJ55+EI56-ER55)))</f>
        <v>481.6</v>
      </c>
      <c r="EK56" s="17">
        <f>EJ56*VLOOKUP('Données projet'!$B$15,Paramètres!$A$1:$I$89,3,0)*VLOOKUP('Données projet'!$B$15,Paramètres!$A$1:$I$89,5,0)</f>
        <v>231.64960000000002</v>
      </c>
      <c r="EL56" s="13">
        <f t="shared" si="45"/>
        <v>56.639215128249774</v>
      </c>
      <c r="EM56" s="20">
        <f t="shared" si="19"/>
        <v>502.10301968170171</v>
      </c>
      <c r="EN56" s="59">
        <f t="shared" si="20"/>
        <v>795.43635301503502</v>
      </c>
      <c r="EO56" s="59">
        <f ca="1">AVERAGE(OFFSET($EN$3,0,0,'Données projet'!$E$15+1,1))-AVERAGE(OFFSET($H$3,0,0,'Données projet'!$E$15+1,1))</f>
        <v>292.1792787220852</v>
      </c>
      <c r="EP56" s="59">
        <f t="shared" si="46"/>
        <v>273.69206144662144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4.2728499267903199</v>
      </c>
      <c r="EW56" s="21">
        <f>EXP(-LN(2)/25)*EW55+(1-EXP(-LN(2)/25))/(LN(2)/25)*Calculateur!ER56*Calculateur!ET56*VLOOKUP('Données projet'!$B$15,Paramètres!$A$1:$I$89,3,0)*0.475*44/12</f>
        <v>7.0942484262621308</v>
      </c>
      <c r="EX56" s="21">
        <f>EXP(-LN(2)/2)*EX55+(1-EXP(-LN(2)/2))/(LN(2)/2)*ER56*EU56*VLOOKUP('Données projet'!$B$15,Paramètres!$A$1:$I$89,3,0)*0.475*44/12</f>
        <v>7.2204936404243617E-3</v>
      </c>
      <c r="EY56" s="22">
        <f t="shared" si="21"/>
        <v>11.374318846692876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13.499999999999996</v>
      </c>
      <c r="N57" s="13">
        <f>IF('Données projet'!$A$36&gt;35,N56+M57-V56,IF(A57&lt;'Données projet'!$A$36,$K$205^A57,IF(A57='Données projet'!$A$36,'Données projet'!$B$36,N56+M57-V56)))</f>
        <v>293.79999999999984</v>
      </c>
      <c r="O57" s="13">
        <f>N57*VLOOKUP('Données projet'!$B$9,Paramètres!$A$1:$I$89,3,0)*VLOOKUP('Données projet'!$B$9,Paramètres!$A$1:$I$89,5,0)</f>
        <v>137.49839999999992</v>
      </c>
      <c r="P57" s="13">
        <f t="shared" si="33"/>
        <v>35.723324086274197</v>
      </c>
      <c r="Q57" s="20">
        <f t="shared" si="53"/>
        <v>301.69450278359409</v>
      </c>
      <c r="R57" s="59">
        <f t="shared" si="0"/>
        <v>595.02783611692735</v>
      </c>
      <c r="S57" s="59">
        <f ca="1">AVERAGE(OFFSET($R$3,0,0,'Données projet'!$E$9+1,1))-AVERAGE(OFFSET($H$3,0,0,'Données projet'!$E$9+1,1))</f>
        <v>215.23235148064941</v>
      </c>
      <c r="T57" s="59">
        <f t="shared" si="34"/>
        <v>184.07239726900434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1.9487629390250159</v>
      </c>
      <c r="AA57" s="21">
        <f>EXP(-LN(2)/25)*AA56+(1-EXP(-LN(2)/25))/(LN(2)/25)*Calculateur!V57*Calculateur!X57*VLOOKUP('Données projet'!$B$9,Paramètres!$A$1:$I$89,3,0)*0.475*44/12</f>
        <v>4.0381557585721515</v>
      </c>
      <c r="AB57" s="21">
        <f>EXP(-LN(2)/2)*AB56+(1-EXP(-LN(2)/2))/(LN(2)/2)*V57*Y57*VLOOKUP('Données projet'!$B$9,Paramètres!$A$1:$I$89,3,0)*0.475*44/12</f>
        <v>2.4004337110097636E-3</v>
      </c>
      <c r="AC57" s="22">
        <f t="shared" si="3"/>
        <v>5.9893191313081768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-8.5265128291212022E-14</v>
      </c>
      <c r="AJ57" s="13">
        <f>AI57*VLOOKUP('Données projet'!$B$10,Paramètres!$A$1:$I$89,3,0)*VLOOKUP('Données projet'!$B$10,Paramètres!$A$1:$I$89,5,0)</f>
        <v>-7.7147888077888636E-14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225.28075317732998</v>
      </c>
      <c r="AO57" s="59">
        <f t="shared" si="36"/>
        <v>358.43407531256207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1.394794312380943</v>
      </c>
      <c r="AV57" s="21">
        <f>EXP(-LN(2)/25)*AV56+(1-EXP(-LN(2)/25))/(LN(2)/25)*Calculateur!AQ57*Calculateur!AS57*VLOOKUP('Données projet'!$B$10,Paramètres!$A$1:$I$89,3,0)*0.475*44/12</f>
        <v>4.2523079238268116</v>
      </c>
      <c r="AW57" s="21">
        <f>EXP(-LN(2)/2)*AW56+(1-EXP(-LN(2)/2))/(LN(2)/2)*AQ57*AT57*VLOOKUP('Données projet'!$B$10,Paramètres!$A$1:$I$89,3,0)*0.475*44/12</f>
        <v>1.0776418737718564E-3</v>
      </c>
      <c r="AX57" s="21">
        <f t="shared" si="6"/>
        <v>5.6481798780815256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16.2</v>
      </c>
      <c r="BD57" s="12">
        <f>IF('Données projet'!$A$88&gt;35,BD56+BC57-BL56,IF(A57&lt;'Données projet'!$A$88,$BA$205^A57,IF(A57='Données projet'!$A$88,'Données projet'!$B$88,BD56+BC57-BL56)))</f>
        <v>465.79999999999978</v>
      </c>
      <c r="BE57" s="13">
        <f>BD57*VLOOKUP('Données projet'!$B$11,Paramètres!$A$1:$I$89,3,0)*VLOOKUP('Données projet'!$B$11,Paramètres!$A$1:$I$89,5,0)</f>
        <v>260.3821999999999</v>
      </c>
      <c r="BF57" s="13">
        <f t="shared" si="37"/>
        <v>62.803840584871082</v>
      </c>
      <c r="BG57" s="20">
        <f t="shared" si="7"/>
        <v>562.88235401865029</v>
      </c>
      <c r="BH57" s="59">
        <f t="shared" si="8"/>
        <v>856.21568735198366</v>
      </c>
      <c r="BI57" s="59">
        <f ca="1">AVERAGE(OFFSET($BH$3,0,0,'Données projet'!$E$11+1,1))-AVERAGE(OFFSET($H$3,0,0,'Données projet'!$E$11+1,1))</f>
        <v>326.31232746914907</v>
      </c>
      <c r="BJ57" s="59">
        <f t="shared" si="38"/>
        <v>330.17137761430297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2.8398820849505206</v>
      </c>
      <c r="BQ57" s="21">
        <f>EXP(-LN(2)/25)*BQ56+(1-EXP(-LN(2)/25))/(LN(2)/25)*Calculateur!BL57*Calculateur!BN57*VLOOKUP('Données projet'!$B$11,Paramètres!$A$1:$I$89,3,0)*0.475*44/12</f>
        <v>15.510612652929892</v>
      </c>
      <c r="BR57" s="21">
        <f>EXP(-LN(2)/2)*BR56+(1-EXP(-LN(2)/2))/(LN(2)/2)*BL57*BO57*VLOOKUP('Données projet'!$B$11,Paramètres!$A$1:$I$89,3,0)*0.475*44/12</f>
        <v>7.9399629810632914E-3</v>
      </c>
      <c r="BS57" s="22">
        <f t="shared" si="9"/>
        <v>18.358434700861473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323.20000000000016</v>
      </c>
      <c r="BZ57" s="13">
        <f>BY57*VLOOKUP('Données projet'!$B$12,Paramètres!$A$1:$I$89,3,0)*VLOOKUP('Données projet'!$B$12,Paramètres!$A$1:$I$89,5,0)</f>
        <v>176.46720000000008</v>
      </c>
      <c r="CA57" s="13">
        <f t="shared" si="39"/>
        <v>44.535298821989436</v>
      </c>
      <c r="CB57" s="20">
        <f t="shared" si="10"/>
        <v>384.91268544829836</v>
      </c>
      <c r="CC57" s="59">
        <f t="shared" si="11"/>
        <v>678.24601878163162</v>
      </c>
      <c r="CD57" s="59">
        <f ca="1">AVERAGE(OFFSET($CC$3,0,0,'Données projet'!$E$12+1,1))-AVERAGE(OFFSET($H$3,0,0,'Données projet'!$E$12+1,1))</f>
        <v>210.04871822652808</v>
      </c>
      <c r="CE57" s="59">
        <f t="shared" si="40"/>
        <v>250.17540614049324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4.53900815269047</v>
      </c>
      <c r="CL57" s="21">
        <f>EXP(-LN(2)/25)*CL56+(1-EXP(-LN(2)/25))/(LN(2)/25)*Calculateur!CG57*Calculateur!CI57*VLOOKUP('Données projet'!$B$12,Paramètres!$A$1:$I$89,3,0)*0.475*44/12</f>
        <v>14.306570720788535</v>
      </c>
      <c r="CM57" s="21">
        <f>EXP(-LN(2)/2)*CM56+(1-EXP(-LN(2)/2))/(LN(2)/2)*CG57*CJ57*VLOOKUP('Données projet'!$B$12,Paramètres!$A$1:$I$89,3,0)*0.475*44/12</f>
        <v>5.262179867517495E-3</v>
      </c>
      <c r="CN57" s="22">
        <f t="shared" si="12"/>
        <v>18.850841053346524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5.6</v>
      </c>
      <c r="CT57" s="12">
        <f>IF('Données projet'!$A$140&gt;35,CT56+CS57-DB56,IF(A57&lt;'Données projet'!$A$140,$CQ$205^A57,IF(A57='Données projet'!$A$140,'Données projet'!$B$140,CT56+CS57-DB56)))</f>
        <v>224.39999999999972</v>
      </c>
      <c r="CU57" s="17">
        <f>CT57*VLOOKUP('Données projet'!$B$13,Paramètres!$A$1:$I$89,3,0)*VLOOKUP('Données projet'!$B$13,Paramètres!$A$1:$I$89,5,0)</f>
        <v>178.53263999999979</v>
      </c>
      <c r="CV57" s="13">
        <f t="shared" si="41"/>
        <v>44.99557024111764</v>
      </c>
      <c r="CW57" s="20">
        <f t="shared" si="13"/>
        <v>389.31163283661289</v>
      </c>
      <c r="CX57" s="59">
        <f t="shared" si="14"/>
        <v>682.6449661699462</v>
      </c>
      <c r="CY57" s="59">
        <f ca="1">AVERAGE(OFFSET($CX$3,0,0,'Données projet'!$E$13+1,1))-AVERAGE(OFFSET($H$3,0,0,'Données projet'!$E$13+1,1))</f>
        <v>199.58763537752952</v>
      </c>
      <c r="CZ57" s="59">
        <f t="shared" si="42"/>
        <v>242.62852778451929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5.2860351436906372</v>
      </c>
      <c r="DH57" s="21">
        <f>EXP(-LN(2)/2)*DH56+(1-EXP(-LN(2)/2))/(LN(2)/2)*DB57*DE57*VLOOKUP('Données projet'!$B$13,Paramètres!$A$1:$I$89,3,0)*0.475*44/12</f>
        <v>2.6273335920947802E-3</v>
      </c>
      <c r="DI57" s="22">
        <f t="shared" si="15"/>
        <v>5.288662477282732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11.4</v>
      </c>
      <c r="DO57" s="12">
        <f>IF('Données projet'!$A$166&gt;35,DO56+DN57-DW56,IF(A57&lt;'Données projet'!$A$166,$DL$205^A57,IF(A57='Données projet'!$A$166,'Données projet'!$B$166,DO56+DN57-DW56)))</f>
        <v>318.59999999999991</v>
      </c>
      <c r="DP57" s="17">
        <f>DO57*VLOOKUP('Données projet'!$B$14,Paramètres!$A$1:$I$89,3,0)*VLOOKUP('Données projet'!$B$14,Paramètres!$A$1:$I$89,5,0)</f>
        <v>190.52279999999996</v>
      </c>
      <c r="DQ57" s="13">
        <f t="shared" si="43"/>
        <v>47.655518017541539</v>
      </c>
      <c r="DR57" s="20">
        <f t="shared" si="16"/>
        <v>414.82723721388476</v>
      </c>
      <c r="DS57" s="59">
        <f t="shared" si="17"/>
        <v>708.16057054721807</v>
      </c>
      <c r="DT57" s="59">
        <f ca="1">AVERAGE(OFFSET($DS$3,0,0,'Données projet'!$E$14+1,1))-AVERAGE(OFFSET($H$3,0,0,'Données projet'!$E$14+1,1))</f>
        <v>216.94426559495264</v>
      </c>
      <c r="DU57" s="59">
        <f t="shared" si="44"/>
        <v>225.33715877618704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6.6052527600025401</v>
      </c>
      <c r="EC57" s="21">
        <f>EXP(-LN(2)/2)*EC56+(1-EXP(-LN(2)/2))/(LN(2)/2)*DW57*DZ57*VLOOKUP('Données projet'!$B$14,Paramètres!$A$1:$I$89,3,0)*0.475*44/12</f>
        <v>5.7933007504440848E-3</v>
      </c>
      <c r="ED57" s="22">
        <f t="shared" si="18"/>
        <v>6.611046060752984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21.2</v>
      </c>
      <c r="EJ57" s="12">
        <f>IF('Données projet'!$A$192&gt;35,EJ56+EI57-ER56,IF(A57&lt;'Données projet'!$A$192,$EG$205^A57,IF(A57='Données projet'!$A$192,'Données projet'!$B$192,EJ56+EI57-ER56)))</f>
        <v>502.8</v>
      </c>
      <c r="EK57" s="17">
        <f>EJ57*VLOOKUP('Données projet'!$B$15,Paramètres!$A$1:$I$89,3,0)*VLOOKUP('Données projet'!$B$15,Paramètres!$A$1:$I$89,5,0)</f>
        <v>241.8468</v>
      </c>
      <c r="EL57" s="13">
        <f t="shared" si="45"/>
        <v>58.83670105430172</v>
      </c>
      <c r="EM57" s="20">
        <f t="shared" si="19"/>
        <v>523.69043100290867</v>
      </c>
      <c r="EN57" s="59">
        <f t="shared" si="20"/>
        <v>817.02376433624204</v>
      </c>
      <c r="EO57" s="59">
        <f ca="1">AVERAGE(OFFSET($EN$3,0,0,'Données projet'!$E$15+1,1))-AVERAGE(OFFSET($H$3,0,0,'Données projet'!$E$15+1,1))</f>
        <v>292.1792787220852</v>
      </c>
      <c r="EP57" s="59">
        <f t="shared" si="46"/>
        <v>273.69206144662144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4.1890619459070777</v>
      </c>
      <c r="EW57" s="21">
        <f>EXP(-LN(2)/25)*EW56+(1-EXP(-LN(2)/25))/(LN(2)/25)*Calculateur!ER57*Calculateur!ET57*VLOOKUP('Données projet'!$B$15,Paramètres!$A$1:$I$89,3,0)*0.475*44/12</f>
        <v>6.9002558299756824</v>
      </c>
      <c r="EX57" s="21">
        <f>EXP(-LN(2)/2)*EX56+(1-EXP(-LN(2)/2))/(LN(2)/2)*ER57*EU57*VLOOKUP('Données projet'!$B$15,Paramètres!$A$1:$I$89,3,0)*0.475*44/12</f>
        <v>5.105660016658407E-3</v>
      </c>
      <c r="EY57" s="22">
        <f t="shared" si="21"/>
        <v>11.094423435899419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13.499999999999996</v>
      </c>
      <c r="N58" s="13">
        <f>IF('Données projet'!$A$36&gt;35,N57+M58-V57,IF(A58&lt;'Données projet'!$A$36,$K$205^A58,IF(A58='Données projet'!$A$36,'Données projet'!$B$36,N57+M58-V57)))</f>
        <v>307.29999999999984</v>
      </c>
      <c r="O58" s="13">
        <f>N58*VLOOKUP('Données projet'!$B$9,Paramètres!$A$1:$I$89,3,0)*VLOOKUP('Données projet'!$B$9,Paramètres!$A$1:$I$89,5,0)</f>
        <v>143.81639999999993</v>
      </c>
      <c r="P58" s="13">
        <f t="shared" si="33"/>
        <v>37.169915935828818</v>
      </c>
      <c r="Q58" s="20">
        <f t="shared" si="53"/>
        <v>315.21783358823507</v>
      </c>
      <c r="R58" s="59">
        <f t="shared" si="0"/>
        <v>608.55116692156844</v>
      </c>
      <c r="S58" s="59">
        <f ca="1">AVERAGE(OFFSET($R$3,0,0,'Données projet'!$E$9+1,1))-AVERAGE(OFFSET($H$3,0,0,'Données projet'!$E$9+1,1))</f>
        <v>215.23235148064941</v>
      </c>
      <c r="T58" s="59">
        <f t="shared" si="34"/>
        <v>184.07239726900434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1.9105488864187608</v>
      </c>
      <c r="AA58" s="21">
        <f>EXP(-LN(2)/25)*AA57+(1-EXP(-LN(2)/25))/(LN(2)/25)*Calculateur!V58*Calculateur!X58*VLOOKUP('Données projet'!$B$9,Paramètres!$A$1:$I$89,3,0)*0.475*44/12</f>
        <v>3.927732176996614</v>
      </c>
      <c r="AB58" s="21">
        <f>EXP(-LN(2)/2)*AB57+(1-EXP(-LN(2)/2))/(LN(2)/2)*V58*Y58*VLOOKUP('Données projet'!$B$9,Paramètres!$A$1:$I$89,3,0)*0.475*44/12</f>
        <v>1.6973629548437932E-3</v>
      </c>
      <c r="AC58" s="22">
        <f t="shared" si="3"/>
        <v>5.8399784263702186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-8.5265128291212022E-14</v>
      </c>
      <c r="AJ58" s="13">
        <f>AI58*VLOOKUP('Données projet'!$B$10,Paramètres!$A$1:$I$89,3,0)*VLOOKUP('Données projet'!$B$10,Paramètres!$A$1:$I$89,5,0)</f>
        <v>-7.7147888077888636E-14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225.28075317732998</v>
      </c>
      <c r="AO58" s="59">
        <f t="shared" si="36"/>
        <v>358.43407531256207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1.3674432466556796</v>
      </c>
      <c r="AV58" s="21">
        <f>EXP(-LN(2)/25)*AV57+(1-EXP(-LN(2)/25))/(LN(2)/25)*Calculateur!AQ58*Calculateur!AS58*VLOOKUP('Données projet'!$B$10,Paramètres!$A$1:$I$89,3,0)*0.475*44/12</f>
        <v>4.1360283400306121</v>
      </c>
      <c r="AW58" s="21">
        <f>EXP(-LN(2)/2)*AW57+(1-EXP(-LN(2)/2))/(LN(2)/2)*AQ58*AT58*VLOOKUP('Données projet'!$B$10,Paramètres!$A$1:$I$89,3,0)*0.475*44/12</f>
        <v>7.620078766346571E-4</v>
      </c>
      <c r="AX58" s="21">
        <f t="shared" si="6"/>
        <v>5.5042335945629262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16.2</v>
      </c>
      <c r="BD58" s="12">
        <f>IF('Données projet'!$A$88&gt;35,BD57+BC58-BL57,IF(A58&lt;'Données projet'!$A$88,$BA$205^A58,IF(A58='Données projet'!$A$88,'Données projet'!$B$88,BD57+BC58-BL57)))</f>
        <v>481.99999999999977</v>
      </c>
      <c r="BE58" s="13">
        <f>BD58*VLOOKUP('Données projet'!$B$11,Paramètres!$A$1:$I$89,3,0)*VLOOKUP('Données projet'!$B$11,Paramètres!$A$1:$I$89,5,0)</f>
        <v>269.43799999999987</v>
      </c>
      <c r="BF58" s="13">
        <f t="shared" si="37"/>
        <v>64.729984244002736</v>
      </c>
      <c r="BG58" s="20">
        <f t="shared" si="7"/>
        <v>582.00923922497111</v>
      </c>
      <c r="BH58" s="59">
        <f t="shared" si="8"/>
        <v>875.34257255830448</v>
      </c>
      <c r="BI58" s="59">
        <f ca="1">AVERAGE(OFFSET($BH$3,0,0,'Données projet'!$E$11+1,1))-AVERAGE(OFFSET($H$3,0,0,'Données projet'!$E$11+1,1))</f>
        <v>326.31232746914907</v>
      </c>
      <c r="BJ58" s="59">
        <f t="shared" si="38"/>
        <v>330.17137761430297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2.7841937294216765</v>
      </c>
      <c r="BQ58" s="21">
        <f>EXP(-LN(2)/25)*BQ57+(1-EXP(-LN(2)/25))/(LN(2)/25)*Calculateur!BL58*Calculateur!BN58*VLOOKUP('Données projet'!$B$11,Paramètres!$A$1:$I$89,3,0)*0.475*44/12</f>
        <v>15.086474134267855</v>
      </c>
      <c r="BR58" s="21">
        <f>EXP(-LN(2)/2)*BR57+(1-EXP(-LN(2)/2))/(LN(2)/2)*BL58*BO58*VLOOKUP('Données projet'!$B$11,Paramètres!$A$1:$I$89,3,0)*0.475*44/12</f>
        <v>5.6144016662800084E-3</v>
      </c>
      <c r="BS58" s="22">
        <f t="shared" si="9"/>
        <v>17.876282265355808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333.00000000000017</v>
      </c>
      <c r="BZ58" s="13">
        <f>BY58*VLOOKUP('Données projet'!$B$12,Paramètres!$A$1:$I$89,3,0)*VLOOKUP('Données projet'!$B$12,Paramètres!$A$1:$I$89,5,0)</f>
        <v>181.8180000000001</v>
      </c>
      <c r="CA58" s="13">
        <f t="shared" si="39"/>
        <v>45.726420804334332</v>
      </c>
      <c r="CB58" s="20">
        <f t="shared" si="10"/>
        <v>396.30653290088247</v>
      </c>
      <c r="CC58" s="59">
        <f t="shared" si="11"/>
        <v>689.63986623421579</v>
      </c>
      <c r="CD58" s="59">
        <f ca="1">AVERAGE(OFFSET($CC$3,0,0,'Données projet'!$E$12+1,1))-AVERAGE(OFFSET($H$3,0,0,'Données projet'!$E$12+1,1))</f>
        <v>210.04871822652808</v>
      </c>
      <c r="CE58" s="59">
        <f t="shared" si="40"/>
        <v>250.17540614049324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4.4500009713378139</v>
      </c>
      <c r="CL58" s="21">
        <f>EXP(-LN(2)/25)*CL57+(1-EXP(-LN(2)/25))/(LN(2)/25)*Calculateur!CG58*Calculateur!CI58*VLOOKUP('Données projet'!$B$12,Paramètres!$A$1:$I$89,3,0)*0.475*44/12</f>
        <v>13.915356792078716</v>
      </c>
      <c r="CM58" s="21">
        <f>EXP(-LN(2)/2)*CM57+(1-EXP(-LN(2)/2))/(LN(2)/2)*CG58*CJ58*VLOOKUP('Données projet'!$B$12,Paramètres!$A$1:$I$89,3,0)*0.475*44/12</f>
        <v>3.7209230681449494E-3</v>
      </c>
      <c r="CN58" s="22">
        <f t="shared" si="12"/>
        <v>18.369078686484674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5.6</v>
      </c>
      <c r="CT58" s="12">
        <f>IF('Données projet'!$A$140&gt;35,CT57+CS58-DB57,IF(A58&lt;'Données projet'!$A$140,$CQ$205^A58,IF(A58='Données projet'!$A$140,'Données projet'!$B$140,CT57+CS58-DB57)))</f>
        <v>229.99999999999972</v>
      </c>
      <c r="CU58" s="17">
        <f>CT58*VLOOKUP('Données projet'!$B$13,Paramètres!$A$1:$I$89,3,0)*VLOOKUP('Données projet'!$B$13,Paramètres!$A$1:$I$89,5,0)</f>
        <v>182.98799999999977</v>
      </c>
      <c r="CV58" s="13">
        <f t="shared" si="41"/>
        <v>45.986322796524796</v>
      </c>
      <c r="CW58" s="20">
        <f t="shared" si="13"/>
        <v>398.79694553728024</v>
      </c>
      <c r="CX58" s="59">
        <f t="shared" si="14"/>
        <v>692.13027887061355</v>
      </c>
      <c r="CY58" s="59">
        <f ca="1">AVERAGE(OFFSET($CX$3,0,0,'Données projet'!$E$13+1,1))-AVERAGE(OFFSET($H$3,0,0,'Données projet'!$E$13+1,1))</f>
        <v>199.58763537752952</v>
      </c>
      <c r="CZ58" s="59">
        <f t="shared" si="42"/>
        <v>242.62852778451929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5.1414882347059097</v>
      </c>
      <c r="DH58" s="21">
        <f>EXP(-LN(2)/2)*DH57+(1-EXP(-LN(2)/2))/(LN(2)/2)*DB58*DE58*VLOOKUP('Données projet'!$B$13,Paramètres!$A$1:$I$89,3,0)*0.475*44/12</f>
        <v>1.8578053994094297E-3</v>
      </c>
      <c r="DI58" s="22">
        <f t="shared" si="15"/>
        <v>5.1433460401053193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11.4</v>
      </c>
      <c r="DO58" s="12">
        <f>IF('Données projet'!$A$166&gt;35,DO57+DN58-DW57,IF(A58&lt;'Données projet'!$A$166,$DL$205^A58,IF(A58='Données projet'!$A$166,'Données projet'!$B$166,DO57+DN58-DW57)))</f>
        <v>329.99999999999989</v>
      </c>
      <c r="DP58" s="17">
        <f>DO58*VLOOKUP('Données projet'!$B$14,Paramètres!$A$1:$I$89,3,0)*VLOOKUP('Données projet'!$B$14,Paramètres!$A$1:$I$89,5,0)</f>
        <v>197.33999999999995</v>
      </c>
      <c r="DQ58" s="13">
        <f t="shared" si="43"/>
        <v>49.159125474269977</v>
      </c>
      <c r="DR58" s="20">
        <f t="shared" si="16"/>
        <v>429.31931020102019</v>
      </c>
      <c r="DS58" s="59">
        <f t="shared" si="17"/>
        <v>722.6526435343535</v>
      </c>
      <c r="DT58" s="59">
        <f ca="1">AVERAGE(OFFSET($DS$3,0,0,'Données projet'!$E$14+1,1))-AVERAGE(OFFSET($H$3,0,0,'Données projet'!$E$14+1,1))</f>
        <v>216.94426559495264</v>
      </c>
      <c r="DU58" s="59">
        <f t="shared" si="44"/>
        <v>225.33715877618704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6.4246317759251248</v>
      </c>
      <c r="EC58" s="21">
        <f>EXP(-LN(2)/2)*EC57+(1-EXP(-LN(2)/2))/(LN(2)/2)*DW58*DZ58*VLOOKUP('Données projet'!$B$14,Paramètres!$A$1:$I$89,3,0)*0.475*44/12</f>
        <v>4.096482246092127E-3</v>
      </c>
      <c r="ED58" s="22">
        <f t="shared" si="18"/>
        <v>6.4287282581712173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21.2</v>
      </c>
      <c r="EJ58" s="12">
        <f>IF('Données projet'!$A$192&gt;35,EJ57+EI58-ER57,IF(A58&lt;'Données projet'!$A$192,$EG$205^A58,IF(A58='Données projet'!$A$192,'Données projet'!$B$192,EJ57+EI58-ER57)))</f>
        <v>524</v>
      </c>
      <c r="EK58" s="17">
        <f>EJ58*VLOOKUP('Données projet'!$B$15,Paramètres!$A$1:$I$89,3,0)*VLOOKUP('Données projet'!$B$15,Paramètres!$A$1:$I$89,5,0)</f>
        <v>252.04400000000001</v>
      </c>
      <c r="EL58" s="13">
        <f t="shared" si="45"/>
        <v>61.023425047084295</v>
      </c>
      <c r="EM58" s="20">
        <f t="shared" si="19"/>
        <v>545.25909862367178</v>
      </c>
      <c r="EN58" s="59">
        <f t="shared" si="20"/>
        <v>838.59243195700515</v>
      </c>
      <c r="EO58" s="59">
        <f ca="1">AVERAGE(OFFSET($EN$3,0,0,'Données projet'!$E$15+1,1))-AVERAGE(OFFSET($H$3,0,0,'Données projet'!$E$15+1,1))</f>
        <v>292.1792787220852</v>
      </c>
      <c r="EP58" s="59">
        <f t="shared" si="46"/>
        <v>273.69206144662144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4.1069169962233341</v>
      </c>
      <c r="EW58" s="21">
        <f>EXP(-LN(2)/25)*EW57+(1-EXP(-LN(2)/25))/(LN(2)/25)*Calculateur!ER58*Calculateur!ET58*VLOOKUP('Données projet'!$B$15,Paramètres!$A$1:$I$89,3,0)*0.475*44/12</f>
        <v>6.7115679714363141</v>
      </c>
      <c r="EX58" s="21">
        <f>EXP(-LN(2)/2)*EX57+(1-EXP(-LN(2)/2))/(LN(2)/2)*ER58*EU58*VLOOKUP('Données projet'!$B$15,Paramètres!$A$1:$I$89,3,0)*0.475*44/12</f>
        <v>3.6102468202121808E-3</v>
      </c>
      <c r="EY58" s="22">
        <f t="shared" si="21"/>
        <v>10.822095214479861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13.499999999999996</v>
      </c>
      <c r="N59" s="13">
        <f>IF('Données projet'!$A$36&gt;35,N58+M59-V58,IF(A59&lt;'Données projet'!$A$36,$K$205^A59,IF(A59='Données projet'!$A$36,'Données projet'!$B$36,N58+M59-V58)))</f>
        <v>320.79999999999984</v>
      </c>
      <c r="O59" s="13">
        <f>N59*VLOOKUP('Données projet'!$B$9,Paramètres!$A$1:$I$89,3,0)*VLOOKUP('Données projet'!$B$9,Paramètres!$A$1:$I$89,5,0)</f>
        <v>150.13439999999994</v>
      </c>
      <c r="P59" s="13">
        <f t="shared" si="33"/>
        <v>38.609126910934812</v>
      </c>
      <c r="Q59" s="20">
        <f t="shared" si="53"/>
        <v>328.72830936987799</v>
      </c>
      <c r="R59" s="59">
        <f t="shared" si="0"/>
        <v>622.06164270321131</v>
      </c>
      <c r="S59" s="59">
        <f ca="1">AVERAGE(OFFSET($R$3,0,0,'Données projet'!$E$9+1,1))-AVERAGE(OFFSET($H$3,0,0,'Données projet'!$E$9+1,1))</f>
        <v>215.23235148064941</v>
      </c>
      <c r="T59" s="59">
        <f t="shared" si="34"/>
        <v>184.07239726900434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1.8730841880758438</v>
      </c>
      <c r="AA59" s="21">
        <f>EXP(-LN(2)/25)*AA58+(1-EXP(-LN(2)/25))/(LN(2)/25)*Calculateur!V59*Calculateur!X59*VLOOKUP('Données projet'!$B$9,Paramètres!$A$1:$I$89,3,0)*0.475*44/12</f>
        <v>3.8203281340661834</v>
      </c>
      <c r="AB59" s="21">
        <f>EXP(-LN(2)/2)*AB58+(1-EXP(-LN(2)/2))/(LN(2)/2)*V59*Y59*VLOOKUP('Données projet'!$B$9,Paramètres!$A$1:$I$89,3,0)*0.475*44/12</f>
        <v>1.2002168555048818E-3</v>
      </c>
      <c r="AC59" s="22">
        <f t="shared" si="3"/>
        <v>5.6946125389975322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-8.5265128291212022E-14</v>
      </c>
      <c r="AJ59" s="13">
        <f>AI59*VLOOKUP('Données projet'!$B$10,Paramètres!$A$1:$I$89,3,0)*VLOOKUP('Données projet'!$B$10,Paramètres!$A$1:$I$89,5,0)</f>
        <v>-7.7147888077888636E-14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225.28075317732998</v>
      </c>
      <c r="AO59" s="59">
        <f t="shared" si="36"/>
        <v>358.43407531256207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1.3406285186467859</v>
      </c>
      <c r="AV59" s="21">
        <f>EXP(-LN(2)/25)*AV58+(1-EXP(-LN(2)/25))/(LN(2)/25)*Calculateur!AQ59*Calculateur!AS59*VLOOKUP('Données projet'!$B$10,Paramètres!$A$1:$I$89,3,0)*0.475*44/12</f>
        <v>4.022928427568198</v>
      </c>
      <c r="AW59" s="21">
        <f>EXP(-LN(2)/2)*AW58+(1-EXP(-LN(2)/2))/(LN(2)/2)*AQ59*AT59*VLOOKUP('Données projet'!$B$10,Paramètres!$A$1:$I$89,3,0)*0.475*44/12</f>
        <v>5.3882093688592818E-4</v>
      </c>
      <c r="AX59" s="21">
        <f t="shared" si="6"/>
        <v>5.3640957671518699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16.2</v>
      </c>
      <c r="BD59" s="12">
        <f>IF('Données projet'!$A$88&gt;35,BD58+BC59-BL58,IF(A59&lt;'Données projet'!$A$88,$BA$205^A59,IF(A59='Données projet'!$A$88,'Données projet'!$B$88,BD58+BC59-BL58)))</f>
        <v>498.19999999999976</v>
      </c>
      <c r="BE59" s="13">
        <f>BD59*VLOOKUP('Données projet'!$B$11,Paramètres!$A$1:$I$89,3,0)*VLOOKUP('Données projet'!$B$11,Paramètres!$A$1:$I$89,5,0)</f>
        <v>278.49379999999985</v>
      </c>
      <c r="BF59" s="13">
        <f t="shared" si="37"/>
        <v>66.648605670285122</v>
      </c>
      <c r="BG59" s="20">
        <f t="shared" si="7"/>
        <v>601.12302320907963</v>
      </c>
      <c r="BH59" s="59">
        <f t="shared" si="8"/>
        <v>894.456356542413</v>
      </c>
      <c r="BI59" s="59">
        <f ca="1">AVERAGE(OFFSET($BH$3,0,0,'Données projet'!$E$11+1,1))-AVERAGE(OFFSET($H$3,0,0,'Données projet'!$E$11+1,1))</f>
        <v>326.31232746914907</v>
      </c>
      <c r="BJ59" s="59">
        <f t="shared" si="38"/>
        <v>330.17137761430297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2.7295973885782101</v>
      </c>
      <c r="BQ59" s="21">
        <f>EXP(-LN(2)/25)*BQ58+(1-EXP(-LN(2)/25))/(LN(2)/25)*Calculateur!BL59*Calculateur!BN59*VLOOKUP('Données projet'!$B$11,Paramètres!$A$1:$I$89,3,0)*0.475*44/12</f>
        <v>14.673933705703107</v>
      </c>
      <c r="BR59" s="21">
        <f>EXP(-LN(2)/2)*BR58+(1-EXP(-LN(2)/2))/(LN(2)/2)*BL59*BO59*VLOOKUP('Données projet'!$B$11,Paramètres!$A$1:$I$89,3,0)*0.475*44/12</f>
        <v>3.9699814905316457E-3</v>
      </c>
      <c r="BS59" s="22">
        <f t="shared" si="9"/>
        <v>17.407501075771847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9.8000000000000007</v>
      </c>
      <c r="BY59" s="12">
        <f>IF('Données projet'!$A$114&gt;35,BY58+BX59-CG58,IF(A59&lt;'Données projet'!$A$114,$BV$205^A59,IF(A59='Données projet'!$A$114,'Données projet'!$B$114,BY58+BX59-CG58)))</f>
        <v>342.80000000000018</v>
      </c>
      <c r="BZ59" s="13">
        <f>BY59*VLOOKUP('Données projet'!$B$12,Paramètres!$A$1:$I$89,3,0)*VLOOKUP('Données projet'!$B$12,Paramètres!$A$1:$I$89,5,0)</f>
        <v>187.16880000000012</v>
      </c>
      <c r="CA59" s="13">
        <f t="shared" si="39"/>
        <v>46.913468855747631</v>
      </c>
      <c r="CB59" s="20">
        <f t="shared" si="10"/>
        <v>407.6932849237607</v>
      </c>
      <c r="CC59" s="59">
        <f t="shared" si="11"/>
        <v>701.02661825709401</v>
      </c>
      <c r="CD59" s="59">
        <f ca="1">AVERAGE(OFFSET($CC$3,0,0,'Données projet'!$E$12+1,1))-AVERAGE(OFFSET($H$3,0,0,'Données projet'!$E$12+1,1))</f>
        <v>210.04871822652808</v>
      </c>
      <c r="CE59" s="59">
        <f t="shared" si="40"/>
        <v>250.17540614049324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4.3627391665224637</v>
      </c>
      <c r="CL59" s="21">
        <f>EXP(-LN(2)/25)*CL58+(1-EXP(-LN(2)/25))/(LN(2)/25)*Calculateur!CG59*Calculateur!CI59*VLOOKUP('Données projet'!$B$12,Paramètres!$A$1:$I$89,3,0)*0.475*44/12</f>
        <v>13.534840628822515</v>
      </c>
      <c r="CM59" s="21">
        <f>EXP(-LN(2)/2)*CM58+(1-EXP(-LN(2)/2))/(LN(2)/2)*CG59*CJ59*VLOOKUP('Données projet'!$B$12,Paramètres!$A$1:$I$89,3,0)*0.475*44/12</f>
        <v>2.6310899337587479E-3</v>
      </c>
      <c r="CN59" s="22">
        <f t="shared" si="12"/>
        <v>17.900210885278735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5.6</v>
      </c>
      <c r="CT59" s="12">
        <f>IF('Données projet'!$A$140&gt;35,CT58+CS59-DB58,IF(A59&lt;'Données projet'!$A$140,$CQ$205^A59,IF(A59='Données projet'!$A$140,'Données projet'!$B$140,CT58+CS59-DB58)))</f>
        <v>235.59999999999971</v>
      </c>
      <c r="CU59" s="17">
        <f>CT59*VLOOKUP('Données projet'!$B$13,Paramètres!$A$1:$I$89,3,0)*VLOOKUP('Données projet'!$B$13,Paramètres!$A$1:$I$89,5,0)</f>
        <v>187.44335999999979</v>
      </c>
      <c r="CV59" s="13">
        <f t="shared" si="41"/>
        <v>46.974271155353591</v>
      </c>
      <c r="CW59" s="20">
        <f t="shared" si="13"/>
        <v>408.27737426224047</v>
      </c>
      <c r="CX59" s="59">
        <f t="shared" si="14"/>
        <v>701.61070759557379</v>
      </c>
      <c r="CY59" s="59">
        <f ca="1">AVERAGE(OFFSET($CX$3,0,0,'Données projet'!$E$13+1,1))-AVERAGE(OFFSET($H$3,0,0,'Données projet'!$E$13+1,1))</f>
        <v>199.58763537752952</v>
      </c>
      <c r="CZ59" s="59">
        <f t="shared" si="42"/>
        <v>242.62852778451929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5.0008939685487617</v>
      </c>
      <c r="DH59" s="21">
        <f>EXP(-LN(2)/2)*DH58+(1-EXP(-LN(2)/2))/(LN(2)/2)*DB59*DE59*VLOOKUP('Données projet'!$B$13,Paramètres!$A$1:$I$89,3,0)*0.475*44/12</f>
        <v>1.3136667960473901E-3</v>
      </c>
      <c r="DI59" s="22">
        <f t="shared" si="15"/>
        <v>5.0022076353448091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11.4</v>
      </c>
      <c r="DO59" s="12">
        <f>IF('Données projet'!$A$166&gt;35,DO58+DN59-DW58,IF(A59&lt;'Données projet'!$A$166,$DL$205^A59,IF(A59='Données projet'!$A$166,'Données projet'!$B$166,DO58+DN59-DW58)))</f>
        <v>341.39999999999986</v>
      </c>
      <c r="DP59" s="17">
        <f>DO59*VLOOKUP('Données projet'!$B$14,Paramètres!$A$1:$I$89,3,0)*VLOOKUP('Données projet'!$B$14,Paramètres!$A$1:$I$89,5,0)</f>
        <v>204.15719999999996</v>
      </c>
      <c r="DQ59" s="13">
        <f t="shared" si="43"/>
        <v>50.656697660408256</v>
      </c>
      <c r="DR59" s="20">
        <f t="shared" si="16"/>
        <v>443.80087175854425</v>
      </c>
      <c r="DS59" s="59">
        <f t="shared" si="17"/>
        <v>737.13420509187756</v>
      </c>
      <c r="DT59" s="59">
        <f ca="1">AVERAGE(OFFSET($DS$3,0,0,'Données projet'!$E$14+1,1))-AVERAGE(OFFSET($H$3,0,0,'Données projet'!$E$14+1,1))</f>
        <v>216.94426559495264</v>
      </c>
      <c r="DU59" s="59">
        <f t="shared" si="44"/>
        <v>225.33715877618704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6.2489498821557508</v>
      </c>
      <c r="EC59" s="21">
        <f>EXP(-LN(2)/2)*EC58+(1-EXP(-LN(2)/2))/(LN(2)/2)*DW59*DZ59*VLOOKUP('Données projet'!$B$14,Paramètres!$A$1:$I$89,3,0)*0.475*44/12</f>
        <v>2.8966503752220424E-3</v>
      </c>
      <c r="ED59" s="22">
        <f t="shared" si="18"/>
        <v>6.2518465325309727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21.2</v>
      </c>
      <c r="EJ59" s="12">
        <f>IF('Données projet'!$A$192&gt;35,EJ58+EI59-ER58,IF(A59&lt;'Données projet'!$A$192,$EG$205^A59,IF(A59='Données projet'!$A$192,'Données projet'!$B$192,EJ58+EI59-ER58)))</f>
        <v>545.20000000000005</v>
      </c>
      <c r="EK59" s="17">
        <f>EJ59*VLOOKUP('Données projet'!$B$15,Paramètres!$A$1:$I$89,3,0)*VLOOKUP('Données projet'!$B$15,Paramètres!$A$1:$I$89,5,0)</f>
        <v>262.24120000000005</v>
      </c>
      <c r="EL59" s="13">
        <f t="shared" si="45"/>
        <v>63.199872321408172</v>
      </c>
      <c r="EM59" s="20">
        <f t="shared" si="19"/>
        <v>566.80986762645261</v>
      </c>
      <c r="EN59" s="59">
        <f t="shared" si="20"/>
        <v>860.14320095978587</v>
      </c>
      <c r="EO59" s="59">
        <f ca="1">AVERAGE(OFFSET($EN$3,0,0,'Données projet'!$E$15+1,1))-AVERAGE(OFFSET($H$3,0,0,'Données projet'!$E$15+1,1))</f>
        <v>292.1792787220852</v>
      </c>
      <c r="EP59" s="59">
        <f t="shared" si="46"/>
        <v>273.69206144662144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4.0263828588994164</v>
      </c>
      <c r="EW59" s="21">
        <f>EXP(-LN(2)/25)*EW58+(1-EXP(-LN(2)/25))/(LN(2)/25)*Calculateur!ER59*Calculateur!ET59*VLOOKUP('Données projet'!$B$15,Paramètres!$A$1:$I$89,3,0)*0.475*44/12</f>
        <v>6.5280397923113682</v>
      </c>
      <c r="EX59" s="21">
        <f>EXP(-LN(2)/2)*EX58+(1-EXP(-LN(2)/2))/(LN(2)/2)*ER59*EU59*VLOOKUP('Données projet'!$B$15,Paramètres!$A$1:$I$89,3,0)*0.475*44/12</f>
        <v>2.5528300083292035E-3</v>
      </c>
      <c r="EY59" s="22">
        <f t="shared" si="21"/>
        <v>10.556975481219114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13.499999999999996</v>
      </c>
      <c r="N60" s="13">
        <f>IF('Données projet'!$A$36&gt;35,N59+M60-V59,IF(A60&lt;'Données projet'!$A$36,$K$205^A60,IF(A60='Données projet'!$A$36,'Données projet'!$B$36,N59+M60-V59)))</f>
        <v>334.29999999999984</v>
      </c>
      <c r="O60" s="13">
        <f>N60*VLOOKUP('Données projet'!$B$9,Paramètres!$A$1:$I$89,3,0)*VLOOKUP('Données projet'!$B$9,Paramètres!$A$1:$I$89,5,0)</f>
        <v>156.45239999999993</v>
      </c>
      <c r="P60" s="13">
        <f t="shared" si="33"/>
        <v>40.041303130551007</v>
      </c>
      <c r="Q60" s="20">
        <f t="shared" si="53"/>
        <v>342.2265329523762</v>
      </c>
      <c r="R60" s="59">
        <f t="shared" si="0"/>
        <v>635.55986628570952</v>
      </c>
      <c r="S60" s="59">
        <f ca="1">AVERAGE(OFFSET($R$3,0,0,'Données projet'!$E$9+1,1))-AVERAGE(OFFSET($H$3,0,0,'Données projet'!$E$9+1,1))</f>
        <v>215.23235148064941</v>
      </c>
      <c r="T60" s="59">
        <f t="shared" si="34"/>
        <v>184.07239726900434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1.8363541496162219</v>
      </c>
      <c r="AA60" s="21">
        <f>EXP(-LN(2)/25)*AA59+(1-EXP(-LN(2)/25))/(LN(2)/25)*Calculateur!V60*Calculateur!X60*VLOOKUP('Données projet'!$B$9,Paramètres!$A$1:$I$89,3,0)*0.475*44/12</f>
        <v>3.7158610603378186</v>
      </c>
      <c r="AB60" s="21">
        <f>EXP(-LN(2)/2)*AB59+(1-EXP(-LN(2)/2))/(LN(2)/2)*V60*Y60*VLOOKUP('Données projet'!$B$9,Paramètres!$A$1:$I$89,3,0)*0.475*44/12</f>
        <v>8.4868147742189661E-4</v>
      </c>
      <c r="AC60" s="22">
        <f t="shared" si="3"/>
        <v>5.5530638914314618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-8.5265128291212022E-14</v>
      </c>
      <c r="AJ60" s="13">
        <f>AI60*VLOOKUP('Données projet'!$B$10,Paramètres!$A$1:$I$89,3,0)*VLOOKUP('Données projet'!$B$10,Paramètres!$A$1:$I$89,5,0)</f>
        <v>-7.7147888077888636E-14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225.28075317732998</v>
      </c>
      <c r="AO60" s="59">
        <f t="shared" si="36"/>
        <v>358.43407531256207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1.3143396110987773</v>
      </c>
      <c r="AV60" s="21">
        <f>EXP(-LN(2)/25)*AV59+(1-EXP(-LN(2)/25))/(LN(2)/25)*Calculateur!AQ60*Calculateur!AS60*VLOOKUP('Données projet'!$B$10,Paramètres!$A$1:$I$89,3,0)*0.475*44/12</f>
        <v>3.912921238159734</v>
      </c>
      <c r="AW60" s="21">
        <f>EXP(-LN(2)/2)*AW59+(1-EXP(-LN(2)/2))/(LN(2)/2)*AQ60*AT60*VLOOKUP('Données projet'!$B$10,Paramètres!$A$1:$I$89,3,0)*0.475*44/12</f>
        <v>3.8100393831732855E-4</v>
      </c>
      <c r="AX60" s="21">
        <f t="shared" si="6"/>
        <v>5.2276418531968289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16.2</v>
      </c>
      <c r="BD60" s="12">
        <f>IF('Données projet'!$A$88&gt;35,BD59+BC60-BL59,IF(A60&lt;'Données projet'!$A$88,$BA$205^A60,IF(A60='Données projet'!$A$88,'Données projet'!$B$88,BD59+BC60-BL59)))</f>
        <v>514.39999999999975</v>
      </c>
      <c r="BE60" s="13">
        <f>BD60*VLOOKUP('Données projet'!$B$11,Paramètres!$A$1:$I$89,3,0)*VLOOKUP('Données projet'!$B$11,Paramètres!$A$1:$I$89,5,0)</f>
        <v>287.54959999999988</v>
      </c>
      <c r="BF60" s="13">
        <f t="shared" si="37"/>
        <v>68.559977517591122</v>
      </c>
      <c r="BG60" s="20">
        <f t="shared" si="7"/>
        <v>620.22418084313767</v>
      </c>
      <c r="BH60" s="59">
        <f t="shared" si="8"/>
        <v>913.55751417647093</v>
      </c>
      <c r="BI60" s="59">
        <f ca="1">AVERAGE(OFFSET($BH$3,0,0,'Données projet'!$E$11+1,1))-AVERAGE(OFFSET($H$3,0,0,'Données projet'!$E$11+1,1))</f>
        <v>326.31232746914907</v>
      </c>
      <c r="BJ60" s="59">
        <f t="shared" si="38"/>
        <v>330.17137761430297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2.6760716486782044</v>
      </c>
      <c r="BQ60" s="21">
        <f>EXP(-LN(2)/25)*BQ59+(1-EXP(-LN(2)/25))/(LN(2)/25)*Calculateur!BL60*Calculateur!BN60*VLOOKUP('Données projet'!$B$11,Paramètres!$A$1:$I$89,3,0)*0.475*44/12</f>
        <v>14.272674216852019</v>
      </c>
      <c r="BR60" s="21">
        <f>EXP(-LN(2)/2)*BR59+(1-EXP(-LN(2)/2))/(LN(2)/2)*BL60*BO60*VLOOKUP('Données projet'!$B$11,Paramètres!$A$1:$I$89,3,0)*0.475*44/12</f>
        <v>2.8072008331400042E-3</v>
      </c>
      <c r="BS60" s="22">
        <f t="shared" si="9"/>
        <v>16.951553066363363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9.8000000000000007</v>
      </c>
      <c r="BY60" s="12">
        <f>IF('Données projet'!$A$114&gt;35,BY59+BX60-CG59,IF(A60&lt;'Données projet'!$A$114,$BV$205^A60,IF(A60='Données projet'!$A$114,'Données projet'!$B$114,BY59+BX60-CG59)))</f>
        <v>352.60000000000019</v>
      </c>
      <c r="BZ60" s="13">
        <f>BY60*VLOOKUP('Données projet'!$B$12,Paramètres!$A$1:$I$89,3,0)*VLOOKUP('Données projet'!$B$12,Paramètres!$A$1:$I$89,5,0)</f>
        <v>192.51960000000011</v>
      </c>
      <c r="CA60" s="13">
        <f t="shared" si="39"/>
        <v>48.096572818546932</v>
      </c>
      <c r="CB60" s="20">
        <f t="shared" si="10"/>
        <v>419.0731676589694</v>
      </c>
      <c r="CC60" s="59">
        <f t="shared" si="11"/>
        <v>712.40650099230265</v>
      </c>
      <c r="CD60" s="59">
        <f ca="1">AVERAGE(OFFSET($CC$3,0,0,'Données projet'!$E$12+1,1))-AVERAGE(OFFSET($H$3,0,0,'Données projet'!$E$12+1,1))</f>
        <v>210.04871822652808</v>
      </c>
      <c r="CE60" s="59">
        <f t="shared" si="40"/>
        <v>250.17540614049324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4.2771885124750968</v>
      </c>
      <c r="CL60" s="21">
        <f>EXP(-LN(2)/25)*CL59+(1-EXP(-LN(2)/25))/(LN(2)/25)*Calculateur!CG60*Calculateur!CI60*VLOOKUP('Données projet'!$B$12,Paramètres!$A$1:$I$89,3,0)*0.475*44/12</f>
        <v>13.164729700061029</v>
      </c>
      <c r="CM60" s="21">
        <f>EXP(-LN(2)/2)*CM59+(1-EXP(-LN(2)/2))/(LN(2)/2)*CG60*CJ60*VLOOKUP('Données projet'!$B$12,Paramètres!$A$1:$I$89,3,0)*0.475*44/12</f>
        <v>1.8604615340724749E-3</v>
      </c>
      <c r="CN60" s="22">
        <f t="shared" si="12"/>
        <v>17.443778674070199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5.6</v>
      </c>
      <c r="CT60" s="12">
        <f>IF('Données projet'!$A$140&gt;35,CT59+CS60-DB59,IF(A60&lt;'Données projet'!$A$140,$CQ$205^A60,IF(A60='Données projet'!$A$140,'Données projet'!$B$140,CT59+CS60-DB59)))</f>
        <v>241.1999999999997</v>
      </c>
      <c r="CU60" s="17">
        <f>CT60*VLOOKUP('Données projet'!$B$13,Paramètres!$A$1:$I$89,3,0)*VLOOKUP('Données projet'!$B$13,Paramètres!$A$1:$I$89,5,0)</f>
        <v>191.8987199999998</v>
      </c>
      <c r="CV60" s="13">
        <f t="shared" si="41"/>
        <v>47.959489640575512</v>
      </c>
      <c r="CW60" s="20">
        <f t="shared" si="13"/>
        <v>417.7530484573353</v>
      </c>
      <c r="CX60" s="59">
        <f t="shared" si="14"/>
        <v>711.08638179066861</v>
      </c>
      <c r="CY60" s="59">
        <f ca="1">AVERAGE(OFFSET($CX$3,0,0,'Données projet'!$E$13+1,1))-AVERAGE(OFFSET($H$3,0,0,'Données projet'!$E$13+1,1))</f>
        <v>199.58763537752952</v>
      </c>
      <c r="CZ60" s="59">
        <f t="shared" si="42"/>
        <v>242.62852778451929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4.8641442599932114</v>
      </c>
      <c r="DH60" s="21">
        <f>EXP(-LN(2)/2)*DH59+(1-EXP(-LN(2)/2))/(LN(2)/2)*DB60*DE60*VLOOKUP('Données projet'!$B$13,Paramètres!$A$1:$I$89,3,0)*0.475*44/12</f>
        <v>9.2890269970471485E-4</v>
      </c>
      <c r="DI60" s="22">
        <f t="shared" si="15"/>
        <v>4.8650731626929158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11.4</v>
      </c>
      <c r="DO60" s="12">
        <f>IF('Données projet'!$A$166&gt;35,DO59+DN60-DW59,IF(A60&lt;'Données projet'!$A$166,$DL$205^A60,IF(A60='Données projet'!$A$166,'Données projet'!$B$166,DO59+DN60-DW59)))</f>
        <v>352.79999999999984</v>
      </c>
      <c r="DP60" s="17">
        <f>DO60*VLOOKUP('Données projet'!$B$14,Paramètres!$A$1:$I$89,3,0)*VLOOKUP('Données projet'!$B$14,Paramètres!$A$1:$I$89,5,0)</f>
        <v>210.97439999999992</v>
      </c>
      <c r="DQ60" s="13">
        <f t="shared" si="43"/>
        <v>52.148459211324706</v>
      </c>
      <c r="DR60" s="20">
        <f t="shared" si="16"/>
        <v>458.27231312639037</v>
      </c>
      <c r="DS60" s="59">
        <f t="shared" si="17"/>
        <v>751.60564645972363</v>
      </c>
      <c r="DT60" s="59">
        <f ca="1">AVERAGE(OFFSET($DS$3,0,0,'Données projet'!$E$14+1,1))-AVERAGE(OFFSET($H$3,0,0,'Données projet'!$E$14+1,1))</f>
        <v>216.94426559495264</v>
      </c>
      <c r="DU60" s="59">
        <f t="shared" si="44"/>
        <v>225.33715877618704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6.07807201901021</v>
      </c>
      <c r="EC60" s="21">
        <f>EXP(-LN(2)/2)*EC59+(1-EXP(-LN(2)/2))/(LN(2)/2)*DW60*DZ60*VLOOKUP('Données projet'!$B$14,Paramètres!$A$1:$I$89,3,0)*0.475*44/12</f>
        <v>2.0482411230460635E-3</v>
      </c>
      <c r="ED60" s="22">
        <f t="shared" si="18"/>
        <v>6.0801202601332562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21.2</v>
      </c>
      <c r="EJ60" s="12">
        <f>IF('Données projet'!$A$192&gt;35,EJ59+EI60-ER59,IF(A60&lt;'Données projet'!$A$192,$EG$205^A60,IF(A60='Données projet'!$A$192,'Données projet'!$B$192,EJ59+EI60-ER59)))</f>
        <v>566.40000000000009</v>
      </c>
      <c r="EK60" s="17">
        <f>EJ60*VLOOKUP('Données projet'!$B$15,Paramètres!$A$1:$I$89,3,0)*VLOOKUP('Données projet'!$B$15,Paramètres!$A$1:$I$89,5,0)</f>
        <v>272.43840000000006</v>
      </c>
      <c r="EL60" s="13">
        <f t="shared" si="45"/>
        <v>65.366488220432217</v>
      </c>
      <c r="EM60" s="20">
        <f t="shared" si="19"/>
        <v>588.34351365058626</v>
      </c>
      <c r="EN60" s="59">
        <f t="shared" si="20"/>
        <v>881.67684698391963</v>
      </c>
      <c r="EO60" s="59">
        <f ca="1">AVERAGE(OFFSET($EN$3,0,0,'Données projet'!$E$15+1,1))-AVERAGE(OFFSET($H$3,0,0,'Données projet'!$E$15+1,1))</f>
        <v>292.1792787220852</v>
      </c>
      <c r="EP60" s="59">
        <f t="shared" si="46"/>
        <v>273.69206144662144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3.9474279468874478</v>
      </c>
      <c r="EW60" s="21">
        <f>EXP(-LN(2)/25)*EW59+(1-EXP(-LN(2)/25))/(LN(2)/25)*Calculateur!ER60*Calculateur!ET60*VLOOKUP('Données projet'!$B$15,Paramètres!$A$1:$I$89,3,0)*0.475*44/12</f>
        <v>6.3495302008959209</v>
      </c>
      <c r="EX60" s="21">
        <f>EXP(-LN(2)/2)*EX59+(1-EXP(-LN(2)/2))/(LN(2)/2)*ER60*EU60*VLOOKUP('Données projet'!$B$15,Paramètres!$A$1:$I$89,3,0)*0.475*44/12</f>
        <v>1.8051234101060904E-3</v>
      </c>
      <c r="EY60" s="22">
        <f t="shared" si="21"/>
        <v>10.298763271193474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13.499999999999996</v>
      </c>
      <c r="N61" s="13">
        <f>IF('Données projet'!$A$36&gt;35,N60+M61-V60,IF(A61&lt;'Données projet'!$A$36,$K$205^A61,IF(A61='Données projet'!$A$36,'Données projet'!$B$36,N60+M61-V60)))</f>
        <v>347.79999999999984</v>
      </c>
      <c r="O61" s="13">
        <f>N61*VLOOKUP('Données projet'!$B$9,Paramètres!$A$1:$I$89,3,0)*VLOOKUP('Données projet'!$B$9,Paramètres!$A$1:$I$89,5,0)</f>
        <v>162.77039999999994</v>
      </c>
      <c r="P61" s="13">
        <f t="shared" si="33"/>
        <v>41.466761176934256</v>
      </c>
      <c r="Q61" s="20">
        <f t="shared" si="53"/>
        <v>355.71305571649367</v>
      </c>
      <c r="R61" s="59">
        <f t="shared" si="0"/>
        <v>649.04638904982698</v>
      </c>
      <c r="S61" s="59">
        <f ca="1">AVERAGE(OFFSET($R$3,0,0,'Données projet'!$E$9+1,1))-AVERAGE(OFFSET($H$3,0,0,'Données projet'!$E$9+1,1))</f>
        <v>215.23235148064941</v>
      </c>
      <c r="T61" s="59">
        <f t="shared" si="34"/>
        <v>184.07239726900434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1.8003443648076818</v>
      </c>
      <c r="AA61" s="21">
        <f>EXP(-LN(2)/25)*AA60+(1-EXP(-LN(2)/25))/(LN(2)/25)*Calculateur!V61*Calculateur!X61*VLOOKUP('Données projet'!$B$9,Paramètres!$A$1:$I$89,3,0)*0.475*44/12</f>
        <v>3.6142506442342404</v>
      </c>
      <c r="AB61" s="21">
        <f>EXP(-LN(2)/2)*AB60+(1-EXP(-LN(2)/2))/(LN(2)/2)*V61*Y61*VLOOKUP('Données projet'!$B$9,Paramètres!$A$1:$I$89,3,0)*0.475*44/12</f>
        <v>6.0010842775244091E-4</v>
      </c>
      <c r="AC61" s="22">
        <f t="shared" si="3"/>
        <v>5.4151951174696746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-8.5265128291212022E-14</v>
      </c>
      <c r="AJ61" s="13">
        <f>AI61*VLOOKUP('Données projet'!$B$10,Paramètres!$A$1:$I$89,3,0)*VLOOKUP('Données projet'!$B$10,Paramètres!$A$1:$I$89,5,0)</f>
        <v>-7.7147888077888636E-14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225.28075317732998</v>
      </c>
      <c r="AO61" s="59">
        <f t="shared" si="36"/>
        <v>358.43407531256207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1.2885662129931348</v>
      </c>
      <c r="AV61" s="21">
        <f>EXP(-LN(2)/25)*AV60+(1-EXP(-LN(2)/25))/(LN(2)/25)*Calculateur!AQ61*Calculateur!AS61*VLOOKUP('Données projet'!$B$10,Paramètres!$A$1:$I$89,3,0)*0.475*44/12</f>
        <v>3.8059222011306715</v>
      </c>
      <c r="AW61" s="21">
        <f>EXP(-LN(2)/2)*AW60+(1-EXP(-LN(2)/2))/(LN(2)/2)*AQ61*AT61*VLOOKUP('Données projet'!$B$10,Paramètres!$A$1:$I$89,3,0)*0.475*44/12</f>
        <v>2.6941046844296409E-4</v>
      </c>
      <c r="AX61" s="21">
        <f t="shared" si="6"/>
        <v>5.0947578245922491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16.2</v>
      </c>
      <c r="BD61" s="12">
        <f>IF('Données projet'!$A$88&gt;35,BD60+BC61-BL60,IF(A61&lt;'Données projet'!$A$88,$BA$205^A61,IF(A61='Données projet'!$A$88,'Données projet'!$B$88,BD60+BC61-BL60)))</f>
        <v>530.5999999999998</v>
      </c>
      <c r="BE61" s="13">
        <f>BD61*VLOOKUP('Données projet'!$B$11,Paramètres!$A$1:$I$89,3,0)*VLOOKUP('Données projet'!$B$11,Paramètres!$A$1:$I$89,5,0)</f>
        <v>296.60539999999986</v>
      </c>
      <c r="BF61" s="13">
        <f t="shared" si="37"/>
        <v>70.464354291088782</v>
      </c>
      <c r="BG61" s="20">
        <f t="shared" si="7"/>
        <v>639.31315539031277</v>
      </c>
      <c r="BH61" s="59">
        <f t="shared" si="8"/>
        <v>932.64648872364614</v>
      </c>
      <c r="BI61" s="59">
        <f ca="1">AVERAGE(OFFSET($BH$3,0,0,'Données projet'!$E$11+1,1))-AVERAGE(OFFSET($H$3,0,0,'Données projet'!$E$11+1,1))</f>
        <v>326.31232746914907</v>
      </c>
      <c r="BJ61" s="59">
        <f t="shared" si="38"/>
        <v>330.17137761430297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2.6235955158901598</v>
      </c>
      <c r="BQ61" s="21">
        <f>EXP(-LN(2)/25)*BQ60+(1-EXP(-LN(2)/25))/(LN(2)/25)*Calculateur!BL61*Calculateur!BN61*VLOOKUP('Données projet'!$B$11,Paramètres!$A$1:$I$89,3,0)*0.475*44/12</f>
        <v>13.882387189824884</v>
      </c>
      <c r="BR61" s="21">
        <f>EXP(-LN(2)/2)*BR60+(1-EXP(-LN(2)/2))/(LN(2)/2)*BL61*BO61*VLOOKUP('Données projet'!$B$11,Paramètres!$A$1:$I$89,3,0)*0.475*44/12</f>
        <v>1.9849907452658229E-3</v>
      </c>
      <c r="BS61" s="22">
        <f t="shared" si="9"/>
        <v>16.507967696460312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9.8000000000000007</v>
      </c>
      <c r="BY61" s="12">
        <f>IF('Données projet'!$A$114&gt;35,BY60+BX61-CG60,IF(A61&lt;'Données projet'!$A$114,$BV$205^A61,IF(A61='Données projet'!$A$114,'Données projet'!$B$114,BY60+BX61-CG60)))</f>
        <v>362.4000000000002</v>
      </c>
      <c r="BZ61" s="13">
        <f>BY61*VLOOKUP('Données projet'!$B$12,Paramètres!$A$1:$I$89,3,0)*VLOOKUP('Données projet'!$B$12,Paramètres!$A$1:$I$89,5,0)</f>
        <v>197.8704000000001</v>
      </c>
      <c r="CA61" s="13">
        <f t="shared" si="39"/>
        <v>49.275854906806309</v>
      </c>
      <c r="CB61" s="20">
        <f t="shared" si="10"/>
        <v>430.44639396268781</v>
      </c>
      <c r="CC61" s="59">
        <f t="shared" si="11"/>
        <v>723.77972729602106</v>
      </c>
      <c r="CD61" s="59">
        <f ca="1">AVERAGE(OFFSET($CC$3,0,0,'Données projet'!$E$12+1,1))-AVERAGE(OFFSET($H$3,0,0,'Données projet'!$E$12+1,1))</f>
        <v>210.04871822652808</v>
      </c>
      <c r="CE61" s="59">
        <f t="shared" si="40"/>
        <v>250.17540614049324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4.1933154545728524</v>
      </c>
      <c r="CL61" s="21">
        <f>EXP(-LN(2)/25)*CL60+(1-EXP(-LN(2)/25))/(LN(2)/25)*Calculateur!CG61*Calculateur!CI61*VLOOKUP('Données projet'!$B$12,Paramètres!$A$1:$I$89,3,0)*0.475*44/12</f>
        <v>12.804739474109814</v>
      </c>
      <c r="CM61" s="21">
        <f>EXP(-LN(2)/2)*CM60+(1-EXP(-LN(2)/2))/(LN(2)/2)*CG61*CJ61*VLOOKUP('Données projet'!$B$12,Paramètres!$A$1:$I$89,3,0)*0.475*44/12</f>
        <v>1.3155449668793742E-3</v>
      </c>
      <c r="CN61" s="22">
        <f t="shared" si="12"/>
        <v>16.999370473649545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5.6</v>
      </c>
      <c r="CT61" s="12">
        <f>IF('Données projet'!$A$140&gt;35,CT60+CS61-DB60,IF(A61&lt;'Données projet'!$A$140,$CQ$205^A61,IF(A61='Données projet'!$A$140,'Données projet'!$B$140,CT60+CS61-DB60)))</f>
        <v>246.7999999999997</v>
      </c>
      <c r="CU61" s="17">
        <f>CT61*VLOOKUP('Données projet'!$B$13,Paramètres!$A$1:$I$89,3,0)*VLOOKUP('Données projet'!$B$13,Paramètres!$A$1:$I$89,5,0)</f>
        <v>196.35407999999978</v>
      </c>
      <c r="CV61" s="13">
        <f t="shared" si="41"/>
        <v>48.942048927099485</v>
      </c>
      <c r="CW61" s="20">
        <f t="shared" si="13"/>
        <v>427.22409121469786</v>
      </c>
      <c r="CX61" s="59">
        <f t="shared" si="14"/>
        <v>720.55742454803112</v>
      </c>
      <c r="CY61" s="59">
        <f ca="1">AVERAGE(OFFSET($CX$3,0,0,'Données projet'!$E$13+1,1))-AVERAGE(OFFSET($H$3,0,0,'Données projet'!$E$13+1,1))</f>
        <v>199.58763537752952</v>
      </c>
      <c r="CZ61" s="59">
        <f t="shared" si="42"/>
        <v>242.62852778451929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4.731133979409468</v>
      </c>
      <c r="DH61" s="21">
        <f>EXP(-LN(2)/2)*DH60+(1-EXP(-LN(2)/2))/(LN(2)/2)*DB61*DE61*VLOOKUP('Données projet'!$B$13,Paramètres!$A$1:$I$89,3,0)*0.475*44/12</f>
        <v>6.5683339802369506E-4</v>
      </c>
      <c r="DI61" s="22">
        <f t="shared" si="15"/>
        <v>4.7317908128074917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11.4</v>
      </c>
      <c r="DO61" s="12">
        <f>IF('Données projet'!$A$166&gt;35,DO60+DN61-DW60,IF(A61&lt;'Données projet'!$A$166,$DL$205^A61,IF(A61='Données projet'!$A$166,'Données projet'!$B$166,DO60+DN61-DW60)))</f>
        <v>364.19999999999982</v>
      </c>
      <c r="DP61" s="17">
        <f>DO61*VLOOKUP('Données projet'!$B$14,Paramètres!$A$1:$I$89,3,0)*VLOOKUP('Données projet'!$B$14,Paramètres!$A$1:$I$89,5,0)</f>
        <v>217.7915999999999</v>
      </c>
      <c r="DQ61" s="13">
        <f t="shared" si="43"/>
        <v>53.634619420976641</v>
      </c>
      <c r="DR61" s="20">
        <f t="shared" si="16"/>
        <v>472.73399882486751</v>
      </c>
      <c r="DS61" s="59">
        <f t="shared" si="17"/>
        <v>766.06733215820077</v>
      </c>
      <c r="DT61" s="59">
        <f ca="1">AVERAGE(OFFSET($DS$3,0,0,'Données projet'!$E$14+1,1))-AVERAGE(OFFSET($H$3,0,0,'Données projet'!$E$14+1,1))</f>
        <v>216.94426559495264</v>
      </c>
      <c r="DU61" s="59">
        <f t="shared" si="44"/>
        <v>225.33715877618704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5.9118668200184601</v>
      </c>
      <c r="EC61" s="21">
        <f>EXP(-LN(2)/2)*EC60+(1-EXP(-LN(2)/2))/(LN(2)/2)*DW61*DZ61*VLOOKUP('Données projet'!$B$14,Paramètres!$A$1:$I$89,3,0)*0.475*44/12</f>
        <v>1.4483251876110212E-3</v>
      </c>
      <c r="ED61" s="22">
        <f t="shared" si="18"/>
        <v>5.913315145206071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21.2</v>
      </c>
      <c r="EJ61" s="12">
        <f>IF('Données projet'!$A$192&gt;35,EJ60+EI61-ER60,IF(A61&lt;'Données projet'!$A$192,$EG$205^A61,IF(A61='Données projet'!$A$192,'Données projet'!$B$192,EJ60+EI61-ER60)))</f>
        <v>587.60000000000014</v>
      </c>
      <c r="EK61" s="17">
        <f>EJ61*VLOOKUP('Données projet'!$B$15,Paramètres!$A$1:$I$89,3,0)*VLOOKUP('Données projet'!$B$15,Paramètres!$A$1:$I$89,5,0)</f>
        <v>282.63560000000007</v>
      </c>
      <c r="EL61" s="13">
        <f t="shared" si="45"/>
        <v>67.52368286083653</v>
      </c>
      <c r="EM61" s="20">
        <f t="shared" si="19"/>
        <v>609.8607509826237</v>
      </c>
      <c r="EN61" s="59">
        <f t="shared" si="20"/>
        <v>903.19408431595707</v>
      </c>
      <c r="EO61" s="59">
        <f ca="1">AVERAGE(OFFSET($EN$3,0,0,'Données projet'!$E$15+1,1))-AVERAGE(OFFSET($H$3,0,0,'Données projet'!$E$15+1,1))</f>
        <v>292.1792787220852</v>
      </c>
      <c r="EP61" s="59">
        <f t="shared" si="46"/>
        <v>273.69206144662144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3.8700212925422925</v>
      </c>
      <c r="EW61" s="21">
        <f>EXP(-LN(2)/25)*EW60+(1-EXP(-LN(2)/25))/(LN(2)/25)*Calculateur!ER61*Calculateur!ET61*VLOOKUP('Données projet'!$B$15,Paramètres!$A$1:$I$89,3,0)*0.475*44/12</f>
        <v>6.1759019636451411</v>
      </c>
      <c r="EX61" s="21">
        <f>EXP(-LN(2)/2)*EX60+(1-EXP(-LN(2)/2))/(LN(2)/2)*ER61*EU61*VLOOKUP('Données projet'!$B$15,Paramètres!$A$1:$I$89,3,0)*0.475*44/12</f>
        <v>1.2764150041646018E-3</v>
      </c>
      <c r="EY61" s="22">
        <f t="shared" si="21"/>
        <v>10.047199671191599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13.499999999999996</v>
      </c>
      <c r="N62" s="13">
        <f>IF('Données projet'!$A$36&gt;35,N61+M62-V61,IF(A62&lt;'Données projet'!$A$36,$K$205^A62,IF(A62='Données projet'!$A$36,'Données projet'!$B$36,N61+M62-V61)))</f>
        <v>361.29999999999984</v>
      </c>
      <c r="O62" s="13">
        <f>N62*VLOOKUP('Données projet'!$B$9,Paramètres!$A$1:$I$89,3,0)*VLOOKUP('Données projet'!$B$9,Paramètres!$A$1:$I$89,5,0)</f>
        <v>169.08839999999992</v>
      </c>
      <c r="P62" s="13">
        <f t="shared" si="33"/>
        <v>42.885791664164614</v>
      </c>
      <c r="Q62" s="20">
        <f t="shared" si="53"/>
        <v>369.18838381508658</v>
      </c>
      <c r="R62" s="59">
        <f t="shared" si="0"/>
        <v>662.52171714841984</v>
      </c>
      <c r="S62" s="59">
        <f ca="1">AVERAGE(OFFSET($R$3,0,0,'Données projet'!$E$9+1,1))-AVERAGE(OFFSET($H$3,0,0,'Données projet'!$E$9+1,1))</f>
        <v>215.23235148064941</v>
      </c>
      <c r="T62" s="59">
        <f t="shared" si="34"/>
        <v>184.07239726900434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1.765040709915437</v>
      </c>
      <c r="AA62" s="21">
        <f>EXP(-LN(2)/25)*AA61+(1-EXP(-LN(2)/25))/(LN(2)/25)*Calculateur!V62*Calculateur!X62*VLOOKUP('Données projet'!$B$9,Paramètres!$A$1:$I$89,3,0)*0.475*44/12</f>
        <v>3.5154187703024742</v>
      </c>
      <c r="AB62" s="21">
        <f>EXP(-LN(2)/2)*AB61+(1-EXP(-LN(2)/2))/(LN(2)/2)*V62*Y62*VLOOKUP('Données projet'!$B$9,Paramètres!$A$1:$I$89,3,0)*0.475*44/12</f>
        <v>4.2434073871094831E-4</v>
      </c>
      <c r="AC62" s="22">
        <f t="shared" si="3"/>
        <v>5.280883820956622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-8.5265128291212022E-14</v>
      </c>
      <c r="AJ62" s="13">
        <f>AI62*VLOOKUP('Données projet'!$B$10,Paramètres!$A$1:$I$89,3,0)*VLOOKUP('Données projet'!$B$10,Paramètres!$A$1:$I$89,5,0)</f>
        <v>-7.7147888077888636E-14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225.28075317732998</v>
      </c>
      <c r="AO62" s="59">
        <f t="shared" si="36"/>
        <v>358.43407531256207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1.2632982155041235</v>
      </c>
      <c r="AV62" s="21">
        <f>EXP(-LN(2)/25)*AV61+(1-EXP(-LN(2)/25))/(LN(2)/25)*Calculateur!AQ62*Calculateur!AS62*VLOOKUP('Données projet'!$B$10,Paramètres!$A$1:$I$89,3,0)*0.475*44/12</f>
        <v>3.7018490583960033</v>
      </c>
      <c r="AW62" s="21">
        <f>EXP(-LN(2)/2)*AW61+(1-EXP(-LN(2)/2))/(LN(2)/2)*AQ62*AT62*VLOOKUP('Données projet'!$B$10,Paramètres!$A$1:$I$89,3,0)*0.475*44/12</f>
        <v>1.9050196915866428E-4</v>
      </c>
      <c r="AX62" s="21">
        <f t="shared" si="6"/>
        <v>4.9653377758692852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16.2</v>
      </c>
      <c r="BD62" s="12">
        <f>IF('Données projet'!$A$88&gt;35,BD61+BC62-BL61,IF(A62&lt;'Données projet'!$A$88,$BA$205^A62,IF(A62='Données projet'!$A$88,'Données projet'!$B$88,BD61+BC62-BL61)))</f>
        <v>546.79999999999984</v>
      </c>
      <c r="BE62" s="13">
        <f>BD62*VLOOKUP('Données projet'!$B$11,Paramètres!$A$1:$I$89,3,0)*VLOOKUP('Données projet'!$B$11,Paramètres!$A$1:$I$89,5,0)</f>
        <v>305.66119999999995</v>
      </c>
      <c r="BF62" s="13">
        <f t="shared" si="37"/>
        <v>72.361974072085076</v>
      </c>
      <c r="BG62" s="20">
        <f t="shared" si="7"/>
        <v>658.39036150888137</v>
      </c>
      <c r="BH62" s="59">
        <f t="shared" si="8"/>
        <v>951.72369484221463</v>
      </c>
      <c r="BI62" s="59">
        <f ca="1">AVERAGE(OFFSET($BH$3,0,0,'Données projet'!$E$11+1,1))-AVERAGE(OFFSET($H$3,0,0,'Données projet'!$E$11+1,1))</f>
        <v>326.31232746914907</v>
      </c>
      <c r="BJ62" s="59">
        <f t="shared" si="38"/>
        <v>330.17137761430297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2.5721484080588084</v>
      </c>
      <c r="BQ62" s="21">
        <f>EXP(-LN(2)/25)*BQ61+(1-EXP(-LN(2)/25))/(LN(2)/25)*Calculateur!BL62*Calculateur!BN62*VLOOKUP('Données projet'!$B$11,Paramètres!$A$1:$I$89,3,0)*0.475*44/12</f>
        <v>13.502772582076108</v>
      </c>
      <c r="BR62" s="21">
        <f>EXP(-LN(2)/2)*BR61+(1-EXP(-LN(2)/2))/(LN(2)/2)*BL62*BO62*VLOOKUP('Données projet'!$B$11,Paramètres!$A$1:$I$89,3,0)*0.475*44/12</f>
        <v>1.4036004165700021E-3</v>
      </c>
      <c r="BS62" s="22">
        <f t="shared" si="9"/>
        <v>16.076324590551486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9.8000000000000007</v>
      </c>
      <c r="BY62" s="12">
        <f>IF('Données projet'!$A$114&gt;35,BY61+BX62-CG61,IF(A62&lt;'Données projet'!$A$114,$BV$205^A62,IF(A62='Données projet'!$A$114,'Données projet'!$B$114,BY61+BX62-CG61)))</f>
        <v>372.20000000000022</v>
      </c>
      <c r="BZ62" s="13">
        <f>BY62*VLOOKUP('Données projet'!$B$12,Paramètres!$A$1:$I$89,3,0)*VLOOKUP('Données projet'!$B$12,Paramètres!$A$1:$I$89,5,0)</f>
        <v>203.22120000000012</v>
      </c>
      <c r="CA62" s="13">
        <f t="shared" si="39"/>
        <v>50.451430348521406</v>
      </c>
      <c r="CB62" s="20">
        <f t="shared" si="10"/>
        <v>441.81316452367497</v>
      </c>
      <c r="CC62" s="59">
        <f t="shared" si="11"/>
        <v>735.14649785700828</v>
      </c>
      <c r="CD62" s="59">
        <f ca="1">AVERAGE(OFFSET($CC$3,0,0,'Données projet'!$E$12+1,1))-AVERAGE(OFFSET($H$3,0,0,'Données projet'!$E$12+1,1))</f>
        <v>210.04871822652808</v>
      </c>
      <c r="CE62" s="59">
        <f t="shared" si="40"/>
        <v>250.17540614049324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4.1110870961785571</v>
      </c>
      <c r="CL62" s="21">
        <f>EXP(-LN(2)/25)*CL61+(1-EXP(-LN(2)/25))/(LN(2)/25)*Calculateur!CG62*Calculateur!CI62*VLOOKUP('Données projet'!$B$12,Paramètres!$A$1:$I$89,3,0)*0.475*44/12</f>
        <v>12.454593199818298</v>
      </c>
      <c r="CM62" s="21">
        <f>EXP(-LN(2)/2)*CM61+(1-EXP(-LN(2)/2))/(LN(2)/2)*CG62*CJ62*VLOOKUP('Données projet'!$B$12,Paramètres!$A$1:$I$89,3,0)*0.475*44/12</f>
        <v>9.3023076703623757E-4</v>
      </c>
      <c r="CN62" s="22">
        <f t="shared" si="12"/>
        <v>16.566610526763892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5.6</v>
      </c>
      <c r="CT62" s="12">
        <f>IF('Données projet'!$A$140&gt;35,CT61+CS62-DB61,IF(A62&lt;'Données projet'!$A$140,$CQ$205^A62,IF(A62='Données projet'!$A$140,'Données projet'!$B$140,CT61+CS62-DB61)))</f>
        <v>252.39999999999969</v>
      </c>
      <c r="CU62" s="17">
        <f>CT62*VLOOKUP('Données projet'!$B$13,Paramètres!$A$1:$I$89,3,0)*VLOOKUP('Données projet'!$B$13,Paramètres!$A$1:$I$89,5,0)</f>
        <v>200.80943999999977</v>
      </c>
      <c r="CV62" s="13">
        <f t="shared" si="41"/>
        <v>49.922016299484262</v>
      </c>
      <c r="CW62" s="20">
        <f t="shared" si="13"/>
        <v>436.69061972160131</v>
      </c>
      <c r="CX62" s="59">
        <f t="shared" si="14"/>
        <v>730.02395305493462</v>
      </c>
      <c r="CY62" s="59">
        <f ca="1">AVERAGE(OFFSET($CX$3,0,0,'Données projet'!$E$13+1,1))-AVERAGE(OFFSET($H$3,0,0,'Données projet'!$E$13+1,1))</f>
        <v>199.58763537752952</v>
      </c>
      <c r="CZ62" s="59">
        <f t="shared" si="42"/>
        <v>242.62852778451929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4.601760871942993</v>
      </c>
      <c r="DH62" s="21">
        <f>EXP(-LN(2)/2)*DH61+(1-EXP(-LN(2)/2))/(LN(2)/2)*DB62*DE62*VLOOKUP('Données projet'!$B$13,Paramètres!$A$1:$I$89,3,0)*0.475*44/12</f>
        <v>4.6445134985235743E-4</v>
      </c>
      <c r="DI62" s="22">
        <f t="shared" si="15"/>
        <v>4.6022253232928456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11.4</v>
      </c>
      <c r="DO62" s="12">
        <f>IF('Données projet'!$A$166&gt;35,DO61+DN62-DW61,IF(A62&lt;'Données projet'!$A$166,$DL$205^A62,IF(A62='Données projet'!$A$166,'Données projet'!$B$166,DO61+DN62-DW61)))</f>
        <v>375.5999999999998</v>
      </c>
      <c r="DP62" s="17">
        <f>DO62*VLOOKUP('Données projet'!$B$14,Paramètres!$A$1:$I$89,3,0)*VLOOKUP('Données projet'!$B$14,Paramètres!$A$1:$I$89,5,0)</f>
        <v>224.60879999999992</v>
      </c>
      <c r="DQ62" s="13">
        <f t="shared" si="43"/>
        <v>55.11537373670501</v>
      </c>
      <c r="DR62" s="20">
        <f t="shared" si="16"/>
        <v>487.1862692580944</v>
      </c>
      <c r="DS62" s="59">
        <f t="shared" si="17"/>
        <v>780.51960259142766</v>
      </c>
      <c r="DT62" s="59">
        <f ca="1">AVERAGE(OFFSET($DS$3,0,0,'Données projet'!$E$14+1,1))-AVERAGE(OFFSET($H$3,0,0,'Données projet'!$E$14+1,1))</f>
        <v>216.94426559495264</v>
      </c>
      <c r="DU62" s="59">
        <f t="shared" si="44"/>
        <v>225.33715877618704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5.7502065109334906</v>
      </c>
      <c r="EC62" s="21">
        <f>EXP(-LN(2)/2)*EC61+(1-EXP(-LN(2)/2))/(LN(2)/2)*DW62*DZ62*VLOOKUP('Données projet'!$B$14,Paramètres!$A$1:$I$89,3,0)*0.475*44/12</f>
        <v>1.0241205615230317E-3</v>
      </c>
      <c r="ED62" s="22">
        <f t="shared" si="18"/>
        <v>5.7512306314950132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21.2</v>
      </c>
      <c r="EJ62" s="12">
        <f>IF('Données projet'!$A$192&gt;35,EJ61+EI62-ER61,IF(A62&lt;'Données projet'!$A$192,$EG$205^A62,IF(A62='Données projet'!$A$192,'Données projet'!$B$192,EJ61+EI62-ER61)))</f>
        <v>608.80000000000018</v>
      </c>
      <c r="EK62" s="17">
        <f>EJ62*VLOOKUP('Données projet'!$B$15,Paramètres!$A$1:$I$89,3,0)*VLOOKUP('Données projet'!$B$15,Paramètres!$A$1:$I$89,5,0)</f>
        <v>292.83280000000008</v>
      </c>
      <c r="EL62" s="13">
        <f t="shared" si="45"/>
        <v>69.67183508878297</v>
      </c>
      <c r="EM62" s="20">
        <f t="shared" si="19"/>
        <v>631.36223944629717</v>
      </c>
      <c r="EN62" s="59">
        <f t="shared" si="20"/>
        <v>924.69557277963054</v>
      </c>
      <c r="EO62" s="59">
        <f ca="1">AVERAGE(OFFSET($EN$3,0,0,'Données projet'!$E$15+1,1))-AVERAGE(OFFSET($H$3,0,0,'Données projet'!$E$15+1,1))</f>
        <v>292.1792787220852</v>
      </c>
      <c r="EP62" s="59">
        <f t="shared" si="46"/>
        <v>273.69206144662144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3.7941325354754487</v>
      </c>
      <c r="EW62" s="21">
        <f>EXP(-LN(2)/25)*EW61+(1-EXP(-LN(2)/25))/(LN(2)/25)*Calculateur!ER62*Calculateur!ET62*VLOOKUP('Données projet'!$B$15,Paramètres!$A$1:$I$89,3,0)*0.475*44/12</f>
        <v>6.0070215996726954</v>
      </c>
      <c r="EX62" s="21">
        <f>EXP(-LN(2)/2)*EX61+(1-EXP(-LN(2)/2))/(LN(2)/2)*ER62*EU62*VLOOKUP('Données projet'!$B$15,Paramètres!$A$1:$I$89,3,0)*0.475*44/12</f>
        <v>9.0256170505304521E-4</v>
      </c>
      <c r="EY62" s="22">
        <f t="shared" si="21"/>
        <v>9.8020566968531959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374.79999999999995</v>
      </c>
      <c r="L63" s="12">
        <f>VLOOKUP(A63,'Données projet'!$A$35:$I$55,9,0)</f>
        <v>13.499999999999996</v>
      </c>
      <c r="M63" s="12">
        <f t="array" ref="M63">INDEX(L:L,MIN(IF(ISNUMBER(L63:L259),ROW(L63:L259),"")))</f>
        <v>13.499999999999996</v>
      </c>
      <c r="N63" s="13">
        <f>IF('Données projet'!$A$36&gt;35,N62+M63-V62,IF(A63&lt;'Données projet'!$A$36,$K$205^A63,IF(A63='Données projet'!$A$36,'Données projet'!$B$36,N62+M63-V62)))</f>
        <v>374.79999999999984</v>
      </c>
      <c r="O63" s="13">
        <f>N63*VLOOKUP('Données projet'!$B$9,Paramètres!$A$1:$I$89,3,0)*VLOOKUP('Données projet'!$B$9,Paramètres!$A$1:$I$89,5,0)</f>
        <v>175.40639999999993</v>
      </c>
      <c r="P63" s="13">
        <f t="shared" si="33"/>
        <v>44.298662258322672</v>
      </c>
      <c r="Q63" s="20">
        <f t="shared" si="53"/>
        <v>382.65298343324525</v>
      </c>
      <c r="R63" s="59">
        <f t="shared" si="0"/>
        <v>675.98631676657851</v>
      </c>
      <c r="S63" s="59">
        <f ca="1">AVERAGE(OFFSET($R$3,0,0,'Données projet'!$E$9+1,1))-AVERAGE(OFFSET($H$3,0,0,'Données projet'!$E$9+1,1))</f>
        <v>215.23235148064941</v>
      </c>
      <c r="T63" s="59">
        <f t="shared" si="34"/>
        <v>184.07239726900434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83.4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1.730429338162526</v>
      </c>
      <c r="AA63" s="21">
        <f>EXP(-LN(2)/25)*AA62+(1-EXP(-LN(2)/25))/(LN(2)/25)*Calculateur!V63*Calculateur!X63*VLOOKUP('Données projet'!$B$9,Paramètres!$A$1:$I$89,3,0)*0.475*44/12</f>
        <v>3.4192894591607144</v>
      </c>
      <c r="AB63" s="21">
        <f>EXP(-LN(2)/2)*AB62+(1-EXP(-LN(2)/2))/(LN(2)/2)*V63*Y63*VLOOKUP('Données projet'!$B$9,Paramètres!$A$1:$I$89,3,0)*0.475*44/12</f>
        <v>3.0005421387622046E-4</v>
      </c>
      <c r="AC63" s="22">
        <f t="shared" si="3"/>
        <v>5.1500188515371166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-8.5265128291212022E-14</v>
      </c>
      <c r="AJ63" s="13">
        <f>AI63*VLOOKUP('Données projet'!$B$10,Paramètres!$A$1:$I$89,3,0)*VLOOKUP('Données projet'!$B$10,Paramètres!$A$1:$I$89,5,0)</f>
        <v>-7.7147888077888636E-14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225.28075317732998</v>
      </c>
      <c r="AO63" s="59">
        <f t="shared" si="36"/>
        <v>358.43407531256207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1.2385257080339149</v>
      </c>
      <c r="AV63" s="21">
        <f>EXP(-LN(2)/25)*AV62+(1-EXP(-LN(2)/25))/(LN(2)/25)*Calculateur!AQ63*Calculateur!AS63*VLOOKUP('Données projet'!$B$10,Paramètres!$A$1:$I$89,3,0)*0.475*44/12</f>
        <v>3.6006218012223834</v>
      </c>
      <c r="AW63" s="21">
        <f>EXP(-LN(2)/2)*AW62+(1-EXP(-LN(2)/2))/(LN(2)/2)*AQ63*AT63*VLOOKUP('Données projet'!$B$10,Paramètres!$A$1:$I$89,3,0)*0.475*44/12</f>
        <v>1.3470523422148205E-4</v>
      </c>
      <c r="AX63" s="21">
        <f t="shared" si="6"/>
        <v>4.8392822144905194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563</v>
      </c>
      <c r="BB63" s="12">
        <f>VLOOKUP(A63,'Données projet'!$A$87:$I$107,9,0)</f>
        <v>16.2</v>
      </c>
      <c r="BC63" s="12">
        <f t="array" ref="BC63">INDEX(BB:BB,MIN(IF(ISNUMBER(BB63:BB259),ROW(BB63:BB259),"")))</f>
        <v>16.2</v>
      </c>
      <c r="BD63" s="12">
        <f>IF('Données projet'!$A$88&gt;35,BD62+BC63-BL62,IF(A63&lt;'Données projet'!$A$88,$BA$205^A63,IF(A63='Données projet'!$A$88,'Données projet'!$B$88,BD62+BC63-BL62)))</f>
        <v>562.99999999999989</v>
      </c>
      <c r="BE63" s="13">
        <f>BD63*VLOOKUP('Données projet'!$B$11,Paramètres!$A$1:$I$89,3,0)*VLOOKUP('Données projet'!$B$11,Paramètres!$A$1:$I$89,5,0)</f>
        <v>314.71699999999993</v>
      </c>
      <c r="BF63" s="13">
        <f t="shared" si="37"/>
        <v>74.253060032718466</v>
      </c>
      <c r="BG63" s="20">
        <f t="shared" si="7"/>
        <v>677.45618789031789</v>
      </c>
      <c r="BH63" s="59">
        <f t="shared" si="8"/>
        <v>970.78952122365126</v>
      </c>
      <c r="BI63" s="59">
        <f ca="1">AVERAGE(OFFSET($BH$3,0,0,'Données projet'!$E$11+1,1))-AVERAGE(OFFSET($H$3,0,0,'Données projet'!$E$11+1,1))</f>
        <v>326.31232746914907</v>
      </c>
      <c r="BJ63" s="59">
        <f t="shared" si="38"/>
        <v>330.17137761430297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83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2.5217101466323926</v>
      </c>
      <c r="BQ63" s="21">
        <f>EXP(-LN(2)/25)*BQ62+(1-EXP(-LN(2)/25))/(LN(2)/25)*Calculateur!BL63*Calculateur!BN63*VLOOKUP('Données projet'!$B$11,Paramètres!$A$1:$I$89,3,0)*0.475*44/12</f>
        <v>13.133538555739289</v>
      </c>
      <c r="BR63" s="21">
        <f>EXP(-LN(2)/2)*BR62+(1-EXP(-LN(2)/2))/(LN(2)/2)*BL63*BO63*VLOOKUP('Données projet'!$B$11,Paramètres!$A$1:$I$89,3,0)*0.475*44/12</f>
        <v>9.9249537263291143E-4</v>
      </c>
      <c r="BS63" s="22">
        <f t="shared" si="9"/>
        <v>15.656241197744315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382</v>
      </c>
      <c r="BW63" s="12">
        <f>VLOOKUP(A63,'Données projet'!$A$113:$I$133,9,0)</f>
        <v>9.8000000000000007</v>
      </c>
      <c r="BX63" s="12">
        <f t="array" ref="BX63">INDEX(BW:BW,MIN(IF(ISNUMBER(BW63:BW259),ROW(BW63:BW259),"")))</f>
        <v>9.8000000000000007</v>
      </c>
      <c r="BY63" s="12">
        <f>IF('Données projet'!$A$114&gt;35,BY62+BX63-CG62,IF(A63&lt;'Données projet'!$A$114,$BV$205^A63,IF(A63='Données projet'!$A$114,'Données projet'!$B$114,BY62+BX63-CG62)))</f>
        <v>382.00000000000023</v>
      </c>
      <c r="BZ63" s="13">
        <f>BY63*VLOOKUP('Données projet'!$B$12,Paramètres!$A$1:$I$89,3,0)*VLOOKUP('Données projet'!$B$12,Paramètres!$A$1:$I$89,5,0)</f>
        <v>208.57200000000012</v>
      </c>
      <c r="CA63" s="13">
        <f t="shared" si="39"/>
        <v>51.623407958239042</v>
      </c>
      <c r="CB63" s="20">
        <f t="shared" si="10"/>
        <v>453.17366886059989</v>
      </c>
      <c r="CC63" s="59">
        <f t="shared" si="11"/>
        <v>746.5070021939332</v>
      </c>
      <c r="CD63" s="59">
        <f ca="1">AVERAGE(OFFSET($CC$3,0,0,'Données projet'!$E$12+1,1))-AVERAGE(OFFSET($H$3,0,0,'Données projet'!$E$12+1,1))</f>
        <v>210.04871822652808</v>
      </c>
      <c r="CE63" s="59">
        <f t="shared" si="40"/>
        <v>250.17540614049324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4.030471185738028</v>
      </c>
      <c r="CL63" s="21">
        <f>EXP(-LN(2)/25)*CL62+(1-EXP(-LN(2)/25))/(LN(2)/25)*Calculateur!CG63*Calculateur!CI63*VLOOKUP('Données projet'!$B$12,Paramètres!$A$1:$I$89,3,0)*0.475*44/12</f>
        <v>12.114021693810676</v>
      </c>
      <c r="CM63" s="21">
        <f>EXP(-LN(2)/2)*CM62+(1-EXP(-LN(2)/2))/(LN(2)/2)*CG63*CJ63*VLOOKUP('Données projet'!$B$12,Paramètres!$A$1:$I$89,3,0)*0.475*44/12</f>
        <v>6.577724834396872E-4</v>
      </c>
      <c r="CN63" s="22">
        <f t="shared" si="12"/>
        <v>16.145150652032143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258</v>
      </c>
      <c r="CR63" s="12">
        <f>VLOOKUP(A63,'Données projet'!$A$139:$I$159,9,0)</f>
        <v>5.6</v>
      </c>
      <c r="CS63" s="12">
        <f t="array" ref="CS63">INDEX(CR:CR,MIN(IF(ISNUMBER(CR63:CR259),ROW(CR63:CR259),"")))</f>
        <v>5.6</v>
      </c>
      <c r="CT63" s="12">
        <f>IF('Données projet'!$A$140&gt;35,CT62+CS63-DB62,IF(A63&lt;'Données projet'!$A$140,$CQ$205^A63,IF(A63='Données projet'!$A$140,'Données projet'!$B$140,CT62+CS63-DB62)))</f>
        <v>257.99999999999972</v>
      </c>
      <c r="CU63" s="17">
        <f>CT63*VLOOKUP('Données projet'!$B$13,Paramètres!$A$1:$I$89,3,0)*VLOOKUP('Données projet'!$B$13,Paramètres!$A$1:$I$89,5,0)</f>
        <v>205.26479999999981</v>
      </c>
      <c r="CV63" s="13">
        <f t="shared" si="41"/>
        <v>50.899455886133694</v>
      </c>
      <c r="CW63" s="20">
        <f t="shared" si="13"/>
        <v>446.15274566834916</v>
      </c>
      <c r="CX63" s="59">
        <f t="shared" si="14"/>
        <v>739.48607900168247</v>
      </c>
      <c r="CY63" s="59">
        <f ca="1">AVERAGE(OFFSET($CX$3,0,0,'Données projet'!$E$13+1,1))-AVERAGE(OFFSET($H$3,0,0,'Données projet'!$E$13+1,1))</f>
        <v>199.58763537752952</v>
      </c>
      <c r="CZ63" s="59">
        <f t="shared" si="42"/>
        <v>242.62852778451929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25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4.4759254789036254</v>
      </c>
      <c r="DH63" s="21">
        <f>EXP(-LN(2)/2)*DH62+(1-EXP(-LN(2)/2))/(LN(2)/2)*DB63*DE63*VLOOKUP('Données projet'!$B$13,Paramètres!$A$1:$I$89,3,0)*0.475*44/12</f>
        <v>3.2841669901184753E-4</v>
      </c>
      <c r="DI63" s="22">
        <f t="shared" si="15"/>
        <v>4.4762538956026372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387</v>
      </c>
      <c r="DM63" s="12">
        <f>VLOOKUP(A63,'Données projet'!$A$165:$I$185,9,0)</f>
        <v>11.4</v>
      </c>
      <c r="DN63" s="12">
        <f t="array" ref="DN63">INDEX(DM:DM,MIN(IF(ISNUMBER(DM63:DM259),ROW(DM63:DM259),"")))</f>
        <v>11.4</v>
      </c>
      <c r="DO63" s="12">
        <f>IF('Données projet'!$A$166&gt;35,DO62+DN63-DW62,IF(A63&lt;'Données projet'!$A$166,$DL$205^A63,IF(A63='Données projet'!$A$166,'Données projet'!$B$166,DO62+DN63-DW62)))</f>
        <v>386.99999999999977</v>
      </c>
      <c r="DP63" s="17">
        <f>DO63*VLOOKUP('Données projet'!$B$14,Paramètres!$A$1:$I$89,3,0)*VLOOKUP('Données projet'!$B$14,Paramètres!$A$1:$I$89,5,0)</f>
        <v>231.42599999999987</v>
      </c>
      <c r="DQ63" s="13">
        <f t="shared" si="43"/>
        <v>56.590905067453171</v>
      </c>
      <c r="DR63" s="20">
        <f t="shared" si="16"/>
        <v>501.62944299248062</v>
      </c>
      <c r="DS63" s="59">
        <f t="shared" si="17"/>
        <v>794.96277632581393</v>
      </c>
      <c r="DT63" s="59">
        <f ca="1">AVERAGE(OFFSET($DS$3,0,0,'Données projet'!$E$14+1,1))-AVERAGE(OFFSET($H$3,0,0,'Données projet'!$E$14+1,1))</f>
        <v>216.94426559495264</v>
      </c>
      <c r="DU63" s="59">
        <f t="shared" si="44"/>
        <v>225.33715877618704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57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5.5929668115017961</v>
      </c>
      <c r="EC63" s="21">
        <f>EXP(-LN(2)/2)*EC62+(1-EXP(-LN(2)/2))/(LN(2)/2)*DW63*DZ63*VLOOKUP('Données projet'!$B$14,Paramètres!$A$1:$I$89,3,0)*0.475*44/12</f>
        <v>7.241625938055106E-4</v>
      </c>
      <c r="ED63" s="22">
        <f t="shared" si="18"/>
        <v>5.593690974095602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630</v>
      </c>
      <c r="EH63" s="12">
        <f>VLOOKUP(A63,'Données projet'!$A$191:$I$211,9,0)</f>
        <v>21.2</v>
      </c>
      <c r="EI63" s="12">
        <f t="array" ref="EI63">INDEX(EH:EH,MIN(IF(ISNUMBER(EH63:EH259),ROW(EH63:EH259),"")))</f>
        <v>21.2</v>
      </c>
      <c r="EJ63" s="12">
        <f>IF('Données projet'!$A$192&gt;35,EJ62+EI63-ER62,IF(A63&lt;'Données projet'!$A$192,$EG$205^A63,IF(A63='Données projet'!$A$192,'Données projet'!$B$192,EJ62+EI63-ER62)))</f>
        <v>630.00000000000023</v>
      </c>
      <c r="EK63" s="17">
        <f>EJ63*VLOOKUP('Données projet'!$B$15,Paramètres!$A$1:$I$89,3,0)*VLOOKUP('Données projet'!$B$15,Paramètres!$A$1:$I$89,5,0)</f>
        <v>303.03000000000009</v>
      </c>
      <c r="EL63" s="13">
        <f t="shared" si="45"/>
        <v>71.811295869366887</v>
      </c>
      <c r="EM63" s="20">
        <f t="shared" si="19"/>
        <v>652.84859030581401</v>
      </c>
      <c r="EN63" s="59">
        <f t="shared" si="20"/>
        <v>946.18192363914727</v>
      </c>
      <c r="EO63" s="59">
        <f ca="1">AVERAGE(OFFSET($EN$3,0,0,'Données projet'!$E$15+1,1))-AVERAGE(OFFSET($H$3,0,0,'Données projet'!$E$15+1,1))</f>
        <v>292.1792787220852</v>
      </c>
      <c r="EP63" s="59">
        <f t="shared" si="46"/>
        <v>273.69206144662144</v>
      </c>
      <c r="EQ63" s="15">
        <f>IF(ISNA(VLOOKUP(A63,'Données projet'!$A$191:$I$211,3,0)),0,VLOOKUP(A63,'Données projet'!$A$191:$I$211,3,0))</f>
        <v>4</v>
      </c>
      <c r="ER63" s="15">
        <f>IF(ISNA(VLOOKUP(A63,'Données projet'!$A$191:$I$211,4,0)),0,VLOOKUP(A63,'Données projet'!$A$191:$I$211,4,0))</f>
        <v>106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3.7197319106471145</v>
      </c>
      <c r="EW63" s="21">
        <f>EXP(-LN(2)/25)*EW62+(1-EXP(-LN(2)/25))/(LN(2)/25)*Calculateur!ER63*Calculateur!ET63*VLOOKUP('Données projet'!$B$15,Paramètres!$A$1:$I$89,3,0)*0.475*44/12</f>
        <v>5.8427592781341087</v>
      </c>
      <c r="EX63" s="21">
        <f>EXP(-LN(2)/2)*EX62+(1-EXP(-LN(2)/2))/(LN(2)/2)*ER63*EU63*VLOOKUP('Données projet'!$B$15,Paramètres!$A$1:$I$89,3,0)*0.475*44/12</f>
        <v>6.3820750208230088E-4</v>
      </c>
      <c r="EY63" s="22">
        <f t="shared" si="21"/>
        <v>9.5631293962833048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306.89999999999986</v>
      </c>
      <c r="O64" s="13">
        <f>N64*VLOOKUP('Données projet'!$B$9,Paramètres!$A$1:$I$89,3,0)*VLOOKUP('Données projet'!$B$9,Paramètres!$A$1:$I$89,5,0)</f>
        <v>143.62919999999994</v>
      </c>
      <c r="P64" s="13">
        <f t="shared" si="33"/>
        <v>37.127161849234348</v>
      </c>
      <c r="Q64" s="20">
        <f t="shared" si="53"/>
        <v>314.81733022074968</v>
      </c>
      <c r="R64" s="59">
        <f t="shared" si="0"/>
        <v>608.15066355408294</v>
      </c>
      <c r="S64" s="59">
        <f ca="1">AVERAGE(OFFSET($R$3,0,0,'Données projet'!$E$9+1,1))-AVERAGE(OFFSET($H$3,0,0,'Données projet'!$E$9+1,1))</f>
        <v>215.23235148064941</v>
      </c>
      <c r="T64" s="59">
        <f t="shared" si="34"/>
        <v>184.07239726900434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1.6964966742988374</v>
      </c>
      <c r="AA64" s="21">
        <f>EXP(-LN(2)/25)*AA63+(1-EXP(-LN(2)/25))/(LN(2)/25)*Calculateur!V64*Calculateur!X64*VLOOKUP('Données projet'!$B$9,Paramètres!$A$1:$I$89,3,0)*0.475*44/12</f>
        <v>3.3257888090873466</v>
      </c>
      <c r="AB64" s="21">
        <f>EXP(-LN(2)/2)*AB63+(1-EXP(-LN(2)/2))/(LN(2)/2)*V64*Y64*VLOOKUP('Données projet'!$B$9,Paramètres!$A$1:$I$89,3,0)*0.475*44/12</f>
        <v>2.1217036935547415E-4</v>
      </c>
      <c r="AC64" s="22">
        <f t="shared" si="3"/>
        <v>5.0224976537555399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-8.5265128291212022E-14</v>
      </c>
      <c r="AJ64" s="13">
        <f>AI64*VLOOKUP('Données projet'!$B$10,Paramètres!$A$1:$I$89,3,0)*VLOOKUP('Données projet'!$B$10,Paramètres!$A$1:$I$89,5,0)</f>
        <v>-7.7147888077888636E-14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225.28075317732998</v>
      </c>
      <c r="AO64" s="59">
        <f t="shared" si="36"/>
        <v>358.43407531256207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1.2142389743254596</v>
      </c>
      <c r="AV64" s="21">
        <f>EXP(-LN(2)/25)*AV63+(1-EXP(-LN(2)/25))/(LN(2)/25)*Calculateur!AQ64*Calculateur!AS64*VLOOKUP('Données projet'!$B$10,Paramètres!$A$1:$I$89,3,0)*0.475*44/12</f>
        <v>3.5021626087194861</v>
      </c>
      <c r="AW64" s="21">
        <f>EXP(-LN(2)/2)*AW63+(1-EXP(-LN(2)/2))/(LN(2)/2)*AQ64*AT64*VLOOKUP('Données projet'!$B$10,Paramètres!$A$1:$I$89,3,0)*0.475*44/12</f>
        <v>9.5250984579332138E-5</v>
      </c>
      <c r="AX64" s="21">
        <f t="shared" si="6"/>
        <v>4.7164968340295257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13.4</v>
      </c>
      <c r="BD64" s="12">
        <f>IF('Données projet'!$A$88&gt;35,BD63+BC64-BL63,IF(A64&lt;'Données projet'!$A$88,$BA$205^A64,IF(A64='Données projet'!$A$88,'Données projet'!$B$88,BD63+BC64-BL63)))</f>
        <v>493.39999999999986</v>
      </c>
      <c r="BE64" s="13">
        <f>BD64*VLOOKUP('Données projet'!$B$11,Paramètres!$A$1:$I$89,3,0)*VLOOKUP('Données projet'!$B$11,Paramètres!$A$1:$I$89,5,0)</f>
        <v>275.81059999999997</v>
      </c>
      <c r="BF64" s="13">
        <f t="shared" si="37"/>
        <v>66.080892951487996</v>
      </c>
      <c r="BG64" s="20">
        <f t="shared" si="7"/>
        <v>595.46101689050818</v>
      </c>
      <c r="BH64" s="59">
        <f t="shared" si="8"/>
        <v>888.79435022384155</v>
      </c>
      <c r="BI64" s="59">
        <f ca="1">AVERAGE(OFFSET($BH$3,0,0,'Données projet'!$E$11+1,1))-AVERAGE(OFFSET($H$3,0,0,'Données projet'!$E$11+1,1))</f>
        <v>326.31232746914907</v>
      </c>
      <c r="BJ64" s="59">
        <f t="shared" si="38"/>
        <v>330.17137761430297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2.472260948748247</v>
      </c>
      <c r="BQ64" s="21">
        <f>EXP(-LN(2)/25)*BQ63+(1-EXP(-LN(2)/25))/(LN(2)/25)*Calculateur!BL64*Calculateur!BN64*VLOOKUP('Données projet'!$B$11,Paramètres!$A$1:$I$89,3,0)*0.475*44/12</f>
        <v>12.774401253269822</v>
      </c>
      <c r="BR64" s="21">
        <f>EXP(-LN(2)/2)*BR63+(1-EXP(-LN(2)/2))/(LN(2)/2)*BL64*BO64*VLOOKUP('Données projet'!$B$11,Paramètres!$A$1:$I$89,3,0)*0.475*44/12</f>
        <v>7.0180020828500105E-4</v>
      </c>
      <c r="BS64" s="22">
        <f t="shared" si="9"/>
        <v>15.247364002226353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</v>
      </c>
      <c r="BY64" s="12">
        <f>IF('Données projet'!$A$114&gt;35,BY63+BX64-CG63,IF(A64&lt;'Données projet'!$A$114,$BV$205^A64,IF(A64='Données projet'!$A$114,'Données projet'!$B$114,BY63+BX64-CG63)))</f>
        <v>334.50000000000023</v>
      </c>
      <c r="BZ64" s="13">
        <f>BY64*VLOOKUP('Données projet'!$B$12,Paramètres!$A$1:$I$89,3,0)*VLOOKUP('Données projet'!$B$12,Paramètres!$A$1:$I$89,5,0)</f>
        <v>182.63700000000014</v>
      </c>
      <c r="CA64" s="13">
        <f t="shared" si="39"/>
        <v>45.908372564566413</v>
      </c>
      <c r="CB64" s="20">
        <f t="shared" si="10"/>
        <v>398.04985721662001</v>
      </c>
      <c r="CC64" s="59">
        <f t="shared" si="11"/>
        <v>691.38319054995327</v>
      </c>
      <c r="CD64" s="59">
        <f ca="1">AVERAGE(OFFSET($CC$3,0,0,'Données projet'!$E$12+1,1))-AVERAGE(OFFSET($H$3,0,0,'Données projet'!$E$12+1,1))</f>
        <v>210.04871822652808</v>
      </c>
      <c r="CE64" s="59">
        <f t="shared" si="40"/>
        <v>250.17540614049324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3.9514361041303872</v>
      </c>
      <c r="CL64" s="21">
        <f>EXP(-LN(2)/25)*CL63+(1-EXP(-LN(2)/25))/(LN(2)/25)*Calculateur!CG64*Calculateur!CI64*VLOOKUP('Données projet'!$B$12,Paramètres!$A$1:$I$89,3,0)*0.475*44/12</f>
        <v>11.782763133544709</v>
      </c>
      <c r="CM64" s="21">
        <f>EXP(-LN(2)/2)*CM63+(1-EXP(-LN(2)/2))/(LN(2)/2)*CG64*CJ64*VLOOKUP('Données projet'!$B$12,Paramètres!$A$1:$I$89,3,0)*0.475*44/12</f>
        <v>4.651153835181189E-4</v>
      </c>
      <c r="CN64" s="22">
        <f t="shared" si="12"/>
        <v>15.734664353058614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4.0999999999999996</v>
      </c>
      <c r="CT64" s="12">
        <f>IF('Données projet'!$A$140&gt;35,CT63+CS64-DB63,IF(A64&lt;'Données projet'!$A$140,$CQ$205^A64,IF(A64='Données projet'!$A$140,'Données projet'!$B$140,CT63+CS64-DB63)))</f>
        <v>237.09999999999974</v>
      </c>
      <c r="CU64" s="17">
        <f>CT64*VLOOKUP('Données projet'!$B$13,Paramètres!$A$1:$I$89,3,0)*VLOOKUP('Données projet'!$B$13,Paramètres!$A$1:$I$89,5,0)</f>
        <v>188.63675999999978</v>
      </c>
      <c r="CV64" s="13">
        <f t="shared" si="41"/>
        <v>47.238433649202641</v>
      </c>
      <c r="CW64" s="20">
        <f t="shared" si="13"/>
        <v>410.81596227236088</v>
      </c>
      <c r="CX64" s="59">
        <f t="shared" si="14"/>
        <v>704.14929560569419</v>
      </c>
      <c r="CY64" s="59">
        <f ca="1">AVERAGE(OFFSET($CX$3,0,0,'Données projet'!$E$13+1,1))-AVERAGE(OFFSET($H$3,0,0,'Données projet'!$E$13+1,1))</f>
        <v>199.58763537752952</v>
      </c>
      <c r="CZ64" s="59">
        <f t="shared" si="42"/>
        <v>242.62852778451929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4.3535310613043148</v>
      </c>
      <c r="DH64" s="21">
        <f>EXP(-LN(2)/2)*DH63+(1-EXP(-LN(2)/2))/(LN(2)/2)*DB64*DE64*VLOOKUP('Données projet'!$B$13,Paramètres!$A$1:$I$89,3,0)*0.475*44/12</f>
        <v>2.3222567492617871E-4</v>
      </c>
      <c r="DI64" s="22">
        <f t="shared" si="15"/>
        <v>4.3537632869792411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9.1999999999999993</v>
      </c>
      <c r="DO64" s="12">
        <f>IF('Données projet'!$A$166&gt;35,DO63+DN64-DW63,IF(A64&lt;'Données projet'!$A$166,$DL$205^A64,IF(A64='Données projet'!$A$166,'Données projet'!$B$166,DO63+DN64-DW63)))</f>
        <v>339.19999999999976</v>
      </c>
      <c r="DP64" s="17">
        <f>DO64*VLOOKUP('Données projet'!$B$14,Paramètres!$A$1:$I$89,3,0)*VLOOKUP('Données projet'!$B$14,Paramètres!$A$1:$I$89,5,0)</f>
        <v>202.84159999999989</v>
      </c>
      <c r="DQ64" s="13">
        <f t="shared" si="43"/>
        <v>50.368151708087709</v>
      </c>
      <c r="DR64" s="20">
        <f t="shared" si="16"/>
        <v>441.00698422491922</v>
      </c>
      <c r="DS64" s="59">
        <f t="shared" si="17"/>
        <v>734.34031755825254</v>
      </c>
      <c r="DT64" s="59">
        <f ca="1">AVERAGE(OFFSET($DS$3,0,0,'Données projet'!$E$14+1,1))-AVERAGE(OFFSET($H$3,0,0,'Données projet'!$E$14+1,1))</f>
        <v>216.94426559495264</v>
      </c>
      <c r="DU64" s="59">
        <f t="shared" si="44"/>
        <v>225.33715877618704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5.4400268399199376</v>
      </c>
      <c r="EC64" s="21">
        <f>EXP(-LN(2)/2)*EC63+(1-EXP(-LN(2)/2))/(LN(2)/2)*DW64*DZ64*VLOOKUP('Données projet'!$B$14,Paramètres!$A$1:$I$89,3,0)*0.475*44/12</f>
        <v>5.1206028076151587E-4</v>
      </c>
      <c r="ED64" s="22">
        <f t="shared" si="18"/>
        <v>5.440538900200699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17</v>
      </c>
      <c r="EJ64" s="12">
        <f>IF('Données projet'!$A$192&gt;35,EJ63+EI64-ER63,IF(A64&lt;'Données projet'!$A$192,$EG$205^A64,IF(A64='Données projet'!$A$192,'Données projet'!$B$192,EJ63+EI64-ER63)))</f>
        <v>541.00000000000023</v>
      </c>
      <c r="EK64" s="17">
        <f>EJ64*VLOOKUP('Données projet'!$B$15,Paramètres!$A$1:$I$89,3,0)*VLOOKUP('Données projet'!$B$15,Paramètres!$A$1:$I$89,5,0)</f>
        <v>260.22100000000012</v>
      </c>
      <c r="EL64" s="13">
        <f t="shared" si="45"/>
        <v>62.769483895641194</v>
      </c>
      <c r="EM64" s="20">
        <f t="shared" si="19"/>
        <v>562.54175945157522</v>
      </c>
      <c r="EN64" s="59">
        <f t="shared" si="20"/>
        <v>855.87509278490847</v>
      </c>
      <c r="EO64" s="59">
        <f ca="1">AVERAGE(OFFSET($EN$3,0,0,'Données projet'!$E$15+1,1))-AVERAGE(OFFSET($H$3,0,0,'Données projet'!$E$15+1,1))</f>
        <v>292.1792787220852</v>
      </c>
      <c r="EP64" s="59">
        <f t="shared" si="46"/>
        <v>273.69206144662144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3.6467902366917633</v>
      </c>
      <c r="EW64" s="21">
        <f>EXP(-LN(2)/25)*EW63+(1-EXP(-LN(2)/25))/(LN(2)/25)*Calculateur!ER64*Calculateur!ET64*VLOOKUP('Données projet'!$B$15,Paramètres!$A$1:$I$89,3,0)*0.475*44/12</f>
        <v>5.6829887184161745</v>
      </c>
      <c r="EX64" s="21">
        <f>EXP(-LN(2)/2)*EX63+(1-EXP(-LN(2)/2))/(LN(2)/2)*ER64*EU64*VLOOKUP('Données projet'!$B$15,Paramètres!$A$1:$I$89,3,0)*0.475*44/12</f>
        <v>4.5128085252652261E-4</v>
      </c>
      <c r="EY64" s="22">
        <f t="shared" si="21"/>
        <v>9.3302302359604639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322.39999999999986</v>
      </c>
      <c r="O65" s="13">
        <f>N65*VLOOKUP('Données projet'!$B$9,Paramètres!$A$1:$I$89,3,0)*VLOOKUP('Données projet'!$B$9,Paramètres!$A$1:$I$89,5,0)</f>
        <v>150.88319999999993</v>
      </c>
      <c r="P65" s="13">
        <f t="shared" si="33"/>
        <v>38.779227360583164</v>
      </c>
      <c r="Q65" s="20">
        <f t="shared" si="53"/>
        <v>330.32872765301551</v>
      </c>
      <c r="R65" s="59">
        <f t="shared" si="0"/>
        <v>623.66206098634882</v>
      </c>
      <c r="S65" s="59">
        <f ca="1">AVERAGE(OFFSET($R$3,0,0,'Données projet'!$E$9+1,1))-AVERAGE(OFFSET($H$3,0,0,'Données projet'!$E$9+1,1))</f>
        <v>215.23235148064941</v>
      </c>
      <c r="T65" s="59">
        <f t="shared" si="34"/>
        <v>184.07239726900434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1.6632294092766344</v>
      </c>
      <c r="AA65" s="21">
        <f>EXP(-LN(2)/25)*AA64+(1-EXP(-LN(2)/25))/(LN(2)/25)*Calculateur!V65*Calculateur!X65*VLOOKUP('Données projet'!$B$9,Paramètres!$A$1:$I$89,3,0)*0.475*44/12</f>
        <v>3.2348449392072207</v>
      </c>
      <c r="AB65" s="21">
        <f>EXP(-LN(2)/2)*AB64+(1-EXP(-LN(2)/2))/(LN(2)/2)*V65*Y65*VLOOKUP('Données projet'!$B$9,Paramètres!$A$1:$I$89,3,0)*0.475*44/12</f>
        <v>1.5002710693811023E-4</v>
      </c>
      <c r="AC65" s="22">
        <f t="shared" si="3"/>
        <v>4.898224375590793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-8.5265128291212022E-14</v>
      </c>
      <c r="AJ65" s="13">
        <f>AI65*VLOOKUP('Données projet'!$B$10,Paramètres!$A$1:$I$89,3,0)*VLOOKUP('Données projet'!$B$10,Paramètres!$A$1:$I$89,5,0)</f>
        <v>-7.7147888077888636E-14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225.28075317732998</v>
      </c>
      <c r="AO65" s="59">
        <f t="shared" si="36"/>
        <v>358.43407531256207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1.1904284886515821</v>
      </c>
      <c r="AV65" s="21">
        <f>EXP(-LN(2)/25)*AV64+(1-EXP(-LN(2)/25))/(LN(2)/25)*Calculateur!AQ65*Calculateur!AS65*VLOOKUP('Données projet'!$B$10,Paramètres!$A$1:$I$89,3,0)*0.475*44/12</f>
        <v>3.4063957880133247</v>
      </c>
      <c r="AW65" s="21">
        <f>EXP(-LN(2)/2)*AW64+(1-EXP(-LN(2)/2))/(LN(2)/2)*AQ65*AT65*VLOOKUP('Données projet'!$B$10,Paramètres!$A$1:$I$89,3,0)*0.475*44/12</f>
        <v>6.7352617110741023E-5</v>
      </c>
      <c r="AX65" s="21">
        <f t="shared" si="6"/>
        <v>4.5968916292820179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13.4</v>
      </c>
      <c r="BD65" s="12">
        <f>IF('Données projet'!$A$88&gt;35,BD64+BC65-BL64,IF(A65&lt;'Données projet'!$A$88,$BA$205^A65,IF(A65='Données projet'!$A$88,'Données projet'!$B$88,BD64+BC65-BL64)))</f>
        <v>506.79999999999984</v>
      </c>
      <c r="BE65" s="13">
        <f>BD65*VLOOKUP('Données projet'!$B$11,Paramètres!$A$1:$I$89,3,0)*VLOOKUP('Données projet'!$B$11,Paramètres!$A$1:$I$89,5,0)</f>
        <v>283.30119999999988</v>
      </c>
      <c r="BF65" s="13">
        <f t="shared" si="37"/>
        <v>67.664170722499449</v>
      </c>
      <c r="BG65" s="20">
        <f t="shared" si="7"/>
        <v>611.26468734168623</v>
      </c>
      <c r="BH65" s="59">
        <f t="shared" si="8"/>
        <v>904.5980206750196</v>
      </c>
      <c r="BI65" s="59">
        <f ca="1">AVERAGE(OFFSET($BH$3,0,0,'Données projet'!$E$11+1,1))-AVERAGE(OFFSET($H$3,0,0,'Données projet'!$E$11+1,1))</f>
        <v>326.31232746914907</v>
      </c>
      <c r="BJ65" s="59">
        <f t="shared" si="38"/>
        <v>330.17137761430297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2.4237814194735767</v>
      </c>
      <c r="BQ65" s="21">
        <f>EXP(-LN(2)/25)*BQ64+(1-EXP(-LN(2)/25))/(LN(2)/25)*Calculateur!BL65*Calculateur!BN65*VLOOKUP('Données projet'!$B$11,Paramètres!$A$1:$I$89,3,0)*0.475*44/12</f>
        <v>12.425084579222593</v>
      </c>
      <c r="BR65" s="21">
        <f>EXP(-LN(2)/2)*BR64+(1-EXP(-LN(2)/2))/(LN(2)/2)*BL65*BO65*VLOOKUP('Données projet'!$B$11,Paramètres!$A$1:$I$89,3,0)*0.475*44/12</f>
        <v>4.9624768631645571E-4</v>
      </c>
      <c r="BS65" s="22">
        <f t="shared" si="9"/>
        <v>14.849362246382485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</v>
      </c>
      <c r="BY65" s="12">
        <f>IF('Données projet'!$A$114&gt;35,BY64+BX65-CG64,IF(A65&lt;'Données projet'!$A$114,$BV$205^A65,IF(A65='Données projet'!$A$114,'Données projet'!$B$114,BY64+BX65-CG64)))</f>
        <v>343.00000000000023</v>
      </c>
      <c r="BZ65" s="13">
        <f>BY65*VLOOKUP('Données projet'!$B$12,Paramètres!$A$1:$I$89,3,0)*VLOOKUP('Données projet'!$B$12,Paramètres!$A$1:$I$89,5,0)</f>
        <v>187.27800000000013</v>
      </c>
      <c r="CA65" s="13">
        <f t="shared" si="39"/>
        <v>46.937652831145158</v>
      </c>
      <c r="CB65" s="20">
        <f t="shared" si="10"/>
        <v>407.92559534757805</v>
      </c>
      <c r="CC65" s="59">
        <f t="shared" si="11"/>
        <v>701.25892868091137</v>
      </c>
      <c r="CD65" s="59">
        <f ca="1">AVERAGE(OFFSET($CC$3,0,0,'Données projet'!$E$12+1,1))-AVERAGE(OFFSET($H$3,0,0,'Données projet'!$E$12+1,1))</f>
        <v>210.04871822652808</v>
      </c>
      <c r="CE65" s="59">
        <f t="shared" si="40"/>
        <v>250.17540614049324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3.8739508522664323</v>
      </c>
      <c r="CL65" s="21">
        <f>EXP(-LN(2)/25)*CL64+(1-EXP(-LN(2)/25))/(LN(2)/25)*Calculateur!CG65*Calculateur!CI65*VLOOKUP('Données projet'!$B$12,Paramètres!$A$1:$I$89,3,0)*0.475*44/12</f>
        <v>11.460562856029345</v>
      </c>
      <c r="CM65" s="21">
        <f>EXP(-LN(2)/2)*CM64+(1-EXP(-LN(2)/2))/(LN(2)/2)*CG65*CJ65*VLOOKUP('Données projet'!$B$12,Paramètres!$A$1:$I$89,3,0)*0.475*44/12</f>
        <v>3.2888624171984365E-4</v>
      </c>
      <c r="CN65" s="22">
        <f t="shared" si="12"/>
        <v>15.334842594537497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4.0999999999999996</v>
      </c>
      <c r="CT65" s="12">
        <f>IF('Données projet'!$A$140&gt;35,CT64+CS65-DB64,IF(A65&lt;'Données projet'!$A$140,$CQ$205^A65,IF(A65='Données projet'!$A$140,'Données projet'!$B$140,CT64+CS65-DB64)))</f>
        <v>241.19999999999973</v>
      </c>
      <c r="CU65" s="17">
        <f>CT65*VLOOKUP('Données projet'!$B$13,Paramètres!$A$1:$I$89,3,0)*VLOOKUP('Données projet'!$B$13,Paramètres!$A$1:$I$89,5,0)</f>
        <v>191.8987199999998</v>
      </c>
      <c r="CV65" s="13">
        <f t="shared" si="41"/>
        <v>47.959489640575512</v>
      </c>
      <c r="CW65" s="20">
        <f t="shared" si="13"/>
        <v>417.7530484573353</v>
      </c>
      <c r="CX65" s="59">
        <f t="shared" si="14"/>
        <v>711.08638179066861</v>
      </c>
      <c r="CY65" s="59">
        <f ca="1">AVERAGE(OFFSET($CX$3,0,0,'Données projet'!$E$13+1,1))-AVERAGE(OFFSET($H$3,0,0,'Données projet'!$E$13+1,1))</f>
        <v>199.58763537752952</v>
      </c>
      <c r="CZ65" s="59">
        <f t="shared" si="42"/>
        <v>242.62852778451929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4.2344835254906998</v>
      </c>
      <c r="DH65" s="21">
        <f>EXP(-LN(2)/2)*DH64+(1-EXP(-LN(2)/2))/(LN(2)/2)*DB65*DE65*VLOOKUP('Données projet'!$B$13,Paramètres!$A$1:$I$89,3,0)*0.475*44/12</f>
        <v>1.6420834950592377E-4</v>
      </c>
      <c r="DI65" s="22">
        <f t="shared" si="15"/>
        <v>4.2346477338402062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9.1999999999999993</v>
      </c>
      <c r="DO65" s="12">
        <f>IF('Données projet'!$A$166&gt;35,DO64+DN65-DW64,IF(A65&lt;'Données projet'!$A$166,$DL$205^A65,IF(A65='Données projet'!$A$166,'Données projet'!$B$166,DO64+DN65-DW64)))</f>
        <v>348.39999999999975</v>
      </c>
      <c r="DP65" s="17">
        <f>DO65*VLOOKUP('Données projet'!$B$14,Paramètres!$A$1:$I$89,3,0)*VLOOKUP('Données projet'!$B$14,Paramètres!$A$1:$I$89,5,0)</f>
        <v>208.34319999999988</v>
      </c>
      <c r="DQ65" s="13">
        <f t="shared" si="43"/>
        <v>51.573366479945882</v>
      </c>
      <c r="DR65" s="20">
        <f t="shared" si="16"/>
        <v>452.68801995257218</v>
      </c>
      <c r="DS65" s="59">
        <f t="shared" si="17"/>
        <v>746.02135328590543</v>
      </c>
      <c r="DT65" s="59">
        <f ca="1">AVERAGE(OFFSET($DS$3,0,0,'Données projet'!$E$14+1,1))-AVERAGE(OFFSET($H$3,0,0,'Données projet'!$E$14+1,1))</f>
        <v>216.94426559495264</v>
      </c>
      <c r="DU65" s="59">
        <f t="shared" si="44"/>
        <v>225.33715877618704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5.2912690199037486</v>
      </c>
      <c r="EC65" s="21">
        <f>EXP(-LN(2)/2)*EC64+(1-EXP(-LN(2)/2))/(LN(2)/2)*DW65*DZ65*VLOOKUP('Données projet'!$B$14,Paramètres!$A$1:$I$89,3,0)*0.475*44/12</f>
        <v>3.620812969027553E-4</v>
      </c>
      <c r="ED65" s="22">
        <f t="shared" si="18"/>
        <v>5.2916311012006512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17</v>
      </c>
      <c r="EJ65" s="12">
        <f>IF('Données projet'!$A$192&gt;35,EJ64+EI65-ER64,IF(A65&lt;'Données projet'!$A$192,$EG$205^A65,IF(A65='Données projet'!$A$192,'Données projet'!$B$192,EJ64+EI65-ER64)))</f>
        <v>558.00000000000023</v>
      </c>
      <c r="EK65" s="17">
        <f>EJ65*VLOOKUP('Données projet'!$B$15,Paramètres!$A$1:$I$89,3,0)*VLOOKUP('Données projet'!$B$15,Paramètres!$A$1:$I$89,5,0)</f>
        <v>268.39800000000014</v>
      </c>
      <c r="EL65" s="13">
        <f t="shared" si="45"/>
        <v>64.5091667924669</v>
      </c>
      <c r="EM65" s="20">
        <f t="shared" si="19"/>
        <v>579.81331549688002</v>
      </c>
      <c r="EN65" s="59">
        <f t="shared" si="20"/>
        <v>873.14664883021328</v>
      </c>
      <c r="EO65" s="59">
        <f ca="1">AVERAGE(OFFSET($EN$3,0,0,'Données projet'!$E$15+1,1))-AVERAGE(OFFSET($H$3,0,0,'Données projet'!$E$15+1,1))</f>
        <v>292.1792787220852</v>
      </c>
      <c r="EP65" s="59">
        <f t="shared" si="46"/>
        <v>273.69206144662144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3.5752789044726487</v>
      </c>
      <c r="EW65" s="21">
        <f>EXP(-LN(2)/25)*EW64+(1-EXP(-LN(2)/25))/(LN(2)/25)*Calculateur!ER65*Calculateur!ET65*VLOOKUP('Données projet'!$B$15,Paramètres!$A$1:$I$89,3,0)*0.475*44/12</f>
        <v>5.5275870930556961</v>
      </c>
      <c r="EX65" s="21">
        <f>EXP(-LN(2)/2)*EX64+(1-EXP(-LN(2)/2))/(LN(2)/2)*ER65*EU65*VLOOKUP('Données projet'!$B$15,Paramètres!$A$1:$I$89,3,0)*0.475*44/12</f>
        <v>3.1910375104115044E-4</v>
      </c>
      <c r="EY65" s="22">
        <f t="shared" si="21"/>
        <v>9.1031851012793847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337.89999999999986</v>
      </c>
      <c r="O66" s="13">
        <f>N66*VLOOKUP('Données projet'!$B$9,Paramètres!$A$1:$I$89,3,0)*VLOOKUP('Données projet'!$B$9,Paramètres!$A$1:$I$89,5,0)</f>
        <v>158.13719999999995</v>
      </c>
      <c r="P66" s="13">
        <f t="shared" si="33"/>
        <v>40.422069728367696</v>
      </c>
      <c r="Q66" s="20">
        <f t="shared" si="53"/>
        <v>345.82406144357361</v>
      </c>
      <c r="R66" s="59">
        <f t="shared" si="0"/>
        <v>639.15739477690693</v>
      </c>
      <c r="S66" s="59">
        <f ca="1">AVERAGE(OFFSET($R$3,0,0,'Données projet'!$E$9+1,1))-AVERAGE(OFFSET($H$3,0,0,'Données projet'!$E$9+1,1))</f>
        <v>215.23235148064941</v>
      </c>
      <c r="T66" s="59">
        <f t="shared" si="34"/>
        <v>184.07239726900434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1.6306144950304886</v>
      </c>
      <c r="AA66" s="21">
        <f>EXP(-LN(2)/25)*AA65+(1-EXP(-LN(2)/25))/(LN(2)/25)*Calculateur!V66*Calculateur!X66*VLOOKUP('Données projet'!$B$9,Paramètres!$A$1:$I$89,3,0)*0.475*44/12</f>
        <v>3.1463879342314973</v>
      </c>
      <c r="AB66" s="21">
        <f>EXP(-LN(2)/2)*AB65+(1-EXP(-LN(2)/2))/(LN(2)/2)*V66*Y66*VLOOKUP('Données projet'!$B$9,Paramètres!$A$1:$I$89,3,0)*0.475*44/12</f>
        <v>1.0608518467773708E-4</v>
      </c>
      <c r="AC66" s="22">
        <f t="shared" si="3"/>
        <v>4.7771085144466632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-8.5265128291212022E-14</v>
      </c>
      <c r="AJ66" s="13">
        <f>AI66*VLOOKUP('Données projet'!$B$10,Paramètres!$A$1:$I$89,3,0)*VLOOKUP('Données projet'!$B$10,Paramètres!$A$1:$I$89,5,0)</f>
        <v>-7.7147888077888636E-14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225.28075317732998</v>
      </c>
      <c r="AO66" s="59">
        <f t="shared" si="36"/>
        <v>358.43407531256207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1.1670849120788074</v>
      </c>
      <c r="AV66" s="21">
        <f>EXP(-LN(2)/25)*AV65+(1-EXP(-LN(2)/25))/(LN(2)/25)*Calculateur!AQ66*Calculateur!AS66*VLOOKUP('Données projet'!$B$10,Paramètres!$A$1:$I$89,3,0)*0.475*44/12</f>
        <v>3.3132477160555314</v>
      </c>
      <c r="AW66" s="21">
        <f>EXP(-LN(2)/2)*AW65+(1-EXP(-LN(2)/2))/(LN(2)/2)*AQ66*AT66*VLOOKUP('Données projet'!$B$10,Paramètres!$A$1:$I$89,3,0)*0.475*44/12</f>
        <v>4.7625492289666069E-5</v>
      </c>
      <c r="AX66" s="21">
        <f t="shared" si="6"/>
        <v>4.4803802536266284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13.4</v>
      </c>
      <c r="BD66" s="12">
        <f>IF('Données projet'!$A$88&gt;35,BD65+BC66-BL65,IF(A66&lt;'Données projet'!$A$88,$BA$205^A66,IF(A66='Données projet'!$A$88,'Données projet'!$B$88,BD65+BC66-BL65)))</f>
        <v>520.19999999999982</v>
      </c>
      <c r="BE66" s="13">
        <f>BD66*VLOOKUP('Données projet'!$B$11,Paramètres!$A$1:$I$89,3,0)*VLOOKUP('Données projet'!$B$11,Paramètres!$A$1:$I$89,5,0)</f>
        <v>290.79179999999991</v>
      </c>
      <c r="BF66" s="13">
        <f t="shared" si="37"/>
        <v>69.242582588470327</v>
      </c>
      <c r="BG66" s="20">
        <f t="shared" si="7"/>
        <v>627.05988300825231</v>
      </c>
      <c r="BH66" s="59">
        <f t="shared" si="8"/>
        <v>920.39321634158568</v>
      </c>
      <c r="BI66" s="59">
        <f ca="1">AVERAGE(OFFSET($BH$3,0,0,'Données projet'!$E$11+1,1))-AVERAGE(OFFSET($H$3,0,0,'Données projet'!$E$11+1,1))</f>
        <v>326.31232746914907</v>
      </c>
      <c r="BJ66" s="59">
        <f t="shared" si="38"/>
        <v>330.17137761430297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2.3762525441983899</v>
      </c>
      <c r="BQ66" s="21">
        <f>EXP(-LN(2)/25)*BQ65+(1-EXP(-LN(2)/25))/(LN(2)/25)*Calculateur!BL66*Calculateur!BN66*VLOOKUP('Données projet'!$B$11,Paramètres!$A$1:$I$89,3,0)*0.475*44/12</f>
        <v>12.085319987996952</v>
      </c>
      <c r="BR66" s="21">
        <f>EXP(-LN(2)/2)*BR65+(1-EXP(-LN(2)/2))/(LN(2)/2)*BL66*BO66*VLOOKUP('Données projet'!$B$11,Paramètres!$A$1:$I$89,3,0)*0.475*44/12</f>
        <v>3.5090010414250052E-4</v>
      </c>
      <c r="BS66" s="22">
        <f t="shared" si="9"/>
        <v>14.461923432299486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</v>
      </c>
      <c r="BY66" s="12">
        <f>IF('Données projet'!$A$114&gt;35,BY65+BX66-CG65,IF(A66&lt;'Données projet'!$A$114,$BV$205^A66,IF(A66='Données projet'!$A$114,'Données projet'!$B$114,BY65+BX66-CG65)))</f>
        <v>351.50000000000023</v>
      </c>
      <c r="BZ66" s="13">
        <f>BY66*VLOOKUP('Données projet'!$B$12,Paramètres!$A$1:$I$89,3,0)*VLOOKUP('Données projet'!$B$12,Paramètres!$A$1:$I$89,5,0)</f>
        <v>191.91900000000012</v>
      </c>
      <c r="CA66" s="13">
        <f t="shared" si="39"/>
        <v>47.963968046563231</v>
      </c>
      <c r="CB66" s="20">
        <f t="shared" si="10"/>
        <v>417.79616934776453</v>
      </c>
      <c r="CC66" s="59">
        <f t="shared" si="11"/>
        <v>711.12950268109785</v>
      </c>
      <c r="CD66" s="59">
        <f ca="1">AVERAGE(OFFSET($CC$3,0,0,'Données projet'!$E$12+1,1))-AVERAGE(OFFSET($H$3,0,0,'Données projet'!$E$12+1,1))</f>
        <v>210.04871822652808</v>
      </c>
      <c r="CE66" s="59">
        <f t="shared" si="40"/>
        <v>250.17540614049324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3.7979850389301926</v>
      </c>
      <c r="CL66" s="21">
        <f>EXP(-LN(2)/25)*CL65+(1-EXP(-LN(2)/25))/(LN(2)/25)*Calculateur!CG66*Calculateur!CI66*VLOOKUP('Données projet'!$B$12,Paramètres!$A$1:$I$89,3,0)*0.475*44/12</f>
        <v>11.147173162046416</v>
      </c>
      <c r="CM66" s="21">
        <f>EXP(-LN(2)/2)*CM65+(1-EXP(-LN(2)/2))/(LN(2)/2)*CG66*CJ66*VLOOKUP('Données projet'!$B$12,Paramètres!$A$1:$I$89,3,0)*0.475*44/12</f>
        <v>2.3255769175905947E-4</v>
      </c>
      <c r="CN66" s="22">
        <f t="shared" si="12"/>
        <v>14.945390758668369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4.0999999999999996</v>
      </c>
      <c r="CT66" s="12">
        <f>IF('Données projet'!$A$140&gt;35,CT65+CS66-DB65,IF(A66&lt;'Données projet'!$A$140,$CQ$205^A66,IF(A66='Données projet'!$A$140,'Données projet'!$B$140,CT65+CS66-DB65)))</f>
        <v>245.29999999999973</v>
      </c>
      <c r="CU66" s="17">
        <f>CT66*VLOOKUP('Données projet'!$B$13,Paramètres!$A$1:$I$89,3,0)*VLOOKUP('Données projet'!$B$13,Paramètres!$A$1:$I$89,5,0)</f>
        <v>195.16067999999979</v>
      </c>
      <c r="CV66" s="13">
        <f t="shared" si="41"/>
        <v>48.679120283467881</v>
      </c>
      <c r="CW66" s="20">
        <f t="shared" si="13"/>
        <v>424.68765216037281</v>
      </c>
      <c r="CX66" s="59">
        <f t="shared" si="14"/>
        <v>718.02098549370612</v>
      </c>
      <c r="CY66" s="59">
        <f ca="1">AVERAGE(OFFSET($CX$3,0,0,'Données projet'!$E$13+1,1))-AVERAGE(OFFSET($H$3,0,0,'Données projet'!$E$13+1,1))</f>
        <v>199.58763537752952</v>
      </c>
      <c r="CZ66" s="59">
        <f t="shared" si="42"/>
        <v>242.62852778451929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4.1186913508043457</v>
      </c>
      <c r="DH66" s="21">
        <f>EXP(-LN(2)/2)*DH65+(1-EXP(-LN(2)/2))/(LN(2)/2)*DB66*DE66*VLOOKUP('Données projet'!$B$13,Paramètres!$A$1:$I$89,3,0)*0.475*44/12</f>
        <v>1.1611283746308936E-4</v>
      </c>
      <c r="DI66" s="22">
        <f t="shared" si="15"/>
        <v>4.1188074636418088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9.1999999999999993</v>
      </c>
      <c r="DO66" s="12">
        <f>IF('Données projet'!$A$166&gt;35,DO65+DN66-DW65,IF(A66&lt;'Données projet'!$A$166,$DL$205^A66,IF(A66='Données projet'!$A$166,'Données projet'!$B$166,DO65+DN66-DW65)))</f>
        <v>357.59999999999974</v>
      </c>
      <c r="DP66" s="17">
        <f>DO66*VLOOKUP('Données projet'!$B$14,Paramètres!$A$1:$I$89,3,0)*VLOOKUP('Données projet'!$B$14,Paramètres!$A$1:$I$89,5,0)</f>
        <v>213.84479999999988</v>
      </c>
      <c r="DQ66" s="13">
        <f t="shared" si="43"/>
        <v>52.774882006161135</v>
      </c>
      <c r="DR66" s="20">
        <f t="shared" si="16"/>
        <v>464.36261282739719</v>
      </c>
      <c r="DS66" s="59">
        <f t="shared" si="17"/>
        <v>757.6959461607305</v>
      </c>
      <c r="DT66" s="59">
        <f ca="1">AVERAGE(OFFSET($DS$3,0,0,'Données projet'!$E$14+1,1))-AVERAGE(OFFSET($H$3,0,0,'Données projet'!$E$14+1,1))</f>
        <v>216.94426559495264</v>
      </c>
      <c r="DU66" s="59">
        <f t="shared" si="44"/>
        <v>225.33715877618704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5.1465789902987362</v>
      </c>
      <c r="EC66" s="21">
        <f>EXP(-LN(2)/2)*EC65+(1-EXP(-LN(2)/2))/(LN(2)/2)*DW66*DZ66*VLOOKUP('Données projet'!$B$14,Paramètres!$A$1:$I$89,3,0)*0.475*44/12</f>
        <v>2.5603014038075793E-4</v>
      </c>
      <c r="ED66" s="22">
        <f t="shared" si="18"/>
        <v>5.1468350204391173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17</v>
      </c>
      <c r="EJ66" s="12">
        <f>IF('Données projet'!$A$192&gt;35,EJ65+EI66-ER65,IF(A66&lt;'Données projet'!$A$192,$EG$205^A66,IF(A66='Données projet'!$A$192,'Données projet'!$B$192,EJ65+EI66-ER65)))</f>
        <v>575.00000000000023</v>
      </c>
      <c r="EK66" s="17">
        <f>EJ66*VLOOKUP('Données projet'!$B$15,Paramètres!$A$1:$I$89,3,0)*VLOOKUP('Données projet'!$B$15,Paramètres!$A$1:$I$89,5,0)</f>
        <v>276.5750000000001</v>
      </c>
      <c r="EL66" s="13">
        <f t="shared" si="45"/>
        <v>66.242690281501467</v>
      </c>
      <c r="EM66" s="20">
        <f t="shared" si="19"/>
        <v>597.07414390694851</v>
      </c>
      <c r="EN66" s="59">
        <f t="shared" si="20"/>
        <v>890.40747724028188</v>
      </c>
      <c r="EO66" s="59">
        <f ca="1">AVERAGE(OFFSET($EN$3,0,0,'Données projet'!$E$15+1,1))-AVERAGE(OFFSET($H$3,0,0,'Données projet'!$E$15+1,1))</f>
        <v>292.1792787220852</v>
      </c>
      <c r="EP66" s="59">
        <f t="shared" si="46"/>
        <v>273.69206144662144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3.5051698658607453</v>
      </c>
      <c r="EW66" s="21">
        <f>EXP(-LN(2)/25)*EW65+(1-EXP(-LN(2)/25))/(LN(2)/25)*Calculateur!ER66*Calculateur!ET66*VLOOKUP('Données projet'!$B$15,Paramètres!$A$1:$I$89,3,0)*0.475*44/12</f>
        <v>5.3764349333129164</v>
      </c>
      <c r="EX66" s="21">
        <f>EXP(-LN(2)/2)*EX65+(1-EXP(-LN(2)/2))/(LN(2)/2)*ER66*EU66*VLOOKUP('Données projet'!$B$15,Paramètres!$A$1:$I$89,3,0)*0.475*44/12</f>
        <v>2.256404262632613E-4</v>
      </c>
      <c r="EY66" s="22">
        <f t="shared" si="21"/>
        <v>8.8818304395999252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353.39999999999986</v>
      </c>
      <c r="O67" s="13">
        <f>N67*VLOOKUP('Données projet'!$B$9,Paramètres!$A$1:$I$89,3,0)*VLOOKUP('Données projet'!$B$9,Paramètres!$A$1:$I$89,5,0)</f>
        <v>165.39119999999994</v>
      </c>
      <c r="P67" s="13">
        <f t="shared" si="33"/>
        <v>42.056160358234834</v>
      </c>
      <c r="Q67" s="20">
        <f t="shared" ref="Q67:Q98" si="54">(O67+P67)*0.475*44/12</f>
        <v>361.30415262392557</v>
      </c>
      <c r="R67" s="59">
        <f t="shared" ref="R67:R130" si="55">Q67+(I67+J67)*44/12</f>
        <v>654.63748595725883</v>
      </c>
      <c r="S67" s="59">
        <f ca="1">AVERAGE(OFFSET($R$3,0,0,'Données projet'!$E$9+1,1))-AVERAGE(OFFSET($H$3,0,0,'Données projet'!$E$9+1,1))</f>
        <v>215.23235148064941</v>
      </c>
      <c r="T67" s="59">
        <f t="shared" si="34"/>
        <v>184.07239726900434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1.5986391393595765</v>
      </c>
      <c r="AA67" s="21">
        <f>EXP(-LN(2)/25)*AA66+(1-EXP(-LN(2)/25))/(LN(2)/25)*Calculateur!V67*Calculateur!X67*VLOOKUP('Données projet'!$B$9,Paramètres!$A$1:$I$89,3,0)*0.475*44/12</f>
        <v>3.0603497907085866</v>
      </c>
      <c r="AB67" s="21">
        <f>EXP(-LN(2)/2)*AB66+(1-EXP(-LN(2)/2))/(LN(2)/2)*V67*Y67*VLOOKUP('Données projet'!$B$9,Paramètres!$A$1:$I$89,3,0)*0.475*44/12</f>
        <v>7.5013553469055114E-5</v>
      </c>
      <c r="AC67" s="22">
        <f t="shared" si="3"/>
        <v>4.6590639436216321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-8.5265128291212022E-14</v>
      </c>
      <c r="AJ67" s="13">
        <f>AI67*VLOOKUP('Données projet'!$B$10,Paramètres!$A$1:$I$89,3,0)*VLOOKUP('Données projet'!$B$10,Paramètres!$A$1:$I$89,5,0)</f>
        <v>-7.7147888077888636E-14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225.28075317732998</v>
      </c>
      <c r="AO67" s="59">
        <f t="shared" si="36"/>
        <v>358.43407531256207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1.1441990888044489</v>
      </c>
      <c r="AV67" s="21">
        <f>EXP(-LN(2)/25)*AV66+(1-EXP(-LN(2)/25))/(LN(2)/25)*Calculateur!AQ67*Calculateur!AS67*VLOOKUP('Données projet'!$B$10,Paramètres!$A$1:$I$89,3,0)*0.475*44/12</f>
        <v>3.2226467830238681</v>
      </c>
      <c r="AW67" s="21">
        <f>EXP(-LN(2)/2)*AW66+(1-EXP(-LN(2)/2))/(LN(2)/2)*AQ67*AT67*VLOOKUP('Données projet'!$B$10,Paramètres!$A$1:$I$89,3,0)*0.475*44/12</f>
        <v>3.3676308555370511E-5</v>
      </c>
      <c r="AX67" s="21">
        <f t="shared" si="6"/>
        <v>4.3668795481368718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13.4</v>
      </c>
      <c r="BD67" s="12">
        <f>IF('Données projet'!$A$88&gt;35,BD66+BC67-BL66,IF(A67&lt;'Données projet'!$A$88,$BA$205^A67,IF(A67='Données projet'!$A$88,'Données projet'!$B$88,BD66+BC67-BL66)))</f>
        <v>533.5999999999998</v>
      </c>
      <c r="BE67" s="13">
        <f>BD67*VLOOKUP('Données projet'!$B$11,Paramètres!$A$1:$I$89,3,0)*VLOOKUP('Données projet'!$B$11,Paramètres!$A$1:$I$89,5,0)</f>
        <v>298.28239999999988</v>
      </c>
      <c r="BF67" s="13">
        <f t="shared" si="37"/>
        <v>70.816268303381889</v>
      </c>
      <c r="BG67" s="20">
        <f t="shared" si="7"/>
        <v>642.84684729505659</v>
      </c>
      <c r="BH67" s="59">
        <f t="shared" si="8"/>
        <v>936.18018062838996</v>
      </c>
      <c r="BI67" s="59">
        <f ca="1">AVERAGE(OFFSET($BH$3,0,0,'Données projet'!$E$11+1,1))-AVERAGE(OFFSET($H$3,0,0,'Données projet'!$E$11+1,1))</f>
        <v>326.31232746914907</v>
      </c>
      <c r="BJ67" s="59">
        <f t="shared" si="38"/>
        <v>330.17137761430297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2.3296556811775981</v>
      </c>
      <c r="BQ67" s="21">
        <f>EXP(-LN(2)/25)*BQ66+(1-EXP(-LN(2)/25))/(LN(2)/25)*Calculateur!BL67*Calculateur!BN67*VLOOKUP('Données projet'!$B$11,Paramètres!$A$1:$I$89,3,0)*0.475*44/12</f>
        <v>11.754846277385818</v>
      </c>
      <c r="BR67" s="21">
        <f>EXP(-LN(2)/2)*BR66+(1-EXP(-LN(2)/2))/(LN(2)/2)*BL67*BO67*VLOOKUP('Données projet'!$B$11,Paramètres!$A$1:$I$89,3,0)*0.475*44/12</f>
        <v>2.4812384315822786E-4</v>
      </c>
      <c r="BS67" s="22">
        <f t="shared" si="9"/>
        <v>14.084750082406575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</v>
      </c>
      <c r="BY67" s="12">
        <f>IF('Données projet'!$A$114&gt;35,BY66+BX67-CG66,IF(A67&lt;'Données projet'!$A$114,$BV$205^A67,IF(A67='Données projet'!$A$114,'Données projet'!$B$114,BY66+BX67-CG66)))</f>
        <v>360.00000000000023</v>
      </c>
      <c r="BZ67" s="13">
        <f>BY67*VLOOKUP('Données projet'!$B$12,Paramètres!$A$1:$I$89,3,0)*VLOOKUP('Données projet'!$B$12,Paramètres!$A$1:$I$89,5,0)</f>
        <v>196.56000000000014</v>
      </c>
      <c r="CA67" s="13">
        <f t="shared" si="39"/>
        <v>48.987398161128134</v>
      </c>
      <c r="CB67" s="20">
        <f t="shared" si="10"/>
        <v>427.66171846396509</v>
      </c>
      <c r="CC67" s="59">
        <f t="shared" si="11"/>
        <v>720.9950517972984</v>
      </c>
      <c r="CD67" s="59">
        <f ca="1">AVERAGE(OFFSET($CC$3,0,0,'Données projet'!$E$12+1,1))-AVERAGE(OFFSET($H$3,0,0,'Données projet'!$E$12+1,1))</f>
        <v>210.04871822652808</v>
      </c>
      <c r="CE67" s="59">
        <f t="shared" si="40"/>
        <v>250.17540614049324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3.7235088688589055</v>
      </c>
      <c r="CL67" s="21">
        <f>EXP(-LN(2)/25)*CL66+(1-EXP(-LN(2)/25))/(LN(2)/25)*Calculateur!CG67*Calculateur!CI67*VLOOKUP('Données projet'!$B$12,Paramètres!$A$1:$I$89,3,0)*0.475*44/12</f>
        <v>10.842353125725896</v>
      </c>
      <c r="CM67" s="21">
        <f>EXP(-LN(2)/2)*CM66+(1-EXP(-LN(2)/2))/(LN(2)/2)*CG67*CJ67*VLOOKUP('Données projet'!$B$12,Paramètres!$A$1:$I$89,3,0)*0.475*44/12</f>
        <v>1.6444312085992185E-4</v>
      </c>
      <c r="CN67" s="22">
        <f t="shared" si="12"/>
        <v>14.566026437705663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4.0999999999999996</v>
      </c>
      <c r="CT67" s="12">
        <f>IF('Données projet'!$A$140&gt;35,CT66+CS67-DB66,IF(A67&lt;'Données projet'!$A$140,$CQ$205^A67,IF(A67='Données projet'!$A$140,'Données projet'!$B$140,CT66+CS67-DB66)))</f>
        <v>249.39999999999972</v>
      </c>
      <c r="CU67" s="17">
        <f>CT67*VLOOKUP('Données projet'!$B$13,Paramètres!$A$1:$I$89,3,0)*VLOOKUP('Données projet'!$B$13,Paramètres!$A$1:$I$89,5,0)</f>
        <v>198.4226399999998</v>
      </c>
      <c r="CV67" s="13">
        <f t="shared" si="41"/>
        <v>49.397352151183213</v>
      </c>
      <c r="CW67" s="20">
        <f t="shared" si="13"/>
        <v>431.61981966331041</v>
      </c>
      <c r="CX67" s="59">
        <f t="shared" si="14"/>
        <v>724.95315299664367</v>
      </c>
      <c r="CY67" s="59">
        <f ca="1">AVERAGE(OFFSET($CX$3,0,0,'Données projet'!$E$13+1,1))-AVERAGE(OFFSET($H$3,0,0,'Données projet'!$E$13+1,1))</f>
        <v>199.58763537752952</v>
      </c>
      <c r="CZ67" s="59">
        <f t="shared" si="42"/>
        <v>242.62852778451929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4.0060655192240358</v>
      </c>
      <c r="DH67" s="21">
        <f>EXP(-LN(2)/2)*DH66+(1-EXP(-LN(2)/2))/(LN(2)/2)*DB67*DE67*VLOOKUP('Données projet'!$B$13,Paramètres!$A$1:$I$89,3,0)*0.475*44/12</f>
        <v>8.2104174752961883E-5</v>
      </c>
      <c r="DI67" s="22">
        <f t="shared" si="15"/>
        <v>4.0061476233987889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9.1999999999999993</v>
      </c>
      <c r="DO67" s="12">
        <f>IF('Données projet'!$A$166&gt;35,DO66+DN67-DW66,IF(A67&lt;'Données projet'!$A$166,$DL$205^A67,IF(A67='Données projet'!$A$166,'Données projet'!$B$166,DO66+DN67-DW66)))</f>
        <v>366.79999999999973</v>
      </c>
      <c r="DP67" s="17">
        <f>DO67*VLOOKUP('Données projet'!$B$14,Paramètres!$A$1:$I$89,3,0)*VLOOKUP('Données projet'!$B$14,Paramètres!$A$1:$I$89,5,0)</f>
        <v>219.34639999999987</v>
      </c>
      <c r="DQ67" s="13">
        <f t="shared" si="43"/>
        <v>53.972804400117923</v>
      </c>
      <c r="DR67" s="20">
        <f t="shared" si="16"/>
        <v>476.03094766353843</v>
      </c>
      <c r="DS67" s="59">
        <f t="shared" si="17"/>
        <v>769.36428099687168</v>
      </c>
      <c r="DT67" s="59">
        <f ca="1">AVERAGE(OFFSET($DS$3,0,0,'Données projet'!$E$14+1,1))-AVERAGE(OFFSET($H$3,0,0,'Données projet'!$E$14+1,1))</f>
        <v>216.94426559495264</v>
      </c>
      <c r="DU67" s="59">
        <f t="shared" si="44"/>
        <v>225.33715877618704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5.0058455171621912</v>
      </c>
      <c r="EC67" s="21">
        <f>EXP(-LN(2)/2)*EC66+(1-EXP(-LN(2)/2))/(LN(2)/2)*DW67*DZ67*VLOOKUP('Données projet'!$B$14,Paramètres!$A$1:$I$89,3,0)*0.475*44/12</f>
        <v>1.8104064845137765E-4</v>
      </c>
      <c r="ED67" s="22">
        <f t="shared" si="18"/>
        <v>5.0060265578106424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17</v>
      </c>
      <c r="EJ67" s="12">
        <f>IF('Données projet'!$A$192&gt;35,EJ66+EI67-ER66,IF(A67&lt;'Données projet'!$A$192,$EG$205^A67,IF(A67='Données projet'!$A$192,'Données projet'!$B$192,EJ66+EI67-ER66)))</f>
        <v>592.00000000000023</v>
      </c>
      <c r="EK67" s="17">
        <f>EJ67*VLOOKUP('Données projet'!$B$15,Paramètres!$A$1:$I$89,3,0)*VLOOKUP('Données projet'!$B$15,Paramètres!$A$1:$I$89,5,0)</f>
        <v>284.75200000000012</v>
      </c>
      <c r="EL67" s="13">
        <f t="shared" si="45"/>
        <v>67.970257374451933</v>
      </c>
      <c r="EM67" s="20">
        <f t="shared" si="19"/>
        <v>614.32459826050399</v>
      </c>
      <c r="EN67" s="59">
        <f t="shared" si="20"/>
        <v>907.65793159383725</v>
      </c>
      <c r="EO67" s="59">
        <f ca="1">AVERAGE(OFFSET($EN$3,0,0,'Données projet'!$E$15+1,1))-AVERAGE(OFFSET($H$3,0,0,'Données projet'!$E$15+1,1))</f>
        <v>292.1792787220852</v>
      </c>
      <c r="EP67" s="59">
        <f t="shared" si="46"/>
        <v>273.69206144662144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3.4364356227337298</v>
      </c>
      <c r="EW67" s="21">
        <f>EXP(-LN(2)/25)*EW66+(1-EXP(-LN(2)/25))/(LN(2)/25)*Calculateur!ER67*Calculateur!ET67*VLOOKUP('Données projet'!$B$15,Paramètres!$A$1:$I$89,3,0)*0.475*44/12</f>
        <v>5.2294160373270495</v>
      </c>
      <c r="EX67" s="21">
        <f>EXP(-LN(2)/2)*EX66+(1-EXP(-LN(2)/2))/(LN(2)/2)*ER67*EU67*VLOOKUP('Données projet'!$B$15,Paramètres!$A$1:$I$89,3,0)*0.475*44/12</f>
        <v>1.5955187552057522E-4</v>
      </c>
      <c r="EY67" s="22">
        <f t="shared" si="21"/>
        <v>8.6660112119363006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368.89999999999986</v>
      </c>
      <c r="O68" s="13">
        <f>N68*VLOOKUP('Données projet'!$B$9,Paramètres!$A$1:$I$89,3,0)*VLOOKUP('Données projet'!$B$9,Paramètres!$A$1:$I$89,5,0)</f>
        <v>172.64519999999993</v>
      </c>
      <c r="P68" s="13">
        <f t="shared" si="33"/>
        <v>43.681926966241704</v>
      </c>
      <c r="Q68" s="20">
        <f t="shared" si="54"/>
        <v>376.76974613287081</v>
      </c>
      <c r="R68" s="59">
        <f t="shared" si="55"/>
        <v>670.10307946620412</v>
      </c>
      <c r="S68" s="59">
        <f ca="1">AVERAGE(OFFSET($R$3,0,0,'Données projet'!$E$9+1,1))-AVERAGE(OFFSET($H$3,0,0,'Données projet'!$E$9+1,1))</f>
        <v>215.23235148064941</v>
      </c>
      <c r="T68" s="59">
        <f t="shared" si="34"/>
        <v>184.07239726900434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1.5672908009103297</v>
      </c>
      <c r="AA68" s="21">
        <f>EXP(-LN(2)/25)*AA67+(1-EXP(-LN(2)/25))/(LN(2)/25)*Calculateur!V68*Calculateur!X68*VLOOKUP('Données projet'!$B$9,Paramètres!$A$1:$I$89,3,0)*0.475*44/12</f>
        <v>2.9766643647448592</v>
      </c>
      <c r="AB68" s="21">
        <f>EXP(-LN(2)/2)*AB67+(1-EXP(-LN(2)/2))/(LN(2)/2)*V68*Y68*VLOOKUP('Données projet'!$B$9,Paramètres!$A$1:$I$89,3,0)*0.475*44/12</f>
        <v>5.3042592338868538E-5</v>
      </c>
      <c r="AC68" s="22">
        <f t="shared" ref="AC68:AC131" si="57">SUM(Z68:AB68)</f>
        <v>4.5440082082475275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-8.5265128291212022E-14</v>
      </c>
      <c r="AJ68" s="13">
        <f>AI68*VLOOKUP('Données projet'!$B$10,Paramètres!$A$1:$I$89,3,0)*VLOOKUP('Données projet'!$B$10,Paramètres!$A$1:$I$89,5,0)</f>
        <v>-7.7147888077888636E-14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225.28075317732998</v>
      </c>
      <c r="AO68" s="59">
        <f t="shared" si="36"/>
        <v>358.43407531256207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1.1217620425655266</v>
      </c>
      <c r="AV68" s="21">
        <f>EXP(-LN(2)/25)*AV67+(1-EXP(-LN(2)/25))/(LN(2)/25)*Calculateur!AQ68*Calculateur!AS68*VLOOKUP('Données projet'!$B$10,Paramètres!$A$1:$I$89,3,0)*0.475*44/12</f>
        <v>3.1345233372704517</v>
      </c>
      <c r="AW68" s="21">
        <f>EXP(-LN(2)/2)*AW67+(1-EXP(-LN(2)/2))/(LN(2)/2)*AQ68*AT68*VLOOKUP('Données projet'!$B$10,Paramètres!$A$1:$I$89,3,0)*0.475*44/12</f>
        <v>2.3812746144833034E-5</v>
      </c>
      <c r="AX68" s="21">
        <f t="shared" ref="AX68:AX131" si="60">SUM(AU68:AW68)</f>
        <v>4.2563091925821226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13.4</v>
      </c>
      <c r="BD68" s="12">
        <f>IF('Données projet'!$A$88&gt;35,BD67+BC68-BL67,IF(A68&lt;'Données projet'!$A$88,$BA$205^A68,IF(A68='Données projet'!$A$88,'Données projet'!$B$88,BD67+BC68-BL67)))</f>
        <v>546.99999999999977</v>
      </c>
      <c r="BE68" s="13">
        <f>BD68*VLOOKUP('Données projet'!$B$11,Paramètres!$A$1:$I$89,3,0)*VLOOKUP('Données projet'!$B$11,Paramètres!$A$1:$I$89,5,0)</f>
        <v>305.77299999999985</v>
      </c>
      <c r="BF68" s="13">
        <f t="shared" si="37"/>
        <v>72.385360202068057</v>
      </c>
      <c r="BG68" s="20">
        <f t="shared" ref="BG68:BG131" si="61">(BE68+BF68)*0.475*44/12</f>
        <v>658.62581068526822</v>
      </c>
      <c r="BH68" s="59">
        <f t="shared" ref="BH68:BH131" si="62">BG68+(AY68+AZ68)*44/12</f>
        <v>951.95914401860159</v>
      </c>
      <c r="BI68" s="59">
        <f ca="1">AVERAGE(OFFSET($BH$3,0,0,'Données projet'!$E$11+1,1))-AVERAGE(OFFSET($H$3,0,0,'Données projet'!$E$11+1,1))</f>
        <v>326.31232746914907</v>
      </c>
      <c r="BJ68" s="59">
        <f t="shared" si="38"/>
        <v>330.17137761430297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2.2839725542193636</v>
      </c>
      <c r="BQ68" s="21">
        <f>EXP(-LN(2)/25)*BQ67+(1-EXP(-LN(2)/25))/(LN(2)/25)*Calculateur!BL68*Calculateur!BN68*VLOOKUP('Données projet'!$B$11,Paramètres!$A$1:$I$89,3,0)*0.475*44/12</f>
        <v>11.433409387770203</v>
      </c>
      <c r="BR68" s="21">
        <f>EXP(-LN(2)/2)*BR67+(1-EXP(-LN(2)/2))/(LN(2)/2)*BL68*BO68*VLOOKUP('Données projet'!$B$11,Paramètres!$A$1:$I$89,3,0)*0.475*44/12</f>
        <v>1.7545005207125026E-4</v>
      </c>
      <c r="BS68" s="22">
        <f t="shared" ref="BS68:BS131" si="63">SUM(BP68:BR68)</f>
        <v>13.717557392041638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</v>
      </c>
      <c r="BY68" s="12">
        <f>IF('Données projet'!$A$114&gt;35,BY67+BX68-CG67,IF(A68&lt;'Données projet'!$A$114,$BV$205^A68,IF(A68='Données projet'!$A$114,'Données projet'!$B$114,BY67+BX68-CG67)))</f>
        <v>368.50000000000023</v>
      </c>
      <c r="BZ68" s="13">
        <f>BY68*VLOOKUP('Données projet'!$B$12,Paramètres!$A$1:$I$89,3,0)*VLOOKUP('Données projet'!$B$12,Paramètres!$A$1:$I$89,5,0)</f>
        <v>201.20100000000014</v>
      </c>
      <c r="CA68" s="13">
        <f t="shared" si="39"/>
        <v>50.008019134354747</v>
      </c>
      <c r="CB68" s="20">
        <f t="shared" ref="CB68:CB131" si="64">(BZ68+CA68)*0.475*44/12</f>
        <v>437.52237499233479</v>
      </c>
      <c r="CC68" s="59">
        <f t="shared" ref="CC68:CC131" si="65">CB68+(BT68+BU68)*44/12</f>
        <v>730.85570832566805</v>
      </c>
      <c r="CD68" s="59">
        <f ca="1">AVERAGE(OFFSET($CC$3,0,0,'Données projet'!$E$12+1,1))-AVERAGE(OFFSET($H$3,0,0,'Données projet'!$E$12+1,1))</f>
        <v>210.04871822652808</v>
      </c>
      <c r="CE68" s="59">
        <f t="shared" si="40"/>
        <v>250.17540614049324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3.6504931310567383</v>
      </c>
      <c r="CL68" s="21">
        <f>EXP(-LN(2)/25)*CL67+(1-EXP(-LN(2)/25))/(LN(2)/25)*Calculateur!CG68*Calculateur!CI68*VLOOKUP('Données projet'!$B$12,Paramètres!$A$1:$I$89,3,0)*0.475*44/12</f>
        <v>10.545868409328351</v>
      </c>
      <c r="CM68" s="21">
        <f>EXP(-LN(2)/2)*CM67+(1-EXP(-LN(2)/2))/(LN(2)/2)*CG68*CJ68*VLOOKUP('Données projet'!$B$12,Paramètres!$A$1:$I$89,3,0)*0.475*44/12</f>
        <v>1.1627884587952976E-4</v>
      </c>
      <c r="CN68" s="22">
        <f t="shared" ref="CN68:CN131" si="66">SUM(CK68:CM68)</f>
        <v>14.196477819230969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4.0999999999999996</v>
      </c>
      <c r="CT68" s="12">
        <f>IF('Données projet'!$A$140&gt;35,CT67+CS68-DB67,IF(A68&lt;'Données projet'!$A$140,$CQ$205^A68,IF(A68='Données projet'!$A$140,'Données projet'!$B$140,CT67+CS68-DB67)))</f>
        <v>253.49999999999972</v>
      </c>
      <c r="CU68" s="17">
        <f>CT68*VLOOKUP('Données projet'!$B$13,Paramètres!$A$1:$I$89,3,0)*VLOOKUP('Données projet'!$B$13,Paramètres!$A$1:$I$89,5,0)</f>
        <v>201.68459999999979</v>
      </c>
      <c r="CV68" s="13">
        <f t="shared" si="41"/>
        <v>50.114210893233739</v>
      </c>
      <c r="CW68" s="20">
        <f t="shared" ref="CW68:CW131" si="67">(CU68+CV68)*0.475*44/12</f>
        <v>438.54959563904839</v>
      </c>
      <c r="CX68" s="59">
        <f t="shared" ref="CX68:CX131" si="68">CW68+(CO68+CP68)*44/12</f>
        <v>731.88292897238171</v>
      </c>
      <c r="CY68" s="59">
        <f ca="1">AVERAGE(OFFSET($CX$3,0,0,'Données projet'!$E$13+1,1))-AVERAGE(OFFSET($H$3,0,0,'Données projet'!$E$13+1,1))</f>
        <v>199.58763537752952</v>
      </c>
      <c r="CZ68" s="59">
        <f t="shared" si="42"/>
        <v>242.62852778451929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3.8965194469310247</v>
      </c>
      <c r="DH68" s="21">
        <f>EXP(-LN(2)/2)*DH67+(1-EXP(-LN(2)/2))/(LN(2)/2)*DB68*DE68*VLOOKUP('Données projet'!$B$13,Paramètres!$A$1:$I$89,3,0)*0.475*44/12</f>
        <v>5.8056418731544678E-5</v>
      </c>
      <c r="DI68" s="22">
        <f t="shared" ref="DI68:DI131" si="69">SUM(DF68:DH68)</f>
        <v>3.8965775033497563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9.1999999999999993</v>
      </c>
      <c r="DO68" s="12">
        <f>IF('Données projet'!$A$166&gt;35,DO67+DN68-DW67,IF(A68&lt;'Données projet'!$A$166,$DL$205^A68,IF(A68='Données projet'!$A$166,'Données projet'!$B$166,DO67+DN68-DW67)))</f>
        <v>375.99999999999972</v>
      </c>
      <c r="DP68" s="17">
        <f>DO68*VLOOKUP('Données projet'!$B$14,Paramètres!$A$1:$I$89,3,0)*VLOOKUP('Données projet'!$B$14,Paramètres!$A$1:$I$89,5,0)</f>
        <v>224.84799999999984</v>
      </c>
      <c r="DQ68" s="13">
        <f t="shared" si="43"/>
        <v>55.167234148809698</v>
      </c>
      <c r="DR68" s="20">
        <f t="shared" ref="DR68:DR131" si="70">(DP68+DQ68)*0.475*44/12</f>
        <v>487.69319947584319</v>
      </c>
      <c r="DS68" s="59">
        <f t="shared" ref="DS68:DS131" si="71">DR68+(DJ68+DK68)*44/12</f>
        <v>781.0265328091765</v>
      </c>
      <c r="DT68" s="59">
        <f ca="1">AVERAGE(OFFSET($DS$3,0,0,'Données projet'!$E$14+1,1))-AVERAGE(OFFSET($H$3,0,0,'Données projet'!$E$14+1,1))</f>
        <v>216.94426559495264</v>
      </c>
      <c r="DU68" s="59">
        <f t="shared" si="44"/>
        <v>225.33715877618704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4.868960408249416</v>
      </c>
      <c r="EC68" s="21">
        <f>EXP(-LN(2)/2)*EC67+(1-EXP(-LN(2)/2))/(LN(2)/2)*DW68*DZ68*VLOOKUP('Données projet'!$B$14,Paramètres!$A$1:$I$89,3,0)*0.475*44/12</f>
        <v>1.2801507019037897E-4</v>
      </c>
      <c r="ED68" s="22">
        <f t="shared" ref="ED68:ED131" si="72">SUM(EA68:EC68)</f>
        <v>4.8690884233196066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17</v>
      </c>
      <c r="EJ68" s="12">
        <f>IF('Données projet'!$A$192&gt;35,EJ67+EI68-ER67,IF(A68&lt;'Données projet'!$A$192,$EG$205^A68,IF(A68='Données projet'!$A$192,'Données projet'!$B$192,EJ67+EI68-ER67)))</f>
        <v>609.00000000000023</v>
      </c>
      <c r="EK68" s="17">
        <f>EJ68*VLOOKUP('Données projet'!$B$15,Paramètres!$A$1:$I$89,3,0)*VLOOKUP('Données projet'!$B$15,Paramètres!$A$1:$I$89,5,0)</f>
        <v>292.92900000000009</v>
      </c>
      <c r="EL68" s="13">
        <f t="shared" si="45"/>
        <v>69.692058760461109</v>
      </c>
      <c r="EM68" s="20">
        <f t="shared" ref="EM68:EM131" si="73">(EK68+EL68)*0.475*44/12</f>
        <v>631.56501067446993</v>
      </c>
      <c r="EN68" s="59">
        <f t="shared" ref="EN68:EN131" si="74">EM68+(EE68+EF68)*44/12</f>
        <v>924.89834400780319</v>
      </c>
      <c r="EO68" s="59">
        <f ca="1">AVERAGE(OFFSET($EN$3,0,0,'Données projet'!$E$15+1,1))-AVERAGE(OFFSET($H$3,0,0,'Données projet'!$E$15+1,1))</f>
        <v>292.1792787220852</v>
      </c>
      <c r="EP68" s="59">
        <f t="shared" si="46"/>
        <v>273.69206144662144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3.3690492161906866</v>
      </c>
      <c r="EW68" s="21">
        <f>EXP(-LN(2)/25)*EW67+(1-EXP(-LN(2)/25))/(LN(2)/25)*Calculateur!ER68*Calculateur!ET68*VLOOKUP('Données projet'!$B$15,Paramètres!$A$1:$I$89,3,0)*0.475*44/12</f>
        <v>5.0864173807833035</v>
      </c>
      <c r="EX68" s="21">
        <f>EXP(-LN(2)/2)*EX67+(1-EXP(-LN(2)/2))/(LN(2)/2)*ER68*EU68*VLOOKUP('Données projet'!$B$15,Paramètres!$A$1:$I$89,3,0)*0.475*44/12</f>
        <v>1.1282021313163065E-4</v>
      </c>
      <c r="EY68" s="22">
        <f t="shared" ref="EY68:EY131" si="75">SUM(EV68:EX68)</f>
        <v>8.4555794171871206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384.39999999999986</v>
      </c>
      <c r="O69" s="13">
        <f>N69*VLOOKUP('Données projet'!$B$9,Paramètres!$A$1:$I$89,3,0)*VLOOKUP('Données projet'!$B$9,Paramètres!$A$1:$I$89,5,0)</f>
        <v>179.89919999999995</v>
      </c>
      <c r="P69" s="13">
        <f t="shared" ref="P69:P132" si="87">EXP(-1.0587+0.8836*LN(O69)+0.284)</f>
        <v>45.299759292628586</v>
      </c>
      <c r="Q69" s="20">
        <f t="shared" si="54"/>
        <v>392.22152076799466</v>
      </c>
      <c r="R69" s="59">
        <f t="shared" si="55"/>
        <v>685.55485410132792</v>
      </c>
      <c r="S69" s="59">
        <f ca="1">AVERAGE(OFFSET($R$3,0,0,'Données projet'!$E$9+1,1))-AVERAGE(OFFSET($H$3,0,0,'Données projet'!$E$9+1,1))</f>
        <v>215.23235148064941</v>
      </c>
      <c r="T69" s="59">
        <f t="shared" ref="T69:T132" si="88">$T$3</f>
        <v>184.07239726900434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1.5365571842574741</v>
      </c>
      <c r="AA69" s="21">
        <f>EXP(-LN(2)/25)*AA68+(1-EXP(-LN(2)/25))/(LN(2)/25)*Calculateur!V69*Calculateur!X69*VLOOKUP('Données projet'!$B$9,Paramètres!$A$1:$I$89,3,0)*0.475*44/12</f>
        <v>2.8952673211549351</v>
      </c>
      <c r="AB69" s="21">
        <f>EXP(-LN(2)/2)*AB68+(1-EXP(-LN(2)/2))/(LN(2)/2)*V69*Y69*VLOOKUP('Données projet'!$B$9,Paramètres!$A$1:$I$89,3,0)*0.475*44/12</f>
        <v>3.7506776734527557E-5</v>
      </c>
      <c r="AC69" s="22">
        <f t="shared" si="57"/>
        <v>4.4318620121891437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-8.5265128291212022E-14</v>
      </c>
      <c r="AJ69" s="13">
        <f>AI69*VLOOKUP('Données projet'!$B$10,Paramètres!$A$1:$I$89,3,0)*VLOOKUP('Données projet'!$B$10,Paramètres!$A$1:$I$89,5,0)</f>
        <v>-7.7147888077888636E-14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225.28075317732998</v>
      </c>
      <c r="AO69" s="59">
        <f t="shared" ref="AO69:AO132" si="90">$AO$3</f>
        <v>358.43407531256207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1.0997649731181027</v>
      </c>
      <c r="AV69" s="21">
        <f>EXP(-LN(2)/25)*AV68+(1-EXP(-LN(2)/25))/(LN(2)/25)*Calculateur!AQ69*Calculateur!AS69*VLOOKUP('Données projet'!$B$10,Paramètres!$A$1:$I$89,3,0)*0.475*44/12</f>
        <v>3.0488096317753728</v>
      </c>
      <c r="AW69" s="21">
        <f>EXP(-LN(2)/2)*AW68+(1-EXP(-LN(2)/2))/(LN(2)/2)*AQ69*AT69*VLOOKUP('Données projet'!$B$10,Paramètres!$A$1:$I$89,3,0)*0.475*44/12</f>
        <v>1.6838154277685256E-5</v>
      </c>
      <c r="AX69" s="21">
        <f t="shared" si="60"/>
        <v>4.1485914430477537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13.4</v>
      </c>
      <c r="BD69" s="12">
        <f>IF('Données projet'!$A$88&gt;35,BD68+BC69-BL68,IF(A69&lt;'Données projet'!$A$88,$BA$205^A69,IF(A69='Données projet'!$A$88,'Données projet'!$B$88,BD68+BC69-BL68)))</f>
        <v>560.39999999999975</v>
      </c>
      <c r="BE69" s="13">
        <f>BD69*VLOOKUP('Données projet'!$B$11,Paramètres!$A$1:$I$89,3,0)*VLOOKUP('Données projet'!$B$11,Paramètres!$A$1:$I$89,5,0)</f>
        <v>313.26359999999988</v>
      </c>
      <c r="BF69" s="13">
        <f t="shared" ref="BF69:BF132" si="91">EXP(-1.0587+0.8836*LN(BE69)+0.284)</f>
        <v>73.949983766039026</v>
      </c>
      <c r="BG69" s="20">
        <f t="shared" si="61"/>
        <v>674.39699172585108</v>
      </c>
      <c r="BH69" s="59">
        <f t="shared" si="62"/>
        <v>967.73032505918445</v>
      </c>
      <c r="BI69" s="59">
        <f ca="1">AVERAGE(OFFSET($BH$3,0,0,'Données projet'!$E$11+1,1))-AVERAGE(OFFSET($H$3,0,0,'Données projet'!$E$11+1,1))</f>
        <v>326.31232746914907</v>
      </c>
      <c r="BJ69" s="59">
        <f t="shared" ref="BJ69:BJ132" si="92">$BJ$3</f>
        <v>330.17137761430297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2.2391852455168242</v>
      </c>
      <c r="BQ69" s="21">
        <f>EXP(-LN(2)/25)*BQ68+(1-EXP(-LN(2)/25))/(LN(2)/25)*Calculateur!BL69*Calculateur!BN69*VLOOKUP('Données projet'!$B$11,Paramètres!$A$1:$I$89,3,0)*0.475*44/12</f>
        <v>11.120762206804759</v>
      </c>
      <c r="BR69" s="21">
        <f>EXP(-LN(2)/2)*BR68+(1-EXP(-LN(2)/2))/(LN(2)/2)*BL69*BO69*VLOOKUP('Données projet'!$B$11,Paramètres!$A$1:$I$89,3,0)*0.475*44/12</f>
        <v>1.2406192157911393E-4</v>
      </c>
      <c r="BS69" s="22">
        <f t="shared" si="63"/>
        <v>13.360071514243161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</v>
      </c>
      <c r="BY69" s="12">
        <f>IF('Données projet'!$A$114&gt;35,BY68+BX69-CG68,IF(A69&lt;'Données projet'!$A$114,$BV$205^A69,IF(A69='Données projet'!$A$114,'Données projet'!$B$114,BY68+BX69-CG68)))</f>
        <v>377.00000000000023</v>
      </c>
      <c r="BZ69" s="13">
        <f>BY69*VLOOKUP('Données projet'!$B$12,Paramètres!$A$1:$I$89,3,0)*VLOOKUP('Données projet'!$B$12,Paramètres!$A$1:$I$89,5,0)</f>
        <v>205.84200000000013</v>
      </c>
      <c r="CA69" s="13">
        <f t="shared" ref="CA69:CA132" si="93">EXP(-1.0587+0.8836*LN(BZ69)+0.284)</f>
        <v>51.02590322155848</v>
      </c>
      <c r="CB69" s="20">
        <f t="shared" si="64"/>
        <v>447.37826477754788</v>
      </c>
      <c r="CC69" s="59">
        <f t="shared" si="65"/>
        <v>740.71159811088114</v>
      </c>
      <c r="CD69" s="59">
        <f ca="1">AVERAGE(OFFSET($CC$3,0,0,'Données projet'!$E$12+1,1))-AVERAGE(OFFSET($H$3,0,0,'Données projet'!$E$12+1,1))</f>
        <v>210.04871822652808</v>
      </c>
      <c r="CE69" s="59">
        <f t="shared" ref="CE69:CE132" si="94">$CE$3</f>
        <v>250.17540614049324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3.5789091873376688</v>
      </c>
      <c r="CL69" s="21">
        <f>EXP(-LN(2)/25)*CL68+(1-EXP(-LN(2)/25))/(LN(2)/25)*Calculateur!CG69*Calculateur!CI69*VLOOKUP('Données projet'!$B$12,Paramètres!$A$1:$I$89,3,0)*0.475*44/12</f>
        <v>10.25749108309215</v>
      </c>
      <c r="CM69" s="21">
        <f>EXP(-LN(2)/2)*CM68+(1-EXP(-LN(2)/2))/(LN(2)/2)*CG69*CJ69*VLOOKUP('Données projet'!$B$12,Paramètres!$A$1:$I$89,3,0)*0.475*44/12</f>
        <v>8.222156042996094E-5</v>
      </c>
      <c r="CN69" s="22">
        <f t="shared" si="66"/>
        <v>13.836482491990248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4.0999999999999996</v>
      </c>
      <c r="CT69" s="12">
        <f>IF('Données projet'!$A$140&gt;35,CT68+CS69-DB68,IF(A69&lt;'Données projet'!$A$140,$CQ$205^A69,IF(A69='Données projet'!$A$140,'Données projet'!$B$140,CT68+CS69-DB68)))</f>
        <v>257.59999999999974</v>
      </c>
      <c r="CU69" s="17">
        <f>CT69*VLOOKUP('Données projet'!$B$13,Paramètres!$A$1:$I$89,3,0)*VLOOKUP('Données projet'!$B$13,Paramètres!$A$1:$I$89,5,0)</f>
        <v>204.94655999999981</v>
      </c>
      <c r="CV69" s="13">
        <f t="shared" ref="CV69:CV132" si="95">EXP(-1.0587+0.8836*LN(CU69)+0.284)</f>
        <v>50.829721281867194</v>
      </c>
      <c r="CW69" s="20">
        <f t="shared" si="67"/>
        <v>445.477023232585</v>
      </c>
      <c r="CX69" s="59">
        <f t="shared" si="68"/>
        <v>738.81035656591826</v>
      </c>
      <c r="CY69" s="59">
        <f ca="1">AVERAGE(OFFSET($CX$3,0,0,'Données projet'!$E$13+1,1))-AVERAGE(OFFSET($H$3,0,0,'Données projet'!$E$13+1,1))</f>
        <v>199.58763537752952</v>
      </c>
      <c r="CZ69" s="59">
        <f t="shared" ref="CZ69:CZ132" si="96">$CZ$3</f>
        <v>242.62852778451929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3.7899689177456439</v>
      </c>
      <c r="DH69" s="21">
        <f>EXP(-LN(2)/2)*DH68+(1-EXP(-LN(2)/2))/(LN(2)/2)*DB69*DE69*VLOOKUP('Données projet'!$B$13,Paramètres!$A$1:$I$89,3,0)*0.475*44/12</f>
        <v>4.1052087376480941E-5</v>
      </c>
      <c r="DI69" s="22">
        <f t="shared" si="69"/>
        <v>3.7900099698330205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9.1999999999999993</v>
      </c>
      <c r="DO69" s="12">
        <f>IF('Données projet'!$A$166&gt;35,DO68+DN69-DW68,IF(A69&lt;'Données projet'!$A$166,$DL$205^A69,IF(A69='Données projet'!$A$166,'Données projet'!$B$166,DO68+DN69-DW68)))</f>
        <v>385.1999999999997</v>
      </c>
      <c r="DP69" s="17">
        <f>DO69*VLOOKUP('Données projet'!$B$14,Paramètres!$A$1:$I$89,3,0)*VLOOKUP('Données projet'!$B$14,Paramètres!$A$1:$I$89,5,0)</f>
        <v>230.34959999999984</v>
      </c>
      <c r="DQ69" s="13">
        <f t="shared" ref="DQ69:DQ132" si="97">EXP(-1.0587+0.8836*LN(DP69)+0.284)</f>
        <v>56.358266541426261</v>
      </c>
      <c r="DR69" s="20">
        <f t="shared" si="70"/>
        <v>499.34953422631708</v>
      </c>
      <c r="DS69" s="59">
        <f t="shared" si="71"/>
        <v>792.68286755965039</v>
      </c>
      <c r="DT69" s="59">
        <f ca="1">AVERAGE(OFFSET($DS$3,0,0,'Données projet'!$E$14+1,1))-AVERAGE(OFFSET($H$3,0,0,'Données projet'!$E$14+1,1))</f>
        <v>216.94426559495264</v>
      </c>
      <c r="DU69" s="59">
        <f t="shared" ref="DU69:DU132" si="98">$DU$3</f>
        <v>225.33715877618704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4.7358184298383357</v>
      </c>
      <c r="EC69" s="21">
        <f>EXP(-LN(2)/2)*EC68+(1-EXP(-LN(2)/2))/(LN(2)/2)*DW69*DZ69*VLOOKUP('Données projet'!$B$14,Paramètres!$A$1:$I$89,3,0)*0.475*44/12</f>
        <v>9.0520324225688826E-5</v>
      </c>
      <c r="ED69" s="22">
        <f t="shared" si="72"/>
        <v>4.7359089501625613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17</v>
      </c>
      <c r="EJ69" s="12">
        <f>IF('Données projet'!$A$192&gt;35,EJ68+EI69-ER68,IF(A69&lt;'Données projet'!$A$192,$EG$205^A69,IF(A69='Données projet'!$A$192,'Données projet'!$B$192,EJ68+EI69-ER68)))</f>
        <v>626.00000000000023</v>
      </c>
      <c r="EK69" s="17">
        <f>EJ69*VLOOKUP('Données projet'!$B$15,Paramètres!$A$1:$I$89,3,0)*VLOOKUP('Données projet'!$B$15,Paramètres!$A$1:$I$89,5,0)</f>
        <v>301.10600000000011</v>
      </c>
      <c r="EL69" s="13">
        <f t="shared" ref="EL69:EL132" si="99">EXP(-1.0587+0.8836*LN(EK69)+0.284)</f>
        <v>71.408273876909448</v>
      </c>
      <c r="EM69" s="20">
        <f t="shared" si="73"/>
        <v>648.79569366895078</v>
      </c>
      <c r="EN69" s="59">
        <f t="shared" si="74"/>
        <v>942.12902700228415</v>
      </c>
      <c r="EO69" s="59">
        <f ca="1">AVERAGE(OFFSET($EN$3,0,0,'Données projet'!$E$15+1,1))-AVERAGE(OFFSET($H$3,0,0,'Données projet'!$E$15+1,1))</f>
        <v>292.1792787220852</v>
      </c>
      <c r="EP69" s="59">
        <f t="shared" ref="EP69:EP132" si="100">$EP$3</f>
        <v>273.69206144662144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3.3029842159783032</v>
      </c>
      <c r="EW69" s="21">
        <f>EXP(-LN(2)/25)*EW68+(1-EXP(-LN(2)/25))/(LN(2)/25)*Calculateur!ER69*Calculateur!ET69*VLOOKUP('Données projet'!$B$15,Paramètres!$A$1:$I$89,3,0)*0.475*44/12</f>
        <v>4.9473290300227193</v>
      </c>
      <c r="EX69" s="21">
        <f>EXP(-LN(2)/2)*EX68+(1-EXP(-LN(2)/2))/(LN(2)/2)*ER69*EU69*VLOOKUP('Données projet'!$B$15,Paramètres!$A$1:$I$89,3,0)*0.475*44/12</f>
        <v>7.9775937760287609E-5</v>
      </c>
      <c r="EY69" s="22">
        <f t="shared" si="75"/>
        <v>8.2503930219387822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399.89999999999986</v>
      </c>
      <c r="O70" s="13">
        <f>N70*VLOOKUP('Données projet'!$B$9,Paramètres!$A$1:$I$89,3,0)*VLOOKUP('Données projet'!$B$9,Paramètres!$A$1:$I$89,5,0)</f>
        <v>187.15319999999994</v>
      </c>
      <c r="P70" s="13">
        <f t="shared" si="87"/>
        <v>46.9100138680691</v>
      </c>
      <c r="Q70" s="20">
        <f t="shared" si="54"/>
        <v>407.66009748688685</v>
      </c>
      <c r="R70" s="59">
        <f t="shared" si="55"/>
        <v>700.99343082022017</v>
      </c>
      <c r="S70" s="59">
        <f ca="1">AVERAGE(OFFSET($R$3,0,0,'Données projet'!$E$9+1,1))-AVERAGE(OFFSET($H$3,0,0,'Données projet'!$E$9+1,1))</f>
        <v>215.23235148064941</v>
      </c>
      <c r="T70" s="59">
        <f t="shared" si="88"/>
        <v>184.07239726900434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1.5064262350815258</v>
      </c>
      <c r="AA70" s="21">
        <f>EXP(-LN(2)/25)*AA69+(1-EXP(-LN(2)/25))/(LN(2)/25)*Calculateur!V70*Calculateur!X70*VLOOKUP('Données projet'!$B$9,Paramètres!$A$1:$I$89,3,0)*0.475*44/12</f>
        <v>2.8160960840024623</v>
      </c>
      <c r="AB70" s="21">
        <f>EXP(-LN(2)/2)*AB69+(1-EXP(-LN(2)/2))/(LN(2)/2)*V70*Y70*VLOOKUP('Données projet'!$B$9,Paramètres!$A$1:$I$89,3,0)*0.475*44/12</f>
        <v>2.6521296169434269E-5</v>
      </c>
      <c r="AC70" s="22">
        <f t="shared" si="57"/>
        <v>4.3225488403801577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-8.5265128291212022E-14</v>
      </c>
      <c r="AJ70" s="13">
        <f>AI70*VLOOKUP('Données projet'!$B$10,Paramètres!$A$1:$I$89,3,0)*VLOOKUP('Données projet'!$B$10,Paramètres!$A$1:$I$89,5,0)</f>
        <v>-7.7147888077888636E-14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225.28075317732998</v>
      </c>
      <c r="AO70" s="59">
        <f t="shared" si="90"/>
        <v>358.43407531256207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1.0781992527856552</v>
      </c>
      <c r="AV70" s="21">
        <f>EXP(-LN(2)/25)*AV69+(1-EXP(-LN(2)/25))/(LN(2)/25)*Calculateur!AQ70*Calculateur!AS70*VLOOKUP('Données projet'!$B$10,Paramètres!$A$1:$I$89,3,0)*0.475*44/12</f>
        <v>2.9654397720645447</v>
      </c>
      <c r="AW70" s="21">
        <f>EXP(-LN(2)/2)*AW69+(1-EXP(-LN(2)/2))/(LN(2)/2)*AQ70*AT70*VLOOKUP('Données projet'!$B$10,Paramètres!$A$1:$I$89,3,0)*0.475*44/12</f>
        <v>1.1906373072416517E-5</v>
      </c>
      <c r="AX70" s="21">
        <f t="shared" si="60"/>
        <v>4.0436509312232722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13.4</v>
      </c>
      <c r="BD70" s="12">
        <f>IF('Données projet'!$A$88&gt;35,BD69+BC70-BL69,IF(A70&lt;'Données projet'!$A$88,$BA$205^A70,IF(A70='Données projet'!$A$88,'Données projet'!$B$88,BD69+BC70-BL69)))</f>
        <v>573.79999999999973</v>
      </c>
      <c r="BE70" s="13">
        <f>BD70*VLOOKUP('Données projet'!$B$11,Paramètres!$A$1:$I$89,3,0)*VLOOKUP('Données projet'!$B$11,Paramètres!$A$1:$I$89,5,0)</f>
        <v>320.75419999999986</v>
      </c>
      <c r="BF70" s="13">
        <f t="shared" si="91"/>
        <v>75.510258133660997</v>
      </c>
      <c r="BG70" s="20">
        <f t="shared" si="61"/>
        <v>690.16059791612599</v>
      </c>
      <c r="BH70" s="59">
        <f t="shared" si="62"/>
        <v>983.49393124945937</v>
      </c>
      <c r="BI70" s="59">
        <f ca="1">AVERAGE(OFFSET($BH$3,0,0,'Données projet'!$E$11+1,1))-AVERAGE(OFFSET($H$3,0,0,'Données projet'!$E$11+1,1))</f>
        <v>326.31232746914907</v>
      </c>
      <c r="BJ70" s="59">
        <f t="shared" si="92"/>
        <v>330.17137761430297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2.1952761886203804</v>
      </c>
      <c r="BQ70" s="21">
        <f>EXP(-LN(2)/25)*BQ69+(1-EXP(-LN(2)/25))/(LN(2)/25)*Calculateur!BL70*Calculateur!BN70*VLOOKUP('Données projet'!$B$11,Paramètres!$A$1:$I$89,3,0)*0.475*44/12</f>
        <v>10.816664379444216</v>
      </c>
      <c r="BR70" s="21">
        <f>EXP(-LN(2)/2)*BR69+(1-EXP(-LN(2)/2))/(LN(2)/2)*BL70*BO70*VLOOKUP('Données projet'!$B$11,Paramètres!$A$1:$I$89,3,0)*0.475*44/12</f>
        <v>8.7725026035625131E-5</v>
      </c>
      <c r="BS70" s="22">
        <f t="shared" si="63"/>
        <v>13.012028293090632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8.5</v>
      </c>
      <c r="BY70" s="12">
        <f>IF('Données projet'!$A$114&gt;35,BY69+BX70-CG69,IF(A70&lt;'Données projet'!$A$114,$BV$205^A70,IF(A70='Données projet'!$A$114,'Données projet'!$B$114,BY69+BX70-CG69)))</f>
        <v>385.50000000000023</v>
      </c>
      <c r="BZ70" s="13">
        <f>BY70*VLOOKUP('Données projet'!$B$12,Paramètres!$A$1:$I$89,3,0)*VLOOKUP('Données projet'!$B$12,Paramètres!$A$1:$I$89,5,0)</f>
        <v>210.48300000000012</v>
      </c>
      <c r="CA70" s="13">
        <f t="shared" si="93"/>
        <v>52.041119233873296</v>
      </c>
      <c r="CB70" s="20">
        <f t="shared" si="64"/>
        <v>457.22950766566288</v>
      </c>
      <c r="CC70" s="59">
        <f t="shared" si="65"/>
        <v>750.56284099899619</v>
      </c>
      <c r="CD70" s="59">
        <f ca="1">AVERAGE(OFFSET($CC$3,0,0,'Données projet'!$E$12+1,1))-AVERAGE(OFFSET($H$3,0,0,'Données projet'!$E$12+1,1))</f>
        <v>210.04871822652808</v>
      </c>
      <c r="CE70" s="59">
        <f t="shared" si="94"/>
        <v>250.17540614049324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3.5087289610930359</v>
      </c>
      <c r="CL70" s="21">
        <f>EXP(-LN(2)/25)*CL69+(1-EXP(-LN(2)/25))/(LN(2)/25)*Calculateur!CG70*Calculateur!CI70*VLOOKUP('Données projet'!$B$12,Paramètres!$A$1:$I$89,3,0)*0.475*44/12</f>
        <v>9.9769994500069821</v>
      </c>
      <c r="CM70" s="21">
        <f>EXP(-LN(2)/2)*CM69+(1-EXP(-LN(2)/2))/(LN(2)/2)*CG70*CJ70*VLOOKUP('Données projet'!$B$12,Paramètres!$A$1:$I$89,3,0)*0.475*44/12</f>
        <v>5.8139422939764889E-5</v>
      </c>
      <c r="CN70" s="22">
        <f t="shared" si="66"/>
        <v>13.485786550522958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4.0999999999999996</v>
      </c>
      <c r="CT70" s="12">
        <f>IF('Données projet'!$A$140&gt;35,CT69+CS70-DB69,IF(A70&lt;'Données projet'!$A$140,$CQ$205^A70,IF(A70='Données projet'!$A$140,'Données projet'!$B$140,CT69+CS70-DB69)))</f>
        <v>261.69999999999976</v>
      </c>
      <c r="CU70" s="17">
        <f>CT70*VLOOKUP('Données projet'!$B$13,Paramètres!$A$1:$I$89,3,0)*VLOOKUP('Données projet'!$B$13,Paramètres!$A$1:$I$89,5,0)</f>
        <v>208.20851999999979</v>
      </c>
      <c r="CV70" s="13">
        <f t="shared" si="95"/>
        <v>51.543907255547111</v>
      </c>
      <c r="CW70" s="20">
        <f t="shared" si="67"/>
        <v>452.40214413674408</v>
      </c>
      <c r="CX70" s="59">
        <f t="shared" si="68"/>
        <v>745.7354774700774</v>
      </c>
      <c r="CY70" s="59">
        <f ca="1">AVERAGE(OFFSET($CX$3,0,0,'Données projet'!$E$13+1,1))-AVERAGE(OFFSET($H$3,0,0,'Données projet'!$E$13+1,1))</f>
        <v>199.58763537752952</v>
      </c>
      <c r="CZ70" s="59">
        <f t="shared" si="96"/>
        <v>242.62852778451929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3.686332018384086</v>
      </c>
      <c r="DH70" s="21">
        <f>EXP(-LN(2)/2)*DH69+(1-EXP(-LN(2)/2))/(LN(2)/2)*DB70*DE70*VLOOKUP('Données projet'!$B$13,Paramètres!$A$1:$I$89,3,0)*0.475*44/12</f>
        <v>2.9028209365772339E-5</v>
      </c>
      <c r="DI70" s="22">
        <f t="shared" si="69"/>
        <v>3.6863610465934515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9.1999999999999993</v>
      </c>
      <c r="DO70" s="12">
        <f>IF('Données projet'!$A$166&gt;35,DO69+DN70-DW69,IF(A70&lt;'Données projet'!$A$166,$DL$205^A70,IF(A70='Données projet'!$A$166,'Données projet'!$B$166,DO69+DN70-DW69)))</f>
        <v>394.39999999999969</v>
      </c>
      <c r="DP70" s="17">
        <f>DO70*VLOOKUP('Données projet'!$B$14,Paramètres!$A$1:$I$89,3,0)*VLOOKUP('Données projet'!$B$14,Paramètres!$A$1:$I$89,5,0)</f>
        <v>235.85119999999984</v>
      </c>
      <c r="DQ70" s="13">
        <f t="shared" si="97"/>
        <v>57.545992055843016</v>
      </c>
      <c r="DR70" s="20">
        <f t="shared" si="70"/>
        <v>511.0001094972597</v>
      </c>
      <c r="DS70" s="59">
        <f t="shared" si="71"/>
        <v>804.33344283059296</v>
      </c>
      <c r="DT70" s="59">
        <f ca="1">AVERAGE(OFFSET($DS$3,0,0,'Données projet'!$E$14+1,1))-AVERAGE(OFFSET($H$3,0,0,'Données projet'!$E$14+1,1))</f>
        <v>216.94426559495264</v>
      </c>
      <c r="DU70" s="59">
        <f t="shared" si="98"/>
        <v>225.33715877618704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4.6063172258285388</v>
      </c>
      <c r="EC70" s="21">
        <f>EXP(-LN(2)/2)*EC69+(1-EXP(-LN(2)/2))/(LN(2)/2)*DW70*DZ70*VLOOKUP('Données projet'!$B$14,Paramètres!$A$1:$I$89,3,0)*0.475*44/12</f>
        <v>6.4007535095189484E-5</v>
      </c>
      <c r="ED70" s="22">
        <f t="shared" si="72"/>
        <v>4.606381233363634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17</v>
      </c>
      <c r="EJ70" s="12">
        <f>IF('Données projet'!$A$192&gt;35,EJ69+EI70-ER69,IF(A70&lt;'Données projet'!$A$192,$EG$205^A70,IF(A70='Données projet'!$A$192,'Données projet'!$B$192,EJ69+EI70-ER69)))</f>
        <v>643.00000000000023</v>
      </c>
      <c r="EK70" s="17">
        <f>EJ70*VLOOKUP('Données projet'!$B$15,Paramètres!$A$1:$I$89,3,0)*VLOOKUP('Données projet'!$B$15,Paramètres!$A$1:$I$89,5,0)</f>
        <v>309.28300000000013</v>
      </c>
      <c r="EL70" s="13">
        <f t="shared" si="99"/>
        <v>73.11907186062929</v>
      </c>
      <c r="EM70" s="20">
        <f t="shared" si="73"/>
        <v>666.01694182392941</v>
      </c>
      <c r="EN70" s="59">
        <f t="shared" si="74"/>
        <v>959.35027515726279</v>
      </c>
      <c r="EO70" s="59">
        <f ca="1">AVERAGE(OFFSET($EN$3,0,0,'Données projet'!$E$15+1,1))-AVERAGE(OFFSET($H$3,0,0,'Données projet'!$E$15+1,1))</f>
        <v>292.1792787220852</v>
      </c>
      <c r="EP70" s="59">
        <f t="shared" si="100"/>
        <v>273.69206144662144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3.2382147101244132</v>
      </c>
      <c r="EW70" s="21">
        <f>EXP(-LN(2)/25)*EW69+(1-EXP(-LN(2)/25))/(LN(2)/25)*Calculateur!ER70*Calculateur!ET70*VLOOKUP('Données projet'!$B$15,Paramètres!$A$1:$I$89,3,0)*0.475*44/12</f>
        <v>4.8120440575280217</v>
      </c>
      <c r="EX70" s="21">
        <f>EXP(-LN(2)/2)*EX69+(1-EXP(-LN(2)/2))/(LN(2)/2)*ER70*EU70*VLOOKUP('Données projet'!$B$15,Paramètres!$A$1:$I$89,3,0)*0.475*44/12</f>
        <v>5.6410106565815326E-5</v>
      </c>
      <c r="EY70" s="22">
        <f t="shared" si="75"/>
        <v>8.0503151777590016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415.39999999999986</v>
      </c>
      <c r="O71" s="13">
        <f>N71*VLOOKUP('Données projet'!$B$9,Paramètres!$A$1:$I$89,3,0)*VLOOKUP('Données projet'!$B$9,Paramètres!$A$1:$I$89,5,0)</f>
        <v>194.40719999999996</v>
      </c>
      <c r="P71" s="13">
        <f t="shared" si="87"/>
        <v>48.513018020179601</v>
      </c>
      <c r="Q71" s="20">
        <f t="shared" si="54"/>
        <v>423.08604638514606</v>
      </c>
      <c r="R71" s="59">
        <f t="shared" si="55"/>
        <v>716.41937971847938</v>
      </c>
      <c r="S71" s="59">
        <f ca="1">AVERAGE(OFFSET($R$3,0,0,'Données projet'!$E$9+1,1))-AVERAGE(OFFSET($H$3,0,0,'Données projet'!$E$9+1,1))</f>
        <v>215.23235148064941</v>
      </c>
      <c r="T71" s="59">
        <f t="shared" si="88"/>
        <v>184.07239726900434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1.4768861354408536</v>
      </c>
      <c r="AA71" s="21">
        <f>EXP(-LN(2)/25)*AA70+(1-EXP(-LN(2)/25))/(LN(2)/25)*Calculateur!V71*Calculateur!X71*VLOOKUP('Données projet'!$B$9,Paramètres!$A$1:$I$89,3,0)*0.475*44/12</f>
        <v>2.739089788493358</v>
      </c>
      <c r="AB71" s="21">
        <f>EXP(-LN(2)/2)*AB70+(1-EXP(-LN(2)/2))/(LN(2)/2)*V71*Y71*VLOOKUP('Données projet'!$B$9,Paramètres!$A$1:$I$89,3,0)*0.475*44/12</f>
        <v>1.8753388367263778E-5</v>
      </c>
      <c r="AC71" s="22">
        <f t="shared" si="57"/>
        <v>4.2159946773225787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-8.5265128291212022E-14</v>
      </c>
      <c r="AJ71" s="13">
        <f>AI71*VLOOKUP('Données projet'!$B$10,Paramètres!$A$1:$I$89,3,0)*VLOOKUP('Données projet'!$B$10,Paramètres!$A$1:$I$89,5,0)</f>
        <v>-7.7147888077888636E-14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225.28075317732998</v>
      </c>
      <c r="AO71" s="59">
        <f t="shared" si="90"/>
        <v>358.43407531256207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1.0570564230751365</v>
      </c>
      <c r="AV71" s="21">
        <f>EXP(-LN(2)/25)*AV70+(1-EXP(-LN(2)/25))/(LN(2)/25)*Calculateur!AQ71*Calculateur!AS71*VLOOKUP('Données projet'!$B$10,Paramètres!$A$1:$I$89,3,0)*0.475*44/12</f>
        <v>2.8843496655517398</v>
      </c>
      <c r="AW71" s="21">
        <f>EXP(-LN(2)/2)*AW70+(1-EXP(-LN(2)/2))/(LN(2)/2)*AQ71*AT71*VLOOKUP('Données projet'!$B$10,Paramètres!$A$1:$I$89,3,0)*0.475*44/12</f>
        <v>8.4190771388426278E-6</v>
      </c>
      <c r="AX71" s="21">
        <f t="shared" si="60"/>
        <v>3.9414145077040152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13.4</v>
      </c>
      <c r="BD71" s="12">
        <f>IF('Données projet'!$A$88&gt;35,BD70+BC71-BL70,IF(A71&lt;'Données projet'!$A$88,$BA$205^A71,IF(A71='Données projet'!$A$88,'Données projet'!$B$88,BD70+BC71-BL70)))</f>
        <v>587.1999999999997</v>
      </c>
      <c r="BE71" s="13">
        <f>BD71*VLOOKUP('Données projet'!$B$11,Paramètres!$A$1:$I$89,3,0)*VLOOKUP('Données projet'!$B$11,Paramètres!$A$1:$I$89,5,0)</f>
        <v>328.24479999999983</v>
      </c>
      <c r="BF71" s="13">
        <f t="shared" si="91"/>
        <v>77.066296561336628</v>
      </c>
      <c r="BG71" s="20">
        <f t="shared" si="61"/>
        <v>705.91682651099427</v>
      </c>
      <c r="BH71" s="59">
        <f t="shared" si="62"/>
        <v>999.25015984432753</v>
      </c>
      <c r="BI71" s="59">
        <f ca="1">AVERAGE(OFFSET($BH$3,0,0,'Données projet'!$E$11+1,1))-AVERAGE(OFFSET($H$3,0,0,'Données projet'!$E$11+1,1))</f>
        <v>326.31232746914907</v>
      </c>
      <c r="BJ71" s="59">
        <f t="shared" si="92"/>
        <v>330.17137761430297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2.1522281615477961</v>
      </c>
      <c r="BQ71" s="21">
        <f>EXP(-LN(2)/25)*BQ70+(1-EXP(-LN(2)/25))/(LN(2)/25)*Calculateur!BL71*Calculateur!BN71*VLOOKUP('Données projet'!$B$11,Paramètres!$A$1:$I$89,3,0)*0.475*44/12</f>
        <v>10.520882123164656</v>
      </c>
      <c r="BR71" s="21">
        <f>EXP(-LN(2)/2)*BR70+(1-EXP(-LN(2)/2))/(LN(2)/2)*BL71*BO71*VLOOKUP('Données projet'!$B$11,Paramètres!$A$1:$I$89,3,0)*0.475*44/12</f>
        <v>6.2030960789556964E-5</v>
      </c>
      <c r="BS71" s="22">
        <f t="shared" si="63"/>
        <v>12.673172315673241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8.5</v>
      </c>
      <c r="BY71" s="12">
        <f>IF('Données projet'!$A$114&gt;35,BY70+BX71-CG70,IF(A71&lt;'Données projet'!$A$114,$BV$205^A71,IF(A71='Données projet'!$A$114,'Données projet'!$B$114,BY70+BX71-CG70)))</f>
        <v>394.00000000000023</v>
      </c>
      <c r="BZ71" s="13">
        <f>BY71*VLOOKUP('Données projet'!$B$12,Paramètres!$A$1:$I$89,3,0)*VLOOKUP('Données projet'!$B$12,Paramètres!$A$1:$I$89,5,0)</f>
        <v>215.12400000000014</v>
      </c>
      <c r="CA71" s="13">
        <f t="shared" si="93"/>
        <v>53.053732774689799</v>
      </c>
      <c r="CB71" s="20">
        <f t="shared" si="64"/>
        <v>467.07621791591828</v>
      </c>
      <c r="CC71" s="59">
        <f t="shared" si="65"/>
        <v>760.40955124925154</v>
      </c>
      <c r="CD71" s="59">
        <f ca="1">AVERAGE(OFFSET($CC$3,0,0,'Données projet'!$E$12+1,1))-AVERAGE(OFFSET($H$3,0,0,'Données projet'!$E$12+1,1))</f>
        <v>210.04871822652808</v>
      </c>
      <c r="CE71" s="59">
        <f t="shared" si="94"/>
        <v>250.17540614049324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3.4399249262793492</v>
      </c>
      <c r="CL71" s="21">
        <f>EXP(-LN(2)/25)*CL70+(1-EXP(-LN(2)/25))/(LN(2)/25)*Calculateur!CG71*Calculateur!CI71*VLOOKUP('Données projet'!$B$12,Paramètres!$A$1:$I$89,3,0)*0.475*44/12</f>
        <v>9.7041778753789423</v>
      </c>
      <c r="CM71" s="21">
        <f>EXP(-LN(2)/2)*CM70+(1-EXP(-LN(2)/2))/(LN(2)/2)*CG71*CJ71*VLOOKUP('Données projet'!$B$12,Paramètres!$A$1:$I$89,3,0)*0.475*44/12</f>
        <v>4.1110780214980477E-5</v>
      </c>
      <c r="CN71" s="22">
        <f t="shared" si="66"/>
        <v>13.144143912438507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4.0999999999999996</v>
      </c>
      <c r="CT71" s="12">
        <f>IF('Données projet'!$A$140&gt;35,CT70+CS71-DB70,IF(A71&lt;'Données projet'!$A$140,$CQ$205^A71,IF(A71='Données projet'!$A$140,'Données projet'!$B$140,CT70+CS71-DB70)))</f>
        <v>265.79999999999978</v>
      </c>
      <c r="CU71" s="17">
        <f>CT71*VLOOKUP('Données projet'!$B$13,Paramètres!$A$1:$I$89,3,0)*VLOOKUP('Données projet'!$B$13,Paramètres!$A$1:$I$89,5,0)</f>
        <v>211.47047999999981</v>
      </c>
      <c r="CV71" s="13">
        <f t="shared" si="95"/>
        <v>52.256791959630746</v>
      </c>
      <c r="CW71" s="20">
        <f t="shared" si="67"/>
        <v>459.32499866302322</v>
      </c>
      <c r="CX71" s="59">
        <f t="shared" si="68"/>
        <v>752.65833199635654</v>
      </c>
      <c r="CY71" s="59">
        <f ca="1">AVERAGE(OFFSET($CX$3,0,0,'Données projet'!$E$13+1,1))-AVERAGE(OFFSET($H$3,0,0,'Données projet'!$E$13+1,1))</f>
        <v>199.58763537752952</v>
      </c>
      <c r="CZ71" s="59">
        <f t="shared" si="96"/>
        <v>242.62852778451929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3.5855290754855975</v>
      </c>
      <c r="DH71" s="21">
        <f>EXP(-LN(2)/2)*DH70+(1-EXP(-LN(2)/2))/(LN(2)/2)*DB71*DE71*VLOOKUP('Données projet'!$B$13,Paramètres!$A$1:$I$89,3,0)*0.475*44/12</f>
        <v>2.0526043688240471E-5</v>
      </c>
      <c r="DI71" s="22">
        <f t="shared" si="69"/>
        <v>3.5855496015292858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9.1999999999999993</v>
      </c>
      <c r="DO71" s="12">
        <f>IF('Données projet'!$A$166&gt;35,DO70+DN71-DW70,IF(A71&lt;'Données projet'!$A$166,$DL$205^A71,IF(A71='Données projet'!$A$166,'Données projet'!$B$166,DO70+DN71-DW70)))</f>
        <v>403.59999999999968</v>
      </c>
      <c r="DP71" s="17">
        <f>DO71*VLOOKUP('Données projet'!$B$14,Paramètres!$A$1:$I$89,3,0)*VLOOKUP('Données projet'!$B$14,Paramètres!$A$1:$I$89,5,0)</f>
        <v>241.35279999999983</v>
      </c>
      <c r="DQ71" s="13">
        <f t="shared" si="97"/>
        <v>58.730496708031964</v>
      </c>
      <c r="DR71" s="20">
        <f t="shared" si="70"/>
        <v>522.64507509982207</v>
      </c>
      <c r="DS71" s="59">
        <f t="shared" si="71"/>
        <v>815.97840843315544</v>
      </c>
      <c r="DT71" s="59">
        <f ca="1">AVERAGE(OFFSET($DS$3,0,0,'Données projet'!$E$14+1,1))-AVERAGE(OFFSET($H$3,0,0,'Données projet'!$E$14+1,1))</f>
        <v>216.94426559495264</v>
      </c>
      <c r="DU71" s="59">
        <f t="shared" si="98"/>
        <v>225.33715877618704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4.4803572390525623</v>
      </c>
      <c r="EC71" s="21">
        <f>EXP(-LN(2)/2)*EC70+(1-EXP(-LN(2)/2))/(LN(2)/2)*DW71*DZ71*VLOOKUP('Données projet'!$B$14,Paramètres!$A$1:$I$89,3,0)*0.475*44/12</f>
        <v>4.5260162112844413E-5</v>
      </c>
      <c r="ED71" s="22">
        <f t="shared" si="72"/>
        <v>4.4804024992146756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17</v>
      </c>
      <c r="EJ71" s="12">
        <f>IF('Données projet'!$A$192&gt;35,EJ70+EI71-ER70,IF(A71&lt;'Données projet'!$A$192,$EG$205^A71,IF(A71='Données projet'!$A$192,'Données projet'!$B$192,EJ70+EI71-ER70)))</f>
        <v>660.00000000000023</v>
      </c>
      <c r="EK71" s="17">
        <f>EJ71*VLOOKUP('Données projet'!$B$15,Paramètres!$A$1:$I$89,3,0)*VLOOKUP('Données projet'!$B$15,Paramètres!$A$1:$I$89,5,0)</f>
        <v>317.46000000000009</v>
      </c>
      <c r="EL71" s="13">
        <f t="shared" si="99"/>
        <v>74.824612395693549</v>
      </c>
      <c r="EM71" s="20">
        <f t="shared" si="73"/>
        <v>683.2290332558332</v>
      </c>
      <c r="EN71" s="59">
        <f t="shared" si="74"/>
        <v>976.56236658916646</v>
      </c>
      <c r="EO71" s="59">
        <f ca="1">AVERAGE(OFFSET($EN$3,0,0,'Données projet'!$E$15+1,1))-AVERAGE(OFFSET($H$3,0,0,'Données projet'!$E$15+1,1))</f>
        <v>292.1792787220852</v>
      </c>
      <c r="EP71" s="59">
        <f t="shared" si="100"/>
        <v>273.69206144662144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3.1747152947748201</v>
      </c>
      <c r="EW71" s="21">
        <f>EXP(-LN(2)/25)*EW70+(1-EXP(-LN(2)/25))/(LN(2)/25)*Calculateur!ER71*Calculateur!ET71*VLOOKUP('Données projet'!$B$15,Paramètres!$A$1:$I$89,3,0)*0.475*44/12</f>
        <v>4.6804584597205192</v>
      </c>
      <c r="EX71" s="21">
        <f>EXP(-LN(2)/2)*EX70+(1-EXP(-LN(2)/2))/(LN(2)/2)*ER71*EU71*VLOOKUP('Données projet'!$B$15,Paramètres!$A$1:$I$89,3,0)*0.475*44/12</f>
        <v>3.9887968880143805E-5</v>
      </c>
      <c r="EY71" s="22">
        <f t="shared" si="75"/>
        <v>7.8552136424642196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430.89999999999986</v>
      </c>
      <c r="O72" s="13">
        <f>N72*VLOOKUP('Données projet'!$B$9,Paramètres!$A$1:$I$89,3,0)*VLOOKUP('Données projet'!$B$9,Paramètres!$A$1:$I$89,5,0)</f>
        <v>201.66119999999992</v>
      </c>
      <c r="P72" s="13">
        <f t="shared" si="87"/>
        <v>50.109073265229782</v>
      </c>
      <c r="Q72" s="20">
        <f t="shared" si="54"/>
        <v>438.49989260360843</v>
      </c>
      <c r="R72" s="59">
        <f t="shared" si="55"/>
        <v>731.83322593694174</v>
      </c>
      <c r="S72" s="59">
        <f ca="1">AVERAGE(OFFSET($R$3,0,0,'Données projet'!$E$9+1,1))-AVERAGE(OFFSET($H$3,0,0,'Données projet'!$E$9+1,1))</f>
        <v>215.23235148064941</v>
      </c>
      <c r="T72" s="59">
        <f t="shared" si="88"/>
        <v>184.07239726900434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1.4479252991364533</v>
      </c>
      <c r="AA72" s="21">
        <f>EXP(-LN(2)/25)*AA71+(1-EXP(-LN(2)/25))/(LN(2)/25)*Calculateur!V72*Calculateur!X72*VLOOKUP('Données projet'!$B$9,Paramètres!$A$1:$I$89,3,0)*0.475*44/12</f>
        <v>2.6641892341845357</v>
      </c>
      <c r="AB72" s="21">
        <f>EXP(-LN(2)/2)*AB71+(1-EXP(-LN(2)/2))/(LN(2)/2)*V72*Y72*VLOOKUP('Données projet'!$B$9,Paramètres!$A$1:$I$89,3,0)*0.475*44/12</f>
        <v>1.3260648084717135E-5</v>
      </c>
      <c r="AC72" s="22">
        <f t="shared" si="57"/>
        <v>4.1121277939690737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-8.5265128291212022E-14</v>
      </c>
      <c r="AJ72" s="13">
        <f>AI72*VLOOKUP('Données projet'!$B$10,Paramètres!$A$1:$I$89,3,0)*VLOOKUP('Données projet'!$B$10,Paramètres!$A$1:$I$89,5,0)</f>
        <v>-7.7147888077888636E-14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225.28075317732998</v>
      </c>
      <c r="AO72" s="59">
        <f t="shared" si="90"/>
        <v>358.43407531256207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1.0363281913593883</v>
      </c>
      <c r="AV72" s="21">
        <f>EXP(-LN(2)/25)*AV71+(1-EXP(-LN(2)/25))/(LN(2)/25)*Calculateur!AQ72*Calculateur!AS72*VLOOKUP('Données projet'!$B$10,Paramètres!$A$1:$I$89,3,0)*0.475*44/12</f>
        <v>2.805476972265871</v>
      </c>
      <c r="AW72" s="21">
        <f>EXP(-LN(2)/2)*AW71+(1-EXP(-LN(2)/2))/(LN(2)/2)*AQ72*AT72*VLOOKUP('Données projet'!$B$10,Paramètres!$A$1:$I$89,3,0)*0.475*44/12</f>
        <v>5.9531865362082586E-6</v>
      </c>
      <c r="AX72" s="21">
        <f t="shared" si="60"/>
        <v>3.8418111168117952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13.4</v>
      </c>
      <c r="BD72" s="12">
        <f>IF('Données projet'!$A$88&gt;35,BD71+BC72-BL71,IF(A72&lt;'Données projet'!$A$88,$BA$205^A72,IF(A72='Données projet'!$A$88,'Données projet'!$B$88,BD71+BC72-BL71)))</f>
        <v>600.59999999999968</v>
      </c>
      <c r="BE72" s="13">
        <f>BD72*VLOOKUP('Données projet'!$B$11,Paramètres!$A$1:$I$89,3,0)*VLOOKUP('Données projet'!$B$11,Paramètres!$A$1:$I$89,5,0)</f>
        <v>335.73539999999986</v>
      </c>
      <c r="BF72" s="13">
        <f t="shared" si="91"/>
        <v>78.618206841401843</v>
      </c>
      <c r="BG72" s="20">
        <f t="shared" si="61"/>
        <v>721.66586524877459</v>
      </c>
      <c r="BH72" s="59">
        <f t="shared" si="62"/>
        <v>1014.999198582108</v>
      </c>
      <c r="BI72" s="59">
        <f ca="1">AVERAGE(OFFSET($BH$3,0,0,'Données projet'!$E$11+1,1))-AVERAGE(OFFSET($H$3,0,0,'Données projet'!$E$11+1,1))</f>
        <v>326.31232746914907</v>
      </c>
      <c r="BJ72" s="59">
        <f t="shared" si="92"/>
        <v>330.17137761430297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2.1100242800294011</v>
      </c>
      <c r="BQ72" s="21">
        <f>EXP(-LN(2)/25)*BQ71+(1-EXP(-LN(2)/25))/(LN(2)/25)*Calculateur!BL72*Calculateur!BN72*VLOOKUP('Données projet'!$B$11,Paramètres!$A$1:$I$89,3,0)*0.475*44/12</f>
        <v>10.233188048237572</v>
      </c>
      <c r="BR72" s="21">
        <f>EXP(-LN(2)/2)*BR71+(1-EXP(-LN(2)/2))/(LN(2)/2)*BL72*BO72*VLOOKUP('Données projet'!$B$11,Paramètres!$A$1:$I$89,3,0)*0.475*44/12</f>
        <v>4.3862513017812565E-5</v>
      </c>
      <c r="BS72" s="22">
        <f t="shared" si="63"/>
        <v>12.343256190779991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8.5</v>
      </c>
      <c r="BY72" s="12">
        <f>IF('Données projet'!$A$114&gt;35,BY71+BX72-CG71,IF(A72&lt;'Données projet'!$A$114,$BV$205^A72,IF(A72='Données projet'!$A$114,'Données projet'!$B$114,BY71+BX72-CG71)))</f>
        <v>402.50000000000023</v>
      </c>
      <c r="BZ72" s="13">
        <f>BY72*VLOOKUP('Données projet'!$B$12,Paramètres!$A$1:$I$89,3,0)*VLOOKUP('Données projet'!$B$12,Paramètres!$A$1:$I$89,5,0)</f>
        <v>219.76500000000013</v>
      </c>
      <c r="CA72" s="13">
        <f t="shared" si="93"/>
        <v>54.063806455114872</v>
      </c>
      <c r="CB72" s="20">
        <f t="shared" si="64"/>
        <v>476.91850457599202</v>
      </c>
      <c r="CC72" s="59">
        <f t="shared" si="65"/>
        <v>770.25183790932533</v>
      </c>
      <c r="CD72" s="59">
        <f ca="1">AVERAGE(OFFSET($CC$3,0,0,'Données projet'!$E$12+1,1))-AVERAGE(OFFSET($H$3,0,0,'Données projet'!$E$12+1,1))</f>
        <v>210.04871822652808</v>
      </c>
      <c r="CE72" s="59">
        <f t="shared" si="94"/>
        <v>250.17540614049324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3.3724700966220413</v>
      </c>
      <c r="CL72" s="21">
        <f>EXP(-LN(2)/25)*CL71+(1-EXP(-LN(2)/25))/(LN(2)/25)*Calculateur!CG72*Calculateur!CI72*VLOOKUP('Données projet'!$B$12,Paramètres!$A$1:$I$89,3,0)*0.475*44/12</f>
        <v>9.4388166210561693</v>
      </c>
      <c r="CM72" s="21">
        <f>EXP(-LN(2)/2)*CM71+(1-EXP(-LN(2)/2))/(LN(2)/2)*CG72*CJ72*VLOOKUP('Données projet'!$B$12,Paramètres!$A$1:$I$89,3,0)*0.475*44/12</f>
        <v>2.9069711469882448E-5</v>
      </c>
      <c r="CN72" s="22">
        <f t="shared" si="66"/>
        <v>12.811315787389681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4.0999999999999996</v>
      </c>
      <c r="CT72" s="12">
        <f>IF('Données projet'!$A$140&gt;35,CT71+CS72-DB71,IF(A72&lt;'Données projet'!$A$140,$CQ$205^A72,IF(A72='Données projet'!$A$140,'Données projet'!$B$140,CT71+CS72-DB71)))</f>
        <v>269.89999999999981</v>
      </c>
      <c r="CU72" s="17">
        <f>CT72*VLOOKUP('Données projet'!$B$13,Paramètres!$A$1:$I$89,3,0)*VLOOKUP('Données projet'!$B$13,Paramètres!$A$1:$I$89,5,0)</f>
        <v>214.73243999999988</v>
      </c>
      <c r="CV72" s="13">
        <f t="shared" si="95"/>
        <v>52.968397784466582</v>
      </c>
      <c r="CW72" s="20">
        <f t="shared" si="67"/>
        <v>466.24562580794571</v>
      </c>
      <c r="CX72" s="59">
        <f t="shared" si="68"/>
        <v>759.57895914127903</v>
      </c>
      <c r="CY72" s="59">
        <f ca="1">AVERAGE(OFFSET($CX$3,0,0,'Données projet'!$E$13+1,1))-AVERAGE(OFFSET($H$3,0,0,'Données projet'!$E$13+1,1))</f>
        <v>199.58763537752952</v>
      </c>
      <c r="CZ72" s="59">
        <f t="shared" si="96"/>
        <v>242.62852778451929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3.4874825943616647</v>
      </c>
      <c r="DH72" s="21">
        <f>EXP(-LN(2)/2)*DH71+(1-EXP(-LN(2)/2))/(LN(2)/2)*DB72*DE72*VLOOKUP('Données projet'!$B$13,Paramètres!$A$1:$I$89,3,0)*0.475*44/12</f>
        <v>1.451410468288617E-5</v>
      </c>
      <c r="DI72" s="22">
        <f t="shared" si="69"/>
        <v>3.4874971084663478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9.1999999999999993</v>
      </c>
      <c r="DO72" s="12">
        <f>IF('Données projet'!$A$166&gt;35,DO71+DN72-DW71,IF(A72&lt;'Données projet'!$A$166,$DL$205^A72,IF(A72='Données projet'!$A$166,'Données projet'!$B$166,DO71+DN72-DW71)))</f>
        <v>412.79999999999967</v>
      </c>
      <c r="DP72" s="17">
        <f>DO72*VLOOKUP('Données projet'!$B$14,Paramètres!$A$1:$I$89,3,0)*VLOOKUP('Données projet'!$B$14,Paramètres!$A$1:$I$89,5,0)</f>
        <v>246.85439999999983</v>
      </c>
      <c r="DQ72" s="13">
        <f t="shared" si="97"/>
        <v>59.911862368716115</v>
      </c>
      <c r="DR72" s="20">
        <f t="shared" si="70"/>
        <v>534.28457362551364</v>
      </c>
      <c r="DS72" s="59">
        <f t="shared" si="71"/>
        <v>827.61790695884702</v>
      </c>
      <c r="DT72" s="59">
        <f ca="1">AVERAGE(OFFSET($DS$3,0,0,'Données projet'!$E$14+1,1))-AVERAGE(OFFSET($H$3,0,0,'Données projet'!$E$14+1,1))</f>
        <v>216.94426559495264</v>
      </c>
      <c r="DU72" s="59">
        <f t="shared" si="98"/>
        <v>225.33715877618704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4.3578416347389224</v>
      </c>
      <c r="EC72" s="21">
        <f>EXP(-LN(2)/2)*EC71+(1-EXP(-LN(2)/2))/(LN(2)/2)*DW72*DZ72*VLOOKUP('Données projet'!$B$14,Paramètres!$A$1:$I$89,3,0)*0.475*44/12</f>
        <v>3.2003767547594742E-5</v>
      </c>
      <c r="ED72" s="22">
        <f t="shared" si="72"/>
        <v>4.3578736385064696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17</v>
      </c>
      <c r="EJ72" s="12">
        <f>IF('Données projet'!$A$192&gt;35,EJ71+EI72-ER71,IF(A72&lt;'Données projet'!$A$192,$EG$205^A72,IF(A72='Données projet'!$A$192,'Données projet'!$B$192,EJ71+EI72-ER71)))</f>
        <v>677.00000000000023</v>
      </c>
      <c r="EK72" s="17">
        <f>EJ72*VLOOKUP('Données projet'!$B$15,Paramètres!$A$1:$I$89,3,0)*VLOOKUP('Données projet'!$B$15,Paramètres!$A$1:$I$89,5,0)</f>
        <v>325.63700000000011</v>
      </c>
      <c r="EL72" s="13">
        <f t="shared" si="99"/>
        <v>76.525046471400174</v>
      </c>
      <c r="EM72" s="20">
        <f t="shared" si="73"/>
        <v>700.43223093768881</v>
      </c>
      <c r="EN72" s="59">
        <f t="shared" si="74"/>
        <v>993.76556427102219</v>
      </c>
      <c r="EO72" s="59">
        <f ca="1">AVERAGE(OFFSET($EN$3,0,0,'Données projet'!$E$15+1,1))-AVERAGE(OFFSET($H$3,0,0,'Données projet'!$E$15+1,1))</f>
        <v>292.1792787220852</v>
      </c>
      <c r="EP72" s="59">
        <f t="shared" si="100"/>
        <v>273.69206144662144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3.1124610642294135</v>
      </c>
      <c r="EW72" s="21">
        <f>EXP(-LN(2)/25)*EW71+(1-EXP(-LN(2)/25))/(LN(2)/25)*Calculateur!ER72*Calculateur!ET72*VLOOKUP('Données projet'!$B$15,Paramètres!$A$1:$I$89,3,0)*0.475*44/12</f>
        <v>4.5524710770048484</v>
      </c>
      <c r="EX72" s="21">
        <f>EXP(-LN(2)/2)*EX71+(1-EXP(-LN(2)/2))/(LN(2)/2)*ER72*EU72*VLOOKUP('Données projet'!$B$15,Paramètres!$A$1:$I$89,3,0)*0.475*44/12</f>
        <v>2.8205053282907663E-5</v>
      </c>
      <c r="EY72" s="22">
        <f t="shared" si="75"/>
        <v>7.6649603462875451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446.4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446.39999999999986</v>
      </c>
      <c r="O73" s="13">
        <f>N73*VLOOKUP('Données projet'!$B$9,Paramètres!$A$1:$I$89,3,0)*VLOOKUP('Données projet'!$B$9,Paramètres!$A$1:$I$89,5,0)</f>
        <v>208.91519999999994</v>
      </c>
      <c r="P73" s="13">
        <f t="shared" si="87"/>
        <v>51.698458198123326</v>
      </c>
      <c r="Q73" s="20">
        <f t="shared" si="54"/>
        <v>453.90212136173136</v>
      </c>
      <c r="R73" s="59">
        <f t="shared" si="55"/>
        <v>747.23545469506462</v>
      </c>
      <c r="S73" s="59">
        <f ca="1">AVERAGE(OFFSET($R$3,0,0,'Données projet'!$E$9+1,1))-AVERAGE(OFFSET($H$3,0,0,'Données projet'!$E$9+1,1))</f>
        <v>215.23235148064941</v>
      </c>
      <c r="T73" s="59">
        <f t="shared" si="88"/>
        <v>184.07239726900434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83.4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1.4195323671676163</v>
      </c>
      <c r="AA73" s="21">
        <f>EXP(-LN(2)/25)*AA72+(1-EXP(-LN(2)/25))/(LN(2)/25)*Calculateur!V73*Calculateur!X73*VLOOKUP('Données projet'!$B$9,Paramètres!$A$1:$I$89,3,0)*0.475*44/12</f>
        <v>2.5913368394721368</v>
      </c>
      <c r="AB73" s="21">
        <f>EXP(-LN(2)/2)*AB72+(1-EXP(-LN(2)/2))/(LN(2)/2)*V73*Y73*VLOOKUP('Données projet'!$B$9,Paramètres!$A$1:$I$89,3,0)*0.475*44/12</f>
        <v>9.3766941836318892E-6</v>
      </c>
      <c r="AC73" s="22">
        <f t="shared" si="57"/>
        <v>4.0108785833339367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-8.5265128291212022E-14</v>
      </c>
      <c r="AJ73" s="13">
        <f>AI73*VLOOKUP('Données projet'!$B$10,Paramètres!$A$1:$I$89,3,0)*VLOOKUP('Données projet'!$B$10,Paramètres!$A$1:$I$89,5,0)</f>
        <v>-7.7147888077888636E-14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225.28075317732998</v>
      </c>
      <c r="AO73" s="59">
        <f t="shared" si="90"/>
        <v>358.43407531256207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1.0160064276246128</v>
      </c>
      <c r="AV73" s="21">
        <f>EXP(-LN(2)/25)*AV72+(1-EXP(-LN(2)/25))/(LN(2)/25)*Calculateur!AQ73*Calculateur!AS73*VLOOKUP('Données projet'!$B$10,Paramètres!$A$1:$I$89,3,0)*0.475*44/12</f>
        <v>2.7287610569256389</v>
      </c>
      <c r="AW73" s="21">
        <f>EXP(-LN(2)/2)*AW72+(1-EXP(-LN(2)/2))/(LN(2)/2)*AQ73*AT73*VLOOKUP('Données projet'!$B$10,Paramètres!$A$1:$I$89,3,0)*0.475*44/12</f>
        <v>4.2095385694213139E-6</v>
      </c>
      <c r="AX73" s="21">
        <f t="shared" si="60"/>
        <v>3.7447716940888212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614</v>
      </c>
      <c r="BB73" s="12">
        <f>VLOOKUP(A73,'Données projet'!$A$87:$I$107,9,0)</f>
        <v>13.4</v>
      </c>
      <c r="BC73" s="12">
        <f t="array" ref="BC73">INDEX(BB:BB,MIN(IF(ISNUMBER(BB73:BB269),ROW(BB73:BB269),"")))</f>
        <v>13.4</v>
      </c>
      <c r="BD73" s="12">
        <f>IF('Données projet'!$A$88&gt;35,BD72+BC73-BL72,IF(A73&lt;'Données projet'!$A$88,$BA$205^A73,IF(A73='Données projet'!$A$88,'Données projet'!$B$88,BD72+BC73-BL72)))</f>
        <v>613.99999999999966</v>
      </c>
      <c r="BE73" s="13">
        <f>BD73*VLOOKUP('Données projet'!$B$11,Paramètres!$A$1:$I$89,3,0)*VLOOKUP('Données projet'!$B$11,Paramètres!$A$1:$I$89,5,0)</f>
        <v>343.22599999999983</v>
      </c>
      <c r="BF73" s="13">
        <f t="shared" si="91"/>
        <v>80.166091681676377</v>
      </c>
      <c r="BG73" s="20">
        <f t="shared" si="61"/>
        <v>737.40789301225266</v>
      </c>
      <c r="BH73" s="59">
        <f t="shared" si="62"/>
        <v>1030.741226345586</v>
      </c>
      <c r="BI73" s="59">
        <f ca="1">AVERAGE(OFFSET($BH$3,0,0,'Données projet'!$E$11+1,1))-AVERAGE(OFFSET($H$3,0,0,'Données projet'!$E$11+1,1))</f>
        <v>326.31232746914907</v>
      </c>
      <c r="BJ73" s="59">
        <f t="shared" si="92"/>
        <v>330.17137761430297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67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2.068647990885756</v>
      </c>
      <c r="BQ73" s="21">
        <f>EXP(-LN(2)/25)*BQ72+(1-EXP(-LN(2)/25))/(LN(2)/25)*Calculateur!BL73*Calculateur!BN73*VLOOKUP('Données projet'!$B$11,Paramètres!$A$1:$I$89,3,0)*0.475*44/12</f>
        <v>9.9533609829185448</v>
      </c>
      <c r="BR73" s="21">
        <f>EXP(-LN(2)/2)*BR72+(1-EXP(-LN(2)/2))/(LN(2)/2)*BL73*BO73*VLOOKUP('Données projet'!$B$11,Paramètres!$A$1:$I$89,3,0)*0.475*44/12</f>
        <v>3.1015480394778482E-5</v>
      </c>
      <c r="BS73" s="22">
        <f t="shared" si="63"/>
        <v>12.022039989284696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411</v>
      </c>
      <c r="BW73" s="12">
        <f>VLOOKUP(A73,'Données projet'!$A$113:$I$133,9,0)</f>
        <v>8.5</v>
      </c>
      <c r="BX73" s="12">
        <f t="array" ref="BX73">INDEX(BW:BW,MIN(IF(ISNUMBER(BW73:BW269),ROW(BW73:BW269),"")))</f>
        <v>8.5</v>
      </c>
      <c r="BY73" s="12">
        <f>IF('Données projet'!$A$114&gt;35,BY72+BX73-CG72,IF(A73&lt;'Données projet'!$A$114,$BV$205^A73,IF(A73='Données projet'!$A$114,'Données projet'!$B$114,BY72+BX73-CG72)))</f>
        <v>411.00000000000023</v>
      </c>
      <c r="BZ73" s="13">
        <f>BY73*VLOOKUP('Données projet'!$B$12,Paramètres!$A$1:$I$89,3,0)*VLOOKUP('Données projet'!$B$12,Paramètres!$A$1:$I$89,5,0)</f>
        <v>224.40600000000012</v>
      </c>
      <c r="CA73" s="13">
        <f t="shared" si="93"/>
        <v>55.071400090717127</v>
      </c>
      <c r="CB73" s="20">
        <f t="shared" si="64"/>
        <v>486.75647182466588</v>
      </c>
      <c r="CC73" s="59">
        <f t="shared" si="65"/>
        <v>780.08980515799919</v>
      </c>
      <c r="CD73" s="59">
        <f ca="1">AVERAGE(OFFSET($CC$3,0,0,'Données projet'!$E$12+1,1))-AVERAGE(OFFSET($H$3,0,0,'Données projet'!$E$12+1,1))</f>
        <v>210.04871822652808</v>
      </c>
      <c r="CE73" s="59">
        <f t="shared" si="94"/>
        <v>250.17540614049324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3.3063380150309296</v>
      </c>
      <c r="CL73" s="21">
        <f>EXP(-LN(2)/25)*CL72+(1-EXP(-LN(2)/25))/(LN(2)/25)*Calculateur!CG73*Calculateur!CI73*VLOOKUP('Données projet'!$B$12,Paramètres!$A$1:$I$89,3,0)*0.475*44/12</f>
        <v>9.1807116841875942</v>
      </c>
      <c r="CM73" s="21">
        <f>EXP(-LN(2)/2)*CM72+(1-EXP(-LN(2)/2))/(LN(2)/2)*CG73*CJ73*VLOOKUP('Données projet'!$B$12,Paramètres!$A$1:$I$89,3,0)*0.475*44/12</f>
        <v>2.0555390107490242E-5</v>
      </c>
      <c r="CN73" s="22">
        <f t="shared" si="66"/>
        <v>12.487070254608632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274</v>
      </c>
      <c r="CR73" s="12">
        <f>VLOOKUP(A73,'Données projet'!$A$139:$I$159,9,0)</f>
        <v>4.0999999999999996</v>
      </c>
      <c r="CS73" s="12">
        <f t="array" ref="CS73">INDEX(CR:CR,MIN(IF(ISNUMBER(CR73:CR269),ROW(CR73:CR269),"")))</f>
        <v>4.0999999999999996</v>
      </c>
      <c r="CT73" s="12">
        <f>IF('Données projet'!$A$140&gt;35,CT72+CS73-DB72,IF(A73&lt;'Données projet'!$A$140,$CQ$205^A73,IF(A73='Données projet'!$A$140,'Données projet'!$B$140,CT72+CS73-DB72)))</f>
        <v>273.99999999999983</v>
      </c>
      <c r="CU73" s="17">
        <f>CT73*VLOOKUP('Données projet'!$B$13,Paramètres!$A$1:$I$89,3,0)*VLOOKUP('Données projet'!$B$13,Paramètres!$A$1:$I$89,5,0)</f>
        <v>217.9943999999999</v>
      </c>
      <c r="CV73" s="13">
        <f t="shared" si="95"/>
        <v>53.678746401110374</v>
      </c>
      <c r="CW73" s="20">
        <f t="shared" si="67"/>
        <v>473.16406331526701</v>
      </c>
      <c r="CX73" s="59">
        <f t="shared" si="68"/>
        <v>766.49739664860033</v>
      </c>
      <c r="CY73" s="59">
        <f ca="1">AVERAGE(OFFSET($CX$3,0,0,'Données projet'!$E$13+1,1))-AVERAGE(OFFSET($H$3,0,0,'Données projet'!$E$13+1,1))</f>
        <v>199.58763537752952</v>
      </c>
      <c r="CZ73" s="59">
        <f t="shared" si="96"/>
        <v>242.62852778451929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21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3.392117199420106</v>
      </c>
      <c r="DH73" s="21">
        <f>EXP(-LN(2)/2)*DH72+(1-EXP(-LN(2)/2))/(LN(2)/2)*DB73*DE73*VLOOKUP('Données projet'!$B$13,Paramètres!$A$1:$I$89,3,0)*0.475*44/12</f>
        <v>1.0263021844120235E-5</v>
      </c>
      <c r="DI73" s="22">
        <f t="shared" si="69"/>
        <v>3.39212746244195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422</v>
      </c>
      <c r="DM73" s="12">
        <f>VLOOKUP(A73,'Données projet'!$A$165:$I$185,9,0)</f>
        <v>9.1999999999999993</v>
      </c>
      <c r="DN73" s="12">
        <f t="array" ref="DN73">INDEX(DM:DM,MIN(IF(ISNUMBER(DM73:DM269),ROW(DM73:DM269),"")))</f>
        <v>9.1999999999999993</v>
      </c>
      <c r="DO73" s="12">
        <f>IF('Données projet'!$A$166&gt;35,DO72+DN73-DW72,IF(A73&lt;'Données projet'!$A$166,$DL$205^A73,IF(A73='Données projet'!$A$166,'Données projet'!$B$166,DO72+DN73-DW72)))</f>
        <v>421.99999999999966</v>
      </c>
      <c r="DP73" s="17">
        <f>DO73*VLOOKUP('Données projet'!$B$14,Paramètres!$A$1:$I$89,3,0)*VLOOKUP('Données projet'!$B$14,Paramètres!$A$1:$I$89,5,0)</f>
        <v>252.35599999999982</v>
      </c>
      <c r="DQ73" s="13">
        <f t="shared" si="97"/>
        <v>61.090167050998701</v>
      </c>
      <c r="DR73" s="20">
        <f t="shared" si="70"/>
        <v>545.9187409471557</v>
      </c>
      <c r="DS73" s="59">
        <f t="shared" si="71"/>
        <v>839.25207428048907</v>
      </c>
      <c r="DT73" s="59">
        <f ca="1">AVERAGE(OFFSET($DS$3,0,0,'Données projet'!$E$14+1,1))-AVERAGE(OFFSET($H$3,0,0,'Données projet'!$E$14+1,1))</f>
        <v>216.94426559495264</v>
      </c>
      <c r="DU73" s="59">
        <f t="shared" si="98"/>
        <v>225.33715877618704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44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4.2386762260680548</v>
      </c>
      <c r="EC73" s="21">
        <f>EXP(-LN(2)/2)*EC72+(1-EXP(-LN(2)/2))/(LN(2)/2)*DW73*DZ73*VLOOKUP('Données projet'!$B$14,Paramètres!$A$1:$I$89,3,0)*0.475*44/12</f>
        <v>2.2630081056422206E-5</v>
      </c>
      <c r="ED73" s="22">
        <f t="shared" si="72"/>
        <v>4.238698856149111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694</v>
      </c>
      <c r="EH73" s="12">
        <f>VLOOKUP(A73,'Données projet'!$A$191:$I$211,9,0)</f>
        <v>17</v>
      </c>
      <c r="EI73" s="12">
        <f t="array" ref="EI73">INDEX(EH:EH,MIN(IF(ISNUMBER(EH73:EH269),ROW(EH73:EH269),"")))</f>
        <v>17</v>
      </c>
      <c r="EJ73" s="12">
        <f>IF('Données projet'!$A$192&gt;35,EJ72+EI73-ER72,IF(A73&lt;'Données projet'!$A$192,$EG$205^A73,IF(A73='Données projet'!$A$192,'Données projet'!$B$192,EJ72+EI73-ER72)))</f>
        <v>694.00000000000023</v>
      </c>
      <c r="EK73" s="17">
        <f>EJ73*VLOOKUP('Données projet'!$B$15,Paramètres!$A$1:$I$89,3,0)*VLOOKUP('Données projet'!$B$15,Paramètres!$A$1:$I$89,5,0)</f>
        <v>333.81400000000014</v>
      </c>
      <c r="EL73" s="13">
        <f t="shared" si="99"/>
        <v>78.220517061978072</v>
      </c>
      <c r="EM73" s="20">
        <f t="shared" si="73"/>
        <v>717.62678388294535</v>
      </c>
      <c r="EN73" s="59">
        <f t="shared" si="74"/>
        <v>1010.9601172162786</v>
      </c>
      <c r="EO73" s="59">
        <f ca="1">AVERAGE(OFFSET($EN$3,0,0,'Données projet'!$E$15+1,1))-AVERAGE(OFFSET($H$3,0,0,'Données projet'!$E$15+1,1))</f>
        <v>292.1792787220852</v>
      </c>
      <c r="EP73" s="59">
        <f t="shared" si="100"/>
        <v>273.69206144662144</v>
      </c>
      <c r="EQ73" s="15">
        <f>IF(ISNA(VLOOKUP(A73,'Données projet'!$A$191:$I$211,3,0)),0,VLOOKUP(A73,'Données projet'!$A$191:$I$211,3,0))</f>
        <v>5</v>
      </c>
      <c r="ER73" s="15">
        <f>IF(ISNA(VLOOKUP(A73,'Données projet'!$A$191:$I$211,4,0)),0,VLOOKUP(A73,'Données projet'!$A$191:$I$211,4,0))</f>
        <v>88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3.0514276011736712</v>
      </c>
      <c r="EW73" s="21">
        <f>EXP(-LN(2)/25)*EW72+(1-EXP(-LN(2)/25))/(LN(2)/25)*Calculateur!ER73*Calculateur!ET73*VLOOKUP('Données projet'!$B$15,Paramètres!$A$1:$I$89,3,0)*0.475*44/12</f>
        <v>4.4279835160001015</v>
      </c>
      <c r="EX73" s="21">
        <f>EXP(-LN(2)/2)*EX72+(1-EXP(-LN(2)/2))/(LN(2)/2)*ER73*EU73*VLOOKUP('Données projet'!$B$15,Paramètres!$A$1:$I$89,3,0)*0.475*44/12</f>
        <v>1.9943984440071902E-5</v>
      </c>
      <c r="EY73" s="22">
        <f t="shared" si="75"/>
        <v>7.4794310611582127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379.99999999999989</v>
      </c>
      <c r="O74" s="13">
        <f>N74*VLOOKUP('Données projet'!$B$9,Paramètres!$A$1:$I$89,3,0)*VLOOKUP('Données projet'!$B$9,Paramètres!$A$1:$I$89,5,0)</f>
        <v>177.83999999999995</v>
      </c>
      <c r="P74" s="13">
        <f t="shared" si="87"/>
        <v>44.841288830609102</v>
      </c>
      <c r="Q74" s="20">
        <f t="shared" si="54"/>
        <v>387.83657804664409</v>
      </c>
      <c r="R74" s="59">
        <f t="shared" si="55"/>
        <v>681.16991137997741</v>
      </c>
      <c r="S74" s="59">
        <f ca="1">AVERAGE(OFFSET($R$3,0,0,'Données projet'!$E$9+1,1))-AVERAGE(OFFSET($H$3,0,0,'Données projet'!$E$9+1,1))</f>
        <v>215.23235148064941</v>
      </c>
      <c r="T74" s="59">
        <f t="shared" si="88"/>
        <v>184.07239726900434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1.3916962032767097</v>
      </c>
      <c r="AA74" s="21">
        <f>EXP(-LN(2)/25)*AA73+(1-EXP(-LN(2)/25))/(LN(2)/25)*Calculateur!V74*Calculateur!X74*VLOOKUP('Données projet'!$B$9,Paramètres!$A$1:$I$89,3,0)*0.475*44/12</f>
        <v>2.5204765973242895</v>
      </c>
      <c r="AB74" s="21">
        <f>EXP(-LN(2)/2)*AB73+(1-EXP(-LN(2)/2))/(LN(2)/2)*V74*Y74*VLOOKUP('Données projet'!$B$9,Paramètres!$A$1:$I$89,3,0)*0.475*44/12</f>
        <v>6.6303240423585673E-6</v>
      </c>
      <c r="AC74" s="22">
        <f t="shared" si="57"/>
        <v>3.9121794309250415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-8.5265128291212022E-14</v>
      </c>
      <c r="AJ74" s="13">
        <f>AI74*VLOOKUP('Données projet'!$B$10,Paramètres!$A$1:$I$89,3,0)*VLOOKUP('Données projet'!$B$10,Paramètres!$A$1:$I$89,5,0)</f>
        <v>-7.7147888077888636E-14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225.28075317732998</v>
      </c>
      <c r="AO74" s="59">
        <f t="shared" si="90"/>
        <v>358.43407531256207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0.99608316128162444</v>
      </c>
      <c r="AV74" s="21">
        <f>EXP(-LN(2)/25)*AV73+(1-EXP(-LN(2)/25))/(LN(2)/25)*Calculateur!AQ74*Calculateur!AS74*VLOOKUP('Données projet'!$B$10,Paramètres!$A$1:$I$89,3,0)*0.475*44/12</f>
        <v>2.6541429423246998</v>
      </c>
      <c r="AW74" s="21">
        <f>EXP(-LN(2)/2)*AW73+(1-EXP(-LN(2)/2))/(LN(2)/2)*AQ74*AT74*VLOOKUP('Données projet'!$B$10,Paramètres!$A$1:$I$89,3,0)*0.475*44/12</f>
        <v>2.9765932681041293E-6</v>
      </c>
      <c r="AX74" s="21">
        <f t="shared" si="60"/>
        <v>3.6502290801995927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10.4</v>
      </c>
      <c r="BD74" s="12">
        <f>IF('Données projet'!$A$88&gt;35,BD73+BC74-BL73,IF(A74&lt;'Données projet'!$A$88,$BA$205^A74,IF(A74='Données projet'!$A$88,'Données projet'!$B$88,BD73+BC74-BL73)))</f>
        <v>557.39999999999964</v>
      </c>
      <c r="BE74" s="13">
        <f>BD74*VLOOKUP('Données projet'!$B$11,Paramètres!$A$1:$I$89,3,0)*VLOOKUP('Données projet'!$B$11,Paramètres!$A$1:$I$89,5,0)</f>
        <v>311.58659999999981</v>
      </c>
      <c r="BF74" s="13">
        <f t="shared" si="91"/>
        <v>73.60007688942116</v>
      </c>
      <c r="BG74" s="20">
        <f t="shared" si="61"/>
        <v>670.86679558240803</v>
      </c>
      <c r="BH74" s="59">
        <f t="shared" si="62"/>
        <v>964.20012891574129</v>
      </c>
      <c r="BI74" s="59">
        <f ca="1">AVERAGE(OFFSET($BH$3,0,0,'Données projet'!$E$11+1,1))-AVERAGE(OFFSET($H$3,0,0,'Données projet'!$E$11+1,1))</f>
        <v>326.31232746914907</v>
      </c>
      <c r="BJ74" s="59">
        <f t="shared" si="92"/>
        <v>330.17137761430297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2.0280830655351734</v>
      </c>
      <c r="BQ74" s="21">
        <f>EXP(-LN(2)/25)*BQ73+(1-EXP(-LN(2)/25))/(LN(2)/25)*Calculateur!BL74*Calculateur!BN74*VLOOKUP('Données projet'!$B$11,Paramètres!$A$1:$I$89,3,0)*0.475*44/12</f>
        <v>9.6811858034161311</v>
      </c>
      <c r="BR74" s="21">
        <f>EXP(-LN(2)/2)*BR73+(1-EXP(-LN(2)/2))/(LN(2)/2)*BL74*BO74*VLOOKUP('Données projet'!$B$11,Paramètres!$A$1:$I$89,3,0)*0.475*44/12</f>
        <v>2.1931256508906283E-5</v>
      </c>
      <c r="BS74" s="22">
        <f t="shared" si="63"/>
        <v>11.709290800207814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7.4</v>
      </c>
      <c r="BY74" s="12">
        <f>IF('Données projet'!$A$114&gt;35,BY73+BX74-CG73,IF(A74&lt;'Données projet'!$A$114,$BV$205^A74,IF(A74='Données projet'!$A$114,'Données projet'!$B$114,BY73+BX74-CG73)))</f>
        <v>366.4000000000002</v>
      </c>
      <c r="BZ74" s="13">
        <f>BY74*VLOOKUP('Données projet'!$B$12,Paramètres!$A$1:$I$89,3,0)*VLOOKUP('Données projet'!$B$12,Paramètres!$A$1:$I$89,5,0)</f>
        <v>200.05440000000013</v>
      </c>
      <c r="CA74" s="13">
        <f t="shared" si="93"/>
        <v>49.756123009618236</v>
      </c>
      <c r="CB74" s="20">
        <f t="shared" si="64"/>
        <v>435.08666090841865</v>
      </c>
      <c r="CC74" s="59">
        <f t="shared" si="65"/>
        <v>728.41999424175197</v>
      </c>
      <c r="CD74" s="59">
        <f ca="1">AVERAGE(OFFSET($CC$3,0,0,'Données projet'!$E$12+1,1))-AVERAGE(OFFSET($H$3,0,0,'Données projet'!$E$12+1,1))</f>
        <v>210.04871822652808</v>
      </c>
      <c r="CE74" s="59">
        <f t="shared" si="94"/>
        <v>250.17540614049324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3.2415027432232328</v>
      </c>
      <c r="CL74" s="21">
        <f>EXP(-LN(2)/25)*CL73+(1-EXP(-LN(2)/25))/(LN(2)/25)*Calculateur!CG74*Calculateur!CI74*VLOOKUP('Données projet'!$B$12,Paramètres!$A$1:$I$89,3,0)*0.475*44/12</f>
        <v>8.9296646403908397</v>
      </c>
      <c r="CM74" s="21">
        <f>EXP(-LN(2)/2)*CM73+(1-EXP(-LN(2)/2))/(LN(2)/2)*CG74*CJ74*VLOOKUP('Données projet'!$B$12,Paramètres!$A$1:$I$89,3,0)*0.475*44/12</f>
        <v>1.4534855734941227E-5</v>
      </c>
      <c r="CN74" s="22">
        <f t="shared" si="66"/>
        <v>12.171181918469808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3.1</v>
      </c>
      <c r="CT74" s="12">
        <f>IF('Données projet'!$A$140&gt;35,CT73+CS74-DB73,IF(A74&lt;'Données projet'!$A$140,$CQ$205^A74,IF(A74='Données projet'!$A$140,'Données projet'!$B$140,CT73+CS74-DB73)))</f>
        <v>256.09999999999985</v>
      </c>
      <c r="CU74" s="17">
        <f>CT74*VLOOKUP('Données projet'!$B$13,Paramètres!$A$1:$I$89,3,0)*VLOOKUP('Données projet'!$B$13,Paramètres!$A$1:$I$89,5,0)</f>
        <v>203.75315999999989</v>
      </c>
      <c r="CV74" s="13">
        <f t="shared" si="95"/>
        <v>50.568104070523326</v>
      </c>
      <c r="CW74" s="20">
        <f t="shared" si="67"/>
        <v>442.94286825616126</v>
      </c>
      <c r="CX74" s="59">
        <f t="shared" si="68"/>
        <v>736.27620158949458</v>
      </c>
      <c r="CY74" s="59">
        <f ca="1">AVERAGE(OFFSET($CX$3,0,0,'Données projet'!$E$13+1,1))-AVERAGE(OFFSET($H$3,0,0,'Données projet'!$E$13+1,1))</f>
        <v>199.58763537752952</v>
      </c>
      <c r="CZ74" s="59">
        <f t="shared" si="96"/>
        <v>242.62852778451929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3.2993595762182726</v>
      </c>
      <c r="DH74" s="21">
        <f>EXP(-LN(2)/2)*DH73+(1-EXP(-LN(2)/2))/(LN(2)/2)*DB74*DE74*VLOOKUP('Données projet'!$B$13,Paramètres!$A$1:$I$89,3,0)*0.475*44/12</f>
        <v>7.2570523414430848E-6</v>
      </c>
      <c r="DI74" s="22">
        <f t="shared" si="69"/>
        <v>3.2993668332706139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7.2</v>
      </c>
      <c r="DO74" s="12">
        <f>IF('Données projet'!$A$166&gt;35,DO73+DN74-DW73,IF(A74&lt;'Données projet'!$A$166,$DL$205^A74,IF(A74='Données projet'!$A$166,'Données projet'!$B$166,DO73+DN74-DW73)))</f>
        <v>385.19999999999965</v>
      </c>
      <c r="DP74" s="17">
        <f>DO74*VLOOKUP('Données projet'!$B$14,Paramètres!$A$1:$I$89,3,0)*VLOOKUP('Données projet'!$B$14,Paramètres!$A$1:$I$89,5,0)</f>
        <v>230.34959999999978</v>
      </c>
      <c r="DQ74" s="13">
        <f t="shared" si="97"/>
        <v>56.358266541426261</v>
      </c>
      <c r="DR74" s="20">
        <f t="shared" si="70"/>
        <v>499.34953422631702</v>
      </c>
      <c r="DS74" s="59">
        <f t="shared" si="71"/>
        <v>792.68286755965028</v>
      </c>
      <c r="DT74" s="59">
        <f ca="1">AVERAGE(OFFSET($DS$3,0,0,'Données projet'!$E$14+1,1))-AVERAGE(OFFSET($H$3,0,0,'Données projet'!$E$14+1,1))</f>
        <v>216.94426559495264</v>
      </c>
      <c r="DU74" s="59">
        <f t="shared" si="98"/>
        <v>225.33715877618704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4.1227694017639287</v>
      </c>
      <c r="EC74" s="21">
        <f>EXP(-LN(2)/2)*EC73+(1-EXP(-LN(2)/2))/(LN(2)/2)*DW74*DZ74*VLOOKUP('Données projet'!$B$14,Paramètres!$A$1:$I$89,3,0)*0.475*44/12</f>
        <v>1.6001883773797371E-5</v>
      </c>
      <c r="ED74" s="22">
        <f t="shared" si="72"/>
        <v>4.1227854036477023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14.7</v>
      </c>
      <c r="EJ74" s="12">
        <f>IF('Données projet'!$A$192&gt;35,EJ73+EI74-ER73,IF(A74&lt;'Données projet'!$A$192,$EG$205^A74,IF(A74='Données projet'!$A$192,'Données projet'!$B$192,EJ73+EI74-ER73)))</f>
        <v>620.70000000000027</v>
      </c>
      <c r="EK74" s="17">
        <f>EJ74*VLOOKUP('Données projet'!$B$15,Paramètres!$A$1:$I$89,3,0)*VLOOKUP('Données projet'!$B$15,Paramètres!$A$1:$I$89,5,0)</f>
        <v>298.55670000000015</v>
      </c>
      <c r="EL74" s="13">
        <f t="shared" si="99"/>
        <v>70.873807485886047</v>
      </c>
      <c r="EM74" s="20">
        <f t="shared" si="73"/>
        <v>643.42480053791849</v>
      </c>
      <c r="EN74" s="59">
        <f t="shared" si="74"/>
        <v>936.75813387125186</v>
      </c>
      <c r="EO74" s="59">
        <f ca="1">AVERAGE(OFFSET($EN$3,0,0,'Données projet'!$E$15+1,1))-AVERAGE(OFFSET($H$3,0,0,'Données projet'!$E$15+1,1))</f>
        <v>292.1792787220852</v>
      </c>
      <c r="EP74" s="59">
        <f t="shared" si="100"/>
        <v>273.69206144662144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2.9915909671017151</v>
      </c>
      <c r="EW74" s="21">
        <f>EXP(-LN(2)/25)*EW73+(1-EXP(-LN(2)/25))/(LN(2)/25)*Calculateur!ER74*Calculateur!ET74*VLOOKUP('Données projet'!$B$15,Paramètres!$A$1:$I$89,3,0)*0.475*44/12</f>
        <v>4.3069000738975456</v>
      </c>
      <c r="EX74" s="21">
        <f>EXP(-LN(2)/2)*EX73+(1-EXP(-LN(2)/2))/(LN(2)/2)*ER74*EU74*VLOOKUP('Données projet'!$B$15,Paramètres!$A$1:$I$89,3,0)*0.475*44/12</f>
        <v>1.4102526641453831E-5</v>
      </c>
      <c r="EY74" s="22">
        <f t="shared" si="75"/>
        <v>7.2985051435259027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396.99999999999989</v>
      </c>
      <c r="O75" s="13">
        <f>N75*VLOOKUP('Données projet'!$B$9,Paramètres!$A$1:$I$89,3,0)*VLOOKUP('Données projet'!$B$9,Paramètres!$A$1:$I$89,5,0)</f>
        <v>185.79599999999996</v>
      </c>
      <c r="P75" s="13">
        <f t="shared" si="87"/>
        <v>46.60930127448345</v>
      </c>
      <c r="Q75" s="20">
        <f t="shared" si="54"/>
        <v>404.77256638639187</v>
      </c>
      <c r="R75" s="59">
        <f t="shared" si="55"/>
        <v>698.10589971972513</v>
      </c>
      <c r="S75" s="59">
        <f ca="1">AVERAGE(OFFSET($R$3,0,0,'Données projet'!$E$9+1,1))-AVERAGE(OFFSET($H$3,0,0,'Données projet'!$E$9+1,1))</f>
        <v>215.23235148064941</v>
      </c>
      <c r="T75" s="59">
        <f t="shared" si="88"/>
        <v>184.07239726900434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1.3644058895813205</v>
      </c>
      <c r="AA75" s="21">
        <f>EXP(-LN(2)/25)*AA74+(1-EXP(-LN(2)/25))/(LN(2)/25)*Calculateur!V75*Calculateur!X75*VLOOKUP('Données projet'!$B$9,Paramètres!$A$1:$I$89,3,0)*0.475*44/12</f>
        <v>2.4515540322243532</v>
      </c>
      <c r="AB75" s="21">
        <f>EXP(-LN(2)/2)*AB74+(1-EXP(-LN(2)/2))/(LN(2)/2)*V75*Y75*VLOOKUP('Données projet'!$B$9,Paramètres!$A$1:$I$89,3,0)*0.475*44/12</f>
        <v>4.6883470918159446E-6</v>
      </c>
      <c r="AC75" s="22">
        <f t="shared" si="57"/>
        <v>3.8159646101527658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-8.5265128291212022E-14</v>
      </c>
      <c r="AJ75" s="13">
        <f>AI75*VLOOKUP('Données projet'!$B$10,Paramètres!$A$1:$I$89,3,0)*VLOOKUP('Données projet'!$B$10,Paramètres!$A$1:$I$89,5,0)</f>
        <v>-7.7147888077888636E-14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225.28075317732998</v>
      </c>
      <c r="AO75" s="59">
        <f t="shared" si="90"/>
        <v>358.43407531256207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0.97655057803962952</v>
      </c>
      <c r="AV75" s="21">
        <f>EXP(-LN(2)/25)*AV74+(1-EXP(-LN(2)/25))/(LN(2)/25)*Calculateur!AQ75*Calculateur!AS75*VLOOKUP('Données projet'!$B$10,Paramètres!$A$1:$I$89,3,0)*0.475*44/12</f>
        <v>2.5815652639915196</v>
      </c>
      <c r="AW75" s="21">
        <f>EXP(-LN(2)/2)*AW74+(1-EXP(-LN(2)/2))/(LN(2)/2)*AQ75*AT75*VLOOKUP('Données projet'!$B$10,Paramètres!$A$1:$I$89,3,0)*0.475*44/12</f>
        <v>2.104769284710657E-6</v>
      </c>
      <c r="AX75" s="21">
        <f t="shared" si="60"/>
        <v>3.5581179468004338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10.4</v>
      </c>
      <c r="BD75" s="12">
        <f>IF('Données projet'!$A$88&gt;35,BD74+BC75-BL74,IF(A75&lt;'Données projet'!$A$88,$BA$205^A75,IF(A75='Données projet'!$A$88,'Données projet'!$B$88,BD74+BC75-BL74)))</f>
        <v>567.79999999999961</v>
      </c>
      <c r="BE75" s="13">
        <f>BD75*VLOOKUP('Données projet'!$B$11,Paramètres!$A$1:$I$89,3,0)*VLOOKUP('Données projet'!$B$11,Paramètres!$A$1:$I$89,5,0)</f>
        <v>317.40019999999976</v>
      </c>
      <c r="BF75" s="13">
        <f t="shared" si="91"/>
        <v>74.812158158961168</v>
      </c>
      <c r="BG75" s="20">
        <f t="shared" si="61"/>
        <v>683.10319046019015</v>
      </c>
      <c r="BH75" s="59">
        <f t="shared" si="62"/>
        <v>976.43652379352352</v>
      </c>
      <c r="BI75" s="59">
        <f ca="1">AVERAGE(OFFSET($BH$3,0,0,'Données projet'!$E$11+1,1))-AVERAGE(OFFSET($H$3,0,0,'Données projet'!$E$11+1,1))</f>
        <v>326.31232746914907</v>
      </c>
      <c r="BJ75" s="59">
        <f t="shared" si="92"/>
        <v>330.17137761430297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1.9883135936285541</v>
      </c>
      <c r="BQ75" s="21">
        <f>EXP(-LN(2)/25)*BQ74+(1-EXP(-LN(2)/25))/(LN(2)/25)*Calculateur!BL75*Calculateur!BN75*VLOOKUP('Données projet'!$B$11,Paramètres!$A$1:$I$89,3,0)*0.475*44/12</f>
        <v>9.4164532685102831</v>
      </c>
      <c r="BR75" s="21">
        <f>EXP(-LN(2)/2)*BR74+(1-EXP(-LN(2)/2))/(LN(2)/2)*BL75*BO75*VLOOKUP('Données projet'!$B$11,Paramètres!$A$1:$I$89,3,0)*0.475*44/12</f>
        <v>1.5507740197389241E-5</v>
      </c>
      <c r="BS75" s="22">
        <f t="shared" si="63"/>
        <v>11.404782369879035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7.4</v>
      </c>
      <c r="BY75" s="12">
        <f>IF('Données projet'!$A$114&gt;35,BY74+BX75-CG74,IF(A75&lt;'Données projet'!$A$114,$BV$205^A75,IF(A75='Données projet'!$A$114,'Données projet'!$B$114,BY74+BX75-CG74)))</f>
        <v>373.80000000000018</v>
      </c>
      <c r="BZ75" s="13">
        <f>BY75*VLOOKUP('Données projet'!$B$12,Paramètres!$A$1:$I$89,3,0)*VLOOKUP('Données projet'!$B$12,Paramètres!$A$1:$I$89,5,0)</f>
        <v>204.09480000000011</v>
      </c>
      <c r="CA75" s="13">
        <f t="shared" si="93"/>
        <v>50.643016586252969</v>
      </c>
      <c r="CB75" s="20">
        <f t="shared" si="64"/>
        <v>443.66836388772407</v>
      </c>
      <c r="CC75" s="59">
        <f t="shared" si="65"/>
        <v>737.00169722105738</v>
      </c>
      <c r="CD75" s="59">
        <f ca="1">AVERAGE(OFFSET($CC$3,0,0,'Données projet'!$E$12+1,1))-AVERAGE(OFFSET($H$3,0,0,'Données projet'!$E$12+1,1))</f>
        <v>210.04871822652808</v>
      </c>
      <c r="CE75" s="59">
        <f t="shared" si="94"/>
        <v>250.17540614049324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3.1779388515500742</v>
      </c>
      <c r="CL75" s="21">
        <f>EXP(-LN(2)/25)*CL74+(1-EXP(-LN(2)/25))/(LN(2)/25)*Calculateur!CG75*Calculateur!CI75*VLOOKUP('Données projet'!$B$12,Paramètres!$A$1:$I$89,3,0)*0.475*44/12</f>
        <v>8.6854824912086972</v>
      </c>
      <c r="CM75" s="21">
        <f>EXP(-LN(2)/2)*CM74+(1-EXP(-LN(2)/2))/(LN(2)/2)*CG75*CJ75*VLOOKUP('Données projet'!$B$12,Paramètres!$A$1:$I$89,3,0)*0.475*44/12</f>
        <v>1.0277695053745123E-5</v>
      </c>
      <c r="CN75" s="22">
        <f t="shared" si="66"/>
        <v>11.863431620453825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3.1</v>
      </c>
      <c r="CT75" s="12">
        <f>IF('Données projet'!$A$140&gt;35,CT74+CS75-DB74,IF(A75&lt;'Données projet'!$A$140,$CQ$205^A75,IF(A75='Données projet'!$A$140,'Données projet'!$B$140,CT74+CS75-DB74)))</f>
        <v>259.19999999999987</v>
      </c>
      <c r="CU75" s="17">
        <f>CT75*VLOOKUP('Données projet'!$B$13,Paramètres!$A$1:$I$89,3,0)*VLOOKUP('Données projet'!$B$13,Paramètres!$A$1:$I$89,5,0)</f>
        <v>206.21951999999993</v>
      </c>
      <c r="CV75" s="13">
        <f t="shared" si="95"/>
        <v>51.10858428464028</v>
      </c>
      <c r="CW75" s="20">
        <f t="shared" si="67"/>
        <v>448.17978162908167</v>
      </c>
      <c r="CX75" s="59">
        <f t="shared" si="68"/>
        <v>741.51311496241499</v>
      </c>
      <c r="CY75" s="59">
        <f ca="1">AVERAGE(OFFSET($CX$3,0,0,'Données projet'!$E$13+1,1))-AVERAGE(OFFSET($H$3,0,0,'Données projet'!$E$13+1,1))</f>
        <v>199.58763537752952</v>
      </c>
      <c r="CZ75" s="59">
        <f t="shared" si="96"/>
        <v>242.62852778451929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3.2091384151008047</v>
      </c>
      <c r="DH75" s="21">
        <f>EXP(-LN(2)/2)*DH74+(1-EXP(-LN(2)/2))/(LN(2)/2)*DB75*DE75*VLOOKUP('Données projet'!$B$13,Paramètres!$A$1:$I$89,3,0)*0.475*44/12</f>
        <v>5.1315109220601177E-6</v>
      </c>
      <c r="DI75" s="22">
        <f t="shared" si="69"/>
        <v>3.2091435466117266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7.2</v>
      </c>
      <c r="DO75" s="12">
        <f>IF('Données projet'!$A$166&gt;35,DO74+DN75-DW74,IF(A75&lt;'Données projet'!$A$166,$DL$205^A75,IF(A75='Données projet'!$A$166,'Données projet'!$B$166,DO74+DN75-DW74)))</f>
        <v>392.39999999999964</v>
      </c>
      <c r="DP75" s="17">
        <f>DO75*VLOOKUP('Données projet'!$B$14,Paramètres!$A$1:$I$89,3,0)*VLOOKUP('Données projet'!$B$14,Paramètres!$A$1:$I$89,5,0)</f>
        <v>234.65519999999981</v>
      </c>
      <c r="DQ75" s="13">
        <f t="shared" si="97"/>
        <v>57.288067746850942</v>
      </c>
      <c r="DR75" s="20">
        <f t="shared" si="70"/>
        <v>508.46785799243179</v>
      </c>
      <c r="DS75" s="59">
        <f t="shared" si="71"/>
        <v>801.8011913257651</v>
      </c>
      <c r="DT75" s="59">
        <f ca="1">AVERAGE(OFFSET($DS$3,0,0,'Données projet'!$E$14+1,1))-AVERAGE(OFFSET($H$3,0,0,'Données projet'!$E$14+1,1))</f>
        <v>216.94426559495264</v>
      </c>
      <c r="DU75" s="59">
        <f t="shared" si="98"/>
        <v>225.33715877618704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4.0100320556656737</v>
      </c>
      <c r="EC75" s="21">
        <f>EXP(-LN(2)/2)*EC74+(1-EXP(-LN(2)/2))/(LN(2)/2)*DW75*DZ75*VLOOKUP('Données projet'!$B$14,Paramètres!$A$1:$I$89,3,0)*0.475*44/12</f>
        <v>1.1315040528211103E-5</v>
      </c>
      <c r="ED75" s="22">
        <f t="shared" si="72"/>
        <v>4.0100433707062022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14.7</v>
      </c>
      <c r="EJ75" s="12">
        <f>IF('Données projet'!$A$192&gt;35,EJ74+EI75-ER74,IF(A75&lt;'Données projet'!$A$192,$EG$205^A75,IF(A75='Données projet'!$A$192,'Données projet'!$B$192,EJ74+EI75-ER74)))</f>
        <v>635.40000000000032</v>
      </c>
      <c r="EK75" s="17">
        <f>EJ75*VLOOKUP('Données projet'!$B$15,Paramètres!$A$1:$I$89,3,0)*VLOOKUP('Données projet'!$B$15,Paramètres!$A$1:$I$89,5,0)</f>
        <v>305.62740000000019</v>
      </c>
      <c r="EL75" s="13">
        <f t="shared" si="99"/>
        <v>72.354903650746223</v>
      </c>
      <c r="EM75" s="20">
        <f t="shared" si="73"/>
        <v>658.31917885838322</v>
      </c>
      <c r="EN75" s="59">
        <f t="shared" si="74"/>
        <v>951.6525121917166</v>
      </c>
      <c r="EO75" s="59">
        <f ca="1">AVERAGE(OFFSET($EN$3,0,0,'Données projet'!$E$15+1,1))-AVERAGE(OFFSET($H$3,0,0,'Données projet'!$E$15+1,1))</f>
        <v>292.1792787220852</v>
      </c>
      <c r="EP75" s="59">
        <f t="shared" si="100"/>
        <v>273.69206144662144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2.932927692927167</v>
      </c>
      <c r="EW75" s="21">
        <f>EXP(-LN(2)/25)*EW74+(1-EXP(-LN(2)/25))/(LN(2)/25)*Calculateur!ER75*Calculateur!ET75*VLOOKUP('Données projet'!$B$15,Paramètres!$A$1:$I$89,3,0)*0.475*44/12</f>
        <v>4.1891276648867857</v>
      </c>
      <c r="EX75" s="21">
        <f>EXP(-LN(2)/2)*EX74+(1-EXP(-LN(2)/2))/(LN(2)/2)*ER75*EU75*VLOOKUP('Données projet'!$B$15,Paramètres!$A$1:$I$89,3,0)*0.475*44/12</f>
        <v>9.9719922200359512E-6</v>
      </c>
      <c r="EY75" s="22">
        <f t="shared" si="75"/>
        <v>7.1220653298061727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413.99999999999989</v>
      </c>
      <c r="O76" s="13">
        <f>N76*VLOOKUP('Données projet'!$B$9,Paramètres!$A$1:$I$89,3,0)*VLOOKUP('Données projet'!$B$9,Paramètres!$A$1:$I$89,5,0)</f>
        <v>193.75199999999995</v>
      </c>
      <c r="P76" s="13">
        <f t="shared" si="87"/>
        <v>48.36852035537607</v>
      </c>
      <c r="Q76" s="20">
        <f t="shared" si="54"/>
        <v>421.69323961894656</v>
      </c>
      <c r="R76" s="59">
        <f t="shared" si="55"/>
        <v>715.02657295227982</v>
      </c>
      <c r="S76" s="59">
        <f ca="1">AVERAGE(OFFSET($R$3,0,0,'Données projet'!$E$9+1,1))-AVERAGE(OFFSET($H$3,0,0,'Données projet'!$E$9+1,1))</f>
        <v>215.23235148064941</v>
      </c>
      <c r="T76" s="59">
        <f t="shared" si="88"/>
        <v>184.07239726900434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1.33765072229205</v>
      </c>
      <c r="AA76" s="21">
        <f>EXP(-LN(2)/25)*AA75+(1-EXP(-LN(2)/25))/(LN(2)/25)*Calculateur!V76*Calculateur!X76*VLOOKUP('Données projet'!$B$9,Paramètres!$A$1:$I$89,3,0)*0.475*44/12</f>
        <v>2.3845161582915546</v>
      </c>
      <c r="AB76" s="21">
        <f>EXP(-LN(2)/2)*AB75+(1-EXP(-LN(2)/2))/(LN(2)/2)*V76*Y76*VLOOKUP('Données projet'!$B$9,Paramètres!$A$1:$I$89,3,0)*0.475*44/12</f>
        <v>3.3151620211792836E-6</v>
      </c>
      <c r="AC76" s="22">
        <f t="shared" si="57"/>
        <v>3.7221701957456261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-8.5265128291212022E-14</v>
      </c>
      <c r="AJ76" s="13">
        <f>AI76*VLOOKUP('Données projet'!$B$10,Paramètres!$A$1:$I$89,3,0)*VLOOKUP('Données projet'!$B$10,Paramètres!$A$1:$I$89,5,0)</f>
        <v>-7.7147888077888636E-14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225.28075317732998</v>
      </c>
      <c r="AO76" s="59">
        <f t="shared" si="90"/>
        <v>358.43407531256207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0.95740101684131074</v>
      </c>
      <c r="AV76" s="21">
        <f>EXP(-LN(2)/25)*AV75+(1-EXP(-LN(2)/25))/(LN(2)/25)*Calculateur!AQ76*Calculateur!AS76*VLOOKUP('Données projet'!$B$10,Paramètres!$A$1:$I$89,3,0)*0.475*44/12</f>
        <v>2.5109722260890543</v>
      </c>
      <c r="AW76" s="21">
        <f>EXP(-LN(2)/2)*AW75+(1-EXP(-LN(2)/2))/(LN(2)/2)*AQ76*AT76*VLOOKUP('Données projet'!$B$10,Paramètres!$A$1:$I$89,3,0)*0.475*44/12</f>
        <v>1.4882966340520647E-6</v>
      </c>
      <c r="AX76" s="21">
        <f t="shared" si="60"/>
        <v>3.4683747312269992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10.4</v>
      </c>
      <c r="BD76" s="12">
        <f>IF('Données projet'!$A$88&gt;35,BD75+BC76-BL75,IF(A76&lt;'Données projet'!$A$88,$BA$205^A76,IF(A76='Données projet'!$A$88,'Données projet'!$B$88,BD75+BC76-BL75)))</f>
        <v>578.19999999999959</v>
      </c>
      <c r="BE76" s="13">
        <f>BD76*VLOOKUP('Données projet'!$B$11,Paramètres!$A$1:$I$89,3,0)*VLOOKUP('Données projet'!$B$11,Paramètres!$A$1:$I$89,5,0)</f>
        <v>323.21379999999982</v>
      </c>
      <c r="BF76" s="13">
        <f t="shared" si="91"/>
        <v>76.021657849237485</v>
      </c>
      <c r="BG76" s="20">
        <f t="shared" si="61"/>
        <v>695.33508908742158</v>
      </c>
      <c r="BH76" s="59">
        <f t="shared" si="62"/>
        <v>988.66842242075495</v>
      </c>
      <c r="BI76" s="59">
        <f ca="1">AVERAGE(OFFSET($BH$3,0,0,'Données projet'!$E$11+1,1))-AVERAGE(OFFSET($H$3,0,0,'Données projet'!$E$11+1,1))</f>
        <v>326.31232746914907</v>
      </c>
      <c r="BJ76" s="59">
        <f t="shared" si="92"/>
        <v>330.17137761430297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1.9493239768090409</v>
      </c>
      <c r="BQ76" s="21">
        <f>EXP(-LN(2)/25)*BQ75+(1-EXP(-LN(2)/25))/(LN(2)/25)*Calculateur!BL76*Calculateur!BN76*VLOOKUP('Données projet'!$B$11,Paramètres!$A$1:$I$89,3,0)*0.475*44/12</f>
        <v>9.1589598586931142</v>
      </c>
      <c r="BR76" s="21">
        <f>EXP(-LN(2)/2)*BR75+(1-EXP(-LN(2)/2))/(LN(2)/2)*BL76*BO76*VLOOKUP('Données projet'!$B$11,Paramètres!$A$1:$I$89,3,0)*0.475*44/12</f>
        <v>1.0965628254453141E-5</v>
      </c>
      <c r="BS76" s="22">
        <f t="shared" si="63"/>
        <v>11.108294801130409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7.4</v>
      </c>
      <c r="BY76" s="12">
        <f>IF('Données projet'!$A$114&gt;35,BY75+BX76-CG75,IF(A76&lt;'Données projet'!$A$114,$BV$205^A76,IF(A76='Données projet'!$A$114,'Données projet'!$B$114,BY75+BX76-CG75)))</f>
        <v>381.20000000000016</v>
      </c>
      <c r="BZ76" s="13">
        <f>BY76*VLOOKUP('Données projet'!$B$12,Paramètres!$A$1:$I$89,3,0)*VLOOKUP('Données projet'!$B$12,Paramètres!$A$1:$I$89,5,0)</f>
        <v>208.13520000000011</v>
      </c>
      <c r="CA76" s="13">
        <f t="shared" si="93"/>
        <v>51.527868675898425</v>
      </c>
      <c r="CB76" s="20">
        <f t="shared" si="64"/>
        <v>452.24651127718994</v>
      </c>
      <c r="CC76" s="59">
        <f t="shared" si="65"/>
        <v>745.5798446105232</v>
      </c>
      <c r="CD76" s="59">
        <f ca="1">AVERAGE(OFFSET($CC$3,0,0,'Données projet'!$E$12+1,1))-AVERAGE(OFFSET($H$3,0,0,'Données projet'!$E$12+1,1))</f>
        <v>210.04871822652808</v>
      </c>
      <c r="CE76" s="59">
        <f t="shared" si="94"/>
        <v>250.17540614049324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3.1156214090224803</v>
      </c>
      <c r="CL76" s="21">
        <f>EXP(-LN(2)/25)*CL75+(1-EXP(-LN(2)/25))/(LN(2)/25)*Calculateur!CG76*Calculateur!CI76*VLOOKUP('Données projet'!$B$12,Paramètres!$A$1:$I$89,3,0)*0.475*44/12</f>
        <v>8.4479775157369215</v>
      </c>
      <c r="CM76" s="21">
        <f>EXP(-LN(2)/2)*CM75+(1-EXP(-LN(2)/2))/(LN(2)/2)*CG76*CJ76*VLOOKUP('Données projet'!$B$12,Paramètres!$A$1:$I$89,3,0)*0.475*44/12</f>
        <v>7.2674278674706145E-6</v>
      </c>
      <c r="CN76" s="22">
        <f t="shared" si="66"/>
        <v>11.563606192187269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3.1</v>
      </c>
      <c r="CT76" s="12">
        <f>IF('Données projet'!$A$140&gt;35,CT75+CS76-DB75,IF(A76&lt;'Données projet'!$A$140,$CQ$205^A76,IF(A76='Données projet'!$A$140,'Données projet'!$B$140,CT75+CS76-DB75)))</f>
        <v>262.2999999999999</v>
      </c>
      <c r="CU76" s="17">
        <f>CT76*VLOOKUP('Données projet'!$B$13,Paramètres!$A$1:$I$89,3,0)*VLOOKUP('Données projet'!$B$13,Paramètres!$A$1:$I$89,5,0)</f>
        <v>208.68587999999991</v>
      </c>
      <c r="CV76" s="13">
        <f t="shared" si="95"/>
        <v>51.648312584769947</v>
      </c>
      <c r="CW76" s="20">
        <f t="shared" si="67"/>
        <v>453.41538541847422</v>
      </c>
      <c r="CX76" s="59">
        <f t="shared" si="68"/>
        <v>746.74871875180747</v>
      </c>
      <c r="CY76" s="59">
        <f ca="1">AVERAGE(OFFSET($CX$3,0,0,'Données projet'!$E$13+1,1))-AVERAGE(OFFSET($H$3,0,0,'Données projet'!$E$13+1,1))</f>
        <v>199.58763537752952</v>
      </c>
      <c r="CZ76" s="59">
        <f t="shared" si="96"/>
        <v>242.62852778451929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3.1213843563786186</v>
      </c>
      <c r="DH76" s="21">
        <f>EXP(-LN(2)/2)*DH75+(1-EXP(-LN(2)/2))/(LN(2)/2)*DB76*DE76*VLOOKUP('Données projet'!$B$13,Paramètres!$A$1:$I$89,3,0)*0.475*44/12</f>
        <v>3.6285261707215424E-6</v>
      </c>
      <c r="DI76" s="22">
        <f t="shared" si="69"/>
        <v>3.1213879849047892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7.2</v>
      </c>
      <c r="DO76" s="12">
        <f>IF('Données projet'!$A$166&gt;35,DO75+DN76-DW75,IF(A76&lt;'Données projet'!$A$166,$DL$205^A76,IF(A76='Données projet'!$A$166,'Données projet'!$B$166,DO75+DN76-DW75)))</f>
        <v>399.59999999999962</v>
      </c>
      <c r="DP76" s="17">
        <f>DO76*VLOOKUP('Données projet'!$B$14,Paramètres!$A$1:$I$89,3,0)*VLOOKUP('Données projet'!$B$14,Paramètres!$A$1:$I$89,5,0)</f>
        <v>238.96079999999978</v>
      </c>
      <c r="DQ76" s="13">
        <f t="shared" si="97"/>
        <v>58.215885103108292</v>
      </c>
      <c r="DR76" s="20">
        <f t="shared" si="70"/>
        <v>517.58272655457984</v>
      </c>
      <c r="DS76" s="59">
        <f t="shared" si="71"/>
        <v>810.91605988791321</v>
      </c>
      <c r="DT76" s="59">
        <f ca="1">AVERAGE(OFFSET($DS$3,0,0,'Données projet'!$E$14+1,1))-AVERAGE(OFFSET($H$3,0,0,'Données projet'!$E$14+1,1))</f>
        <v>216.94426559495264</v>
      </c>
      <c r="DU76" s="59">
        <f t="shared" si="98"/>
        <v>225.33715877618704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3.9003775182250751</v>
      </c>
      <c r="EC76" s="21">
        <f>EXP(-LN(2)/2)*EC75+(1-EXP(-LN(2)/2))/(LN(2)/2)*DW76*DZ76*VLOOKUP('Données projet'!$B$14,Paramètres!$A$1:$I$89,3,0)*0.475*44/12</f>
        <v>8.0009418868986855E-6</v>
      </c>
      <c r="ED76" s="22">
        <f t="shared" si="72"/>
        <v>3.9003855191669619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14.7</v>
      </c>
      <c r="EJ76" s="12">
        <f>IF('Données projet'!$A$192&gt;35,EJ75+EI76-ER75,IF(A76&lt;'Données projet'!$A$192,$EG$205^A76,IF(A76='Données projet'!$A$192,'Données projet'!$B$192,EJ75+EI76-ER75)))</f>
        <v>650.10000000000036</v>
      </c>
      <c r="EK76" s="17">
        <f>EJ76*VLOOKUP('Données projet'!$B$15,Paramètres!$A$1:$I$89,3,0)*VLOOKUP('Données projet'!$B$15,Paramètres!$A$1:$I$89,5,0)</f>
        <v>312.69810000000018</v>
      </c>
      <c r="EL76" s="13">
        <f t="shared" si="99"/>
        <v>73.832016335235011</v>
      </c>
      <c r="EM76" s="20">
        <f t="shared" si="73"/>
        <v>673.20661928386801</v>
      </c>
      <c r="EN76" s="59">
        <f t="shared" si="74"/>
        <v>966.53995261720138</v>
      </c>
      <c r="EO76" s="59">
        <f ca="1">AVERAGE(OFFSET($EN$3,0,0,'Données projet'!$E$15+1,1))-AVERAGE(OFFSET($H$3,0,0,'Données projet'!$E$15+1,1))</f>
        <v>292.1792787220852</v>
      </c>
      <c r="EP76" s="59">
        <f t="shared" si="100"/>
        <v>273.69206144662144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2.8754147697781178</v>
      </c>
      <c r="EW76" s="21">
        <f>EXP(-LN(2)/25)*EW75+(1-EXP(-LN(2)/25))/(LN(2)/25)*Calculateur!ER76*Calculateur!ET76*VLOOKUP('Données projet'!$B$15,Paramètres!$A$1:$I$89,3,0)*0.475*44/12</f>
        <v>4.0745757485938068</v>
      </c>
      <c r="EX76" s="21">
        <f>EXP(-LN(2)/2)*EX75+(1-EXP(-LN(2)/2))/(LN(2)/2)*ER76*EU76*VLOOKUP('Données projet'!$B$15,Paramètres!$A$1:$I$89,3,0)*0.475*44/12</f>
        <v>7.0512633207269157E-6</v>
      </c>
      <c r="EY76" s="22">
        <f t="shared" si="75"/>
        <v>6.9499975696352454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430.99999999999989</v>
      </c>
      <c r="O77" s="13">
        <f>N77*VLOOKUP('Données projet'!$B$9,Paramètres!$A$1:$I$89,3,0)*VLOOKUP('Données projet'!$B$9,Paramètres!$A$1:$I$89,5,0)</f>
        <v>201.70799999999994</v>
      </c>
      <c r="P77" s="13">
        <f t="shared" si="87"/>
        <v>50.119348451854243</v>
      </c>
      <c r="Q77" s="20">
        <f t="shared" si="54"/>
        <v>438.59929855364607</v>
      </c>
      <c r="R77" s="59">
        <f t="shared" si="55"/>
        <v>731.93263188697938</v>
      </c>
      <c r="S77" s="59">
        <f ca="1">AVERAGE(OFFSET($R$3,0,0,'Données projet'!$E$9+1,1))-AVERAGE(OFFSET($H$3,0,0,'Données projet'!$E$9+1,1))</f>
        <v>215.23235148064941</v>
      </c>
      <c r="T77" s="59">
        <f t="shared" si="88"/>
        <v>184.07239726900434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1.3114202075142813</v>
      </c>
      <c r="AA77" s="21">
        <f>EXP(-LN(2)/25)*AA76+(1-EXP(-LN(2)/25))/(LN(2)/25)*Calculateur!V77*Calculateur!X77*VLOOKUP('Données projet'!$B$9,Paramètres!$A$1:$I$89,3,0)*0.475*44/12</f>
        <v>2.319311438546817</v>
      </c>
      <c r="AB77" s="21">
        <f>EXP(-LN(2)/2)*AB76+(1-EXP(-LN(2)/2))/(LN(2)/2)*V77*Y77*VLOOKUP('Données projet'!$B$9,Paramètres!$A$1:$I$89,3,0)*0.475*44/12</f>
        <v>2.3441735459079723E-6</v>
      </c>
      <c r="AC77" s="22">
        <f t="shared" si="57"/>
        <v>3.6307339902346443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-8.5265128291212022E-14</v>
      </c>
      <c r="AJ77" s="13">
        <f>AI77*VLOOKUP('Données projet'!$B$10,Paramètres!$A$1:$I$89,3,0)*VLOOKUP('Données projet'!$B$10,Paramètres!$A$1:$I$89,5,0)</f>
        <v>-7.7147888077888636E-14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225.28075317732998</v>
      </c>
      <c r="AO77" s="59">
        <f t="shared" si="90"/>
        <v>358.43407531256207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0.93862696685801195</v>
      </c>
      <c r="AV77" s="21">
        <f>EXP(-LN(2)/25)*AV76+(1-EXP(-LN(2)/25))/(LN(2)/25)*Calculateur!AQ77*Calculateur!AS77*VLOOKUP('Données projet'!$B$10,Paramètres!$A$1:$I$89,3,0)*0.475*44/12</f>
        <v>2.4423095585203587</v>
      </c>
      <c r="AW77" s="21">
        <f>EXP(-LN(2)/2)*AW76+(1-EXP(-LN(2)/2))/(LN(2)/2)*AQ77*AT77*VLOOKUP('Données projet'!$B$10,Paramètres!$A$1:$I$89,3,0)*0.475*44/12</f>
        <v>1.0523846423553285E-6</v>
      </c>
      <c r="AX77" s="21">
        <f t="shared" si="60"/>
        <v>3.3809375777630133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10.4</v>
      </c>
      <c r="BD77" s="12">
        <f>IF('Données projet'!$A$88&gt;35,BD76+BC77-BL76,IF(A77&lt;'Données projet'!$A$88,$BA$205^A77,IF(A77='Données projet'!$A$88,'Données projet'!$B$88,BD76+BC77-BL76)))</f>
        <v>588.59999999999957</v>
      </c>
      <c r="BE77" s="13">
        <f>BD77*VLOOKUP('Données projet'!$B$11,Paramètres!$A$1:$I$89,3,0)*VLOOKUP('Données projet'!$B$11,Paramètres!$A$1:$I$89,5,0)</f>
        <v>329.02739999999977</v>
      </c>
      <c r="BF77" s="13">
        <f t="shared" si="91"/>
        <v>77.228627751120342</v>
      </c>
      <c r="BG77" s="20">
        <f t="shared" si="61"/>
        <v>707.56258166653413</v>
      </c>
      <c r="BH77" s="59">
        <f t="shared" si="62"/>
        <v>1000.8959149998675</v>
      </c>
      <c r="BI77" s="59">
        <f ca="1">AVERAGE(OFFSET($BH$3,0,0,'Données projet'!$E$11+1,1))-AVERAGE(OFFSET($H$3,0,0,'Données projet'!$E$11+1,1))</f>
        <v>326.31232746914907</v>
      </c>
      <c r="BJ77" s="59">
        <f t="shared" si="92"/>
        <v>330.17137761430297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1.9110989225940405</v>
      </c>
      <c r="BQ77" s="21">
        <f>EXP(-LN(2)/25)*BQ76+(1-EXP(-LN(2)/25))/(LN(2)/25)*Calculateur!BL77*Calculateur!BN77*VLOOKUP('Données projet'!$B$11,Paramètres!$A$1:$I$89,3,0)*0.475*44/12</f>
        <v>8.9085076197083843</v>
      </c>
      <c r="BR77" s="21">
        <f>EXP(-LN(2)/2)*BR76+(1-EXP(-LN(2)/2))/(LN(2)/2)*BL77*BO77*VLOOKUP('Données projet'!$B$11,Paramètres!$A$1:$I$89,3,0)*0.475*44/12</f>
        <v>7.7538700986946205E-6</v>
      </c>
      <c r="BS77" s="22">
        <f t="shared" si="63"/>
        <v>10.819614296172524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7.4</v>
      </c>
      <c r="BY77" s="12">
        <f>IF('Données projet'!$A$114&gt;35,BY76+BX77-CG76,IF(A77&lt;'Données projet'!$A$114,$BV$205^A77,IF(A77='Données projet'!$A$114,'Données projet'!$B$114,BY76+BX77-CG76)))</f>
        <v>388.60000000000014</v>
      </c>
      <c r="BZ77" s="13">
        <f>BY77*VLOOKUP('Données projet'!$B$12,Paramètres!$A$1:$I$89,3,0)*VLOOKUP('Données projet'!$B$12,Paramètres!$A$1:$I$89,5,0)</f>
        <v>212.17560000000006</v>
      </c>
      <c r="CA77" s="13">
        <f t="shared" si="93"/>
        <v>52.410723477279205</v>
      </c>
      <c r="CB77" s="20">
        <f t="shared" si="64"/>
        <v>460.82118005626143</v>
      </c>
      <c r="CC77" s="59">
        <f t="shared" si="65"/>
        <v>754.15451338959474</v>
      </c>
      <c r="CD77" s="59">
        <f ca="1">AVERAGE(OFFSET($CC$3,0,0,'Données projet'!$E$12+1,1))-AVERAGE(OFFSET($H$3,0,0,'Données projet'!$E$12+1,1))</f>
        <v>210.04871822652808</v>
      </c>
      <c r="CE77" s="59">
        <f t="shared" si="94"/>
        <v>250.17540614049324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3.0545259735329657</v>
      </c>
      <c r="CL77" s="21">
        <f>EXP(-LN(2)/25)*CL76+(1-EXP(-LN(2)/25))/(LN(2)/25)*Calculateur!CG77*Calculateur!CI77*VLOOKUP('Données projet'!$B$12,Paramètres!$A$1:$I$89,3,0)*0.475*44/12</f>
        <v>8.2169671263092656</v>
      </c>
      <c r="CM77" s="21">
        <f>EXP(-LN(2)/2)*CM76+(1-EXP(-LN(2)/2))/(LN(2)/2)*CG77*CJ77*VLOOKUP('Données projet'!$B$12,Paramètres!$A$1:$I$89,3,0)*0.475*44/12</f>
        <v>5.1388475268725622E-6</v>
      </c>
      <c r="CN77" s="22">
        <f t="shared" si="66"/>
        <v>11.271498238689759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3.1</v>
      </c>
      <c r="CT77" s="12">
        <f>IF('Données projet'!$A$140&gt;35,CT76+CS77-DB76,IF(A77&lt;'Données projet'!$A$140,$CQ$205^A77,IF(A77='Données projet'!$A$140,'Données projet'!$B$140,CT76+CS77-DB76)))</f>
        <v>265.39999999999992</v>
      </c>
      <c r="CU77" s="17">
        <f>CT77*VLOOKUP('Données projet'!$B$13,Paramètres!$A$1:$I$89,3,0)*VLOOKUP('Données projet'!$B$13,Paramètres!$A$1:$I$89,5,0)</f>
        <v>211.15223999999995</v>
      </c>
      <c r="CV77" s="13">
        <f t="shared" si="95"/>
        <v>52.187298885462759</v>
      </c>
      <c r="CW77" s="20">
        <f t="shared" si="67"/>
        <v>458.64969689218088</v>
      </c>
      <c r="CX77" s="59">
        <f t="shared" si="68"/>
        <v>751.9830302255142</v>
      </c>
      <c r="CY77" s="59">
        <f ca="1">AVERAGE(OFFSET($CX$3,0,0,'Données projet'!$E$13+1,1))-AVERAGE(OFFSET($H$3,0,0,'Données projet'!$E$13+1,1))</f>
        <v>199.58763537752952</v>
      </c>
      <c r="CZ77" s="59">
        <f t="shared" si="96"/>
        <v>242.62852778451929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3.0360299370069761</v>
      </c>
      <c r="DH77" s="21">
        <f>EXP(-LN(2)/2)*DH76+(1-EXP(-LN(2)/2))/(LN(2)/2)*DB77*DE77*VLOOKUP('Données projet'!$B$13,Paramètres!$A$1:$I$89,3,0)*0.475*44/12</f>
        <v>2.5657554610300588E-6</v>
      </c>
      <c r="DI77" s="22">
        <f t="shared" si="69"/>
        <v>3.0360325027624371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7.2</v>
      </c>
      <c r="DO77" s="12">
        <f>IF('Données projet'!$A$166&gt;35,DO76+DN77-DW76,IF(A77&lt;'Données projet'!$A$166,$DL$205^A77,IF(A77='Données projet'!$A$166,'Données projet'!$B$166,DO76+DN77-DW76)))</f>
        <v>406.79999999999961</v>
      </c>
      <c r="DP77" s="17">
        <f>DO77*VLOOKUP('Données projet'!$B$14,Paramètres!$A$1:$I$89,3,0)*VLOOKUP('Données projet'!$B$14,Paramètres!$A$1:$I$89,5,0)</f>
        <v>243.26639999999981</v>
      </c>
      <c r="DQ77" s="13">
        <f t="shared" si="97"/>
        <v>59.141758478481755</v>
      </c>
      <c r="DR77" s="20">
        <f t="shared" si="70"/>
        <v>526.69420935002211</v>
      </c>
      <c r="DS77" s="59">
        <f t="shared" si="71"/>
        <v>820.02754268335548</v>
      </c>
      <c r="DT77" s="59">
        <f ca="1">AVERAGE(OFFSET($DS$3,0,0,'Données projet'!$E$14+1,1))-AVERAGE(OFFSET($H$3,0,0,'Données projet'!$E$14+1,1))</f>
        <v>216.94426559495264</v>
      </c>
      <c r="DU77" s="59">
        <f t="shared" si="98"/>
        <v>225.33715877618704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3.7937214898772713</v>
      </c>
      <c r="EC77" s="21">
        <f>EXP(-LN(2)/2)*EC76+(1-EXP(-LN(2)/2))/(LN(2)/2)*DW77*DZ77*VLOOKUP('Données projet'!$B$14,Paramètres!$A$1:$I$89,3,0)*0.475*44/12</f>
        <v>5.6575202641055516E-6</v>
      </c>
      <c r="ED77" s="22">
        <f t="shared" si="72"/>
        <v>3.7937271473975356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14.7</v>
      </c>
      <c r="EJ77" s="12">
        <f>IF('Données projet'!$A$192&gt;35,EJ76+EI77-ER76,IF(A77&lt;'Données projet'!$A$192,$EG$205^A77,IF(A77='Données projet'!$A$192,'Données projet'!$B$192,EJ76+EI77-ER76)))</f>
        <v>664.80000000000041</v>
      </c>
      <c r="EK77" s="17">
        <f>EJ77*VLOOKUP('Données projet'!$B$15,Paramètres!$A$1:$I$89,3,0)*VLOOKUP('Données projet'!$B$15,Paramètres!$A$1:$I$89,5,0)</f>
        <v>319.76880000000017</v>
      </c>
      <c r="EL77" s="13">
        <f t="shared" si="99"/>
        <v>75.305245983134625</v>
      </c>
      <c r="EM77" s="20">
        <f t="shared" si="73"/>
        <v>688.08729675395978</v>
      </c>
      <c r="EN77" s="59">
        <f t="shared" si="74"/>
        <v>981.42063008729315</v>
      </c>
      <c r="EO77" s="59">
        <f ca="1">AVERAGE(OFFSET($EN$3,0,0,'Données projet'!$E$15+1,1))-AVERAGE(OFFSET($H$3,0,0,'Données projet'!$E$15+1,1))</f>
        <v>292.1792787220852</v>
      </c>
      <c r="EP77" s="59">
        <f t="shared" si="100"/>
        <v>273.69206144662144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2.819029639972602</v>
      </c>
      <c r="EW77" s="21">
        <f>EXP(-LN(2)/25)*EW76+(1-EXP(-LN(2)/25))/(LN(2)/25)*Calculateur!ER77*Calculateur!ET77*VLOOKUP('Données projet'!$B$15,Paramètres!$A$1:$I$89,3,0)*0.475*44/12</f>
        <v>3.9631562604758832</v>
      </c>
      <c r="EX77" s="21">
        <f>EXP(-LN(2)/2)*EX76+(1-EXP(-LN(2)/2))/(LN(2)/2)*ER77*EU77*VLOOKUP('Données projet'!$B$15,Paramètres!$A$1:$I$89,3,0)*0.475*44/12</f>
        <v>4.9859961100179756E-6</v>
      </c>
      <c r="EY77" s="22">
        <f t="shared" si="75"/>
        <v>6.7821908864445959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447.99999999999989</v>
      </c>
      <c r="O78" s="13">
        <f>N78*VLOOKUP('Données projet'!$B$9,Paramètres!$A$1:$I$89,3,0)*VLOOKUP('Données projet'!$B$9,Paramètres!$A$1:$I$89,5,0)</f>
        <v>209.66399999999993</v>
      </c>
      <c r="P78" s="13">
        <f t="shared" si="87"/>
        <v>51.862154403304487</v>
      </c>
      <c r="Q78" s="20">
        <f t="shared" si="54"/>
        <v>455.49138558575515</v>
      </c>
      <c r="R78" s="59">
        <f t="shared" si="55"/>
        <v>748.82471891908847</v>
      </c>
      <c r="S78" s="59">
        <f ca="1">AVERAGE(OFFSET($R$3,0,0,'Données projet'!$E$9+1,1))-AVERAGE(OFFSET($H$3,0,0,'Données projet'!$E$9+1,1))</f>
        <v>215.23235148064941</v>
      </c>
      <c r="T78" s="59">
        <f t="shared" si="88"/>
        <v>184.07239726900434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1.2857040571322707</v>
      </c>
      <c r="AA78" s="21">
        <f>EXP(-LN(2)/25)*AA77+(1-EXP(-LN(2)/25))/(LN(2)/25)*Calculateur!V78*Calculateur!X78*VLOOKUP('Données projet'!$B$9,Paramètres!$A$1:$I$89,3,0)*0.475*44/12</f>
        <v>2.2558897452924667</v>
      </c>
      <c r="AB78" s="21">
        <f>EXP(-LN(2)/2)*AB77+(1-EXP(-LN(2)/2))/(LN(2)/2)*V78*Y78*VLOOKUP('Données projet'!$B$9,Paramètres!$A$1:$I$89,3,0)*0.475*44/12</f>
        <v>1.6575810105896418E-6</v>
      </c>
      <c r="AC78" s="22">
        <f t="shared" si="57"/>
        <v>3.5415954600057478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-8.5265128291212022E-14</v>
      </c>
      <c r="AJ78" s="13">
        <f>AI78*VLOOKUP('Données projet'!$B$10,Paramètres!$A$1:$I$89,3,0)*VLOOKUP('Données projet'!$B$10,Paramètres!$A$1:$I$89,5,0)</f>
        <v>-7.7147888077888636E-14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225.28075317732998</v>
      </c>
      <c r="AO78" s="59">
        <f t="shared" si="90"/>
        <v>358.43407531256207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0.92022106454384589</v>
      </c>
      <c r="AV78" s="21">
        <f>EXP(-LN(2)/25)*AV77+(1-EXP(-LN(2)/25))/(LN(2)/25)*Calculateur!AQ78*Calculateur!AS78*VLOOKUP('Données projet'!$B$10,Paramètres!$A$1:$I$89,3,0)*0.475*44/12</f>
        <v>2.3755244752071416</v>
      </c>
      <c r="AW78" s="21">
        <f>EXP(-LN(2)/2)*AW77+(1-EXP(-LN(2)/2))/(LN(2)/2)*AQ78*AT78*VLOOKUP('Données projet'!$B$10,Paramètres!$A$1:$I$89,3,0)*0.475*44/12</f>
        <v>7.4414831702603233E-7</v>
      </c>
      <c r="AX78" s="21">
        <f t="shared" si="60"/>
        <v>3.2957462838993048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10.4</v>
      </c>
      <c r="BD78" s="12">
        <f>IF('Données projet'!$A$88&gt;35,BD77+BC78-BL77,IF(A78&lt;'Données projet'!$A$88,$BA$205^A78,IF(A78='Données projet'!$A$88,'Données projet'!$B$88,BD77+BC78-BL77)))</f>
        <v>598.99999999999955</v>
      </c>
      <c r="BE78" s="13">
        <f>BD78*VLOOKUP('Données projet'!$B$11,Paramètres!$A$1:$I$89,3,0)*VLOOKUP('Données projet'!$B$11,Paramètres!$A$1:$I$89,5,0)</f>
        <v>334.84099999999978</v>
      </c>
      <c r="BF78" s="13">
        <f t="shared" si="91"/>
        <v>78.433117720461652</v>
      </c>
      <c r="BG78" s="20">
        <f t="shared" si="61"/>
        <v>719.78575502980368</v>
      </c>
      <c r="BH78" s="59">
        <f t="shared" si="62"/>
        <v>1013.1190883631371</v>
      </c>
      <c r="BI78" s="59">
        <f ca="1">AVERAGE(OFFSET($BH$3,0,0,'Données projet'!$E$11+1,1))-AVERAGE(OFFSET($H$3,0,0,'Données projet'!$E$11+1,1))</f>
        <v>326.31232746914907</v>
      </c>
      <c r="BJ78" s="59">
        <f t="shared" si="92"/>
        <v>330.17137761430297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1.8736234383772152</v>
      </c>
      <c r="BQ78" s="21">
        <f>EXP(-LN(2)/25)*BQ77+(1-EXP(-LN(2)/25))/(LN(2)/25)*Calculateur!BL78*Calculateur!BN78*VLOOKUP('Données projet'!$B$11,Paramètres!$A$1:$I$89,3,0)*0.475*44/12</f>
        <v>8.6649040103694031</v>
      </c>
      <c r="BR78" s="21">
        <f>EXP(-LN(2)/2)*BR77+(1-EXP(-LN(2)/2))/(LN(2)/2)*BL78*BO78*VLOOKUP('Données projet'!$B$11,Paramètres!$A$1:$I$89,3,0)*0.475*44/12</f>
        <v>5.4828141272265707E-6</v>
      </c>
      <c r="BS78" s="22">
        <f t="shared" si="63"/>
        <v>10.538532931560747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7.4</v>
      </c>
      <c r="BY78" s="12">
        <f>IF('Données projet'!$A$114&gt;35,BY77+BX78-CG77,IF(A78&lt;'Données projet'!$A$114,$BV$205^A78,IF(A78='Données projet'!$A$114,'Données projet'!$B$114,BY77+BX78-CG77)))</f>
        <v>396.00000000000011</v>
      </c>
      <c r="BZ78" s="13">
        <f>BY78*VLOOKUP('Données projet'!$B$12,Paramètres!$A$1:$I$89,3,0)*VLOOKUP('Données projet'!$B$12,Paramètres!$A$1:$I$89,5,0)</f>
        <v>216.21600000000007</v>
      </c>
      <c r="CA78" s="13">
        <f t="shared" si="93"/>
        <v>53.291623409473033</v>
      </c>
      <c r="CB78" s="20">
        <f t="shared" si="64"/>
        <v>469.39244410483235</v>
      </c>
      <c r="CC78" s="59">
        <f t="shared" si="65"/>
        <v>762.72577743816566</v>
      </c>
      <c r="CD78" s="59">
        <f ca="1">AVERAGE(OFFSET($CC$3,0,0,'Données projet'!$E$12+1,1))-AVERAGE(OFFSET($H$3,0,0,'Données projet'!$E$12+1,1))</f>
        <v>210.04871822652808</v>
      </c>
      <c r="CE78" s="59">
        <f t="shared" si="94"/>
        <v>250.17540614049324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2.9946285822688647</v>
      </c>
      <c r="CL78" s="21">
        <f>EXP(-LN(2)/25)*CL77+(1-EXP(-LN(2)/25))/(LN(2)/25)*Calculateur!CG78*Calculateur!CI78*VLOOKUP('Données projet'!$B$12,Paramètres!$A$1:$I$89,3,0)*0.475*44/12</f>
        <v>7.9922737281288176</v>
      </c>
      <c r="CM78" s="21">
        <f>EXP(-LN(2)/2)*CM77+(1-EXP(-LN(2)/2))/(LN(2)/2)*CG78*CJ78*VLOOKUP('Données projet'!$B$12,Paramètres!$A$1:$I$89,3,0)*0.475*44/12</f>
        <v>3.6337139337353081E-6</v>
      </c>
      <c r="CN78" s="22">
        <f t="shared" si="66"/>
        <v>10.986905944111616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3.1</v>
      </c>
      <c r="CT78" s="12">
        <f>IF('Données projet'!$A$140&gt;35,CT77+CS78-DB77,IF(A78&lt;'Données projet'!$A$140,$CQ$205^A78,IF(A78='Données projet'!$A$140,'Données projet'!$B$140,CT77+CS78-DB77)))</f>
        <v>268.49999999999994</v>
      </c>
      <c r="CU78" s="17">
        <f>CT78*VLOOKUP('Données projet'!$B$13,Paramètres!$A$1:$I$89,3,0)*VLOOKUP('Données projet'!$B$13,Paramètres!$A$1:$I$89,5,0)</f>
        <v>213.61859999999996</v>
      </c>
      <c r="CV78" s="13">
        <f t="shared" si="95"/>
        <v>52.725552856326011</v>
      </c>
      <c r="CW78" s="20">
        <f t="shared" si="67"/>
        <v>463.88273289143444</v>
      </c>
      <c r="CX78" s="59">
        <f t="shared" si="68"/>
        <v>757.2160662247677</v>
      </c>
      <c r="CY78" s="59">
        <f ca="1">AVERAGE(OFFSET($CX$3,0,0,'Données projet'!$E$13+1,1))-AVERAGE(OFFSET($H$3,0,0,'Données projet'!$E$13+1,1))</f>
        <v>199.58763537752952</v>
      </c>
      <c r="CZ78" s="59">
        <f t="shared" si="96"/>
        <v>242.62852778451929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2.9530095387216448</v>
      </c>
      <c r="DH78" s="21">
        <f>EXP(-LN(2)/2)*DH77+(1-EXP(-LN(2)/2))/(LN(2)/2)*DB78*DE78*VLOOKUP('Données projet'!$B$13,Paramètres!$A$1:$I$89,3,0)*0.475*44/12</f>
        <v>1.8142630853607712E-6</v>
      </c>
      <c r="DI78" s="22">
        <f t="shared" si="69"/>
        <v>2.9530113529847304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7.2</v>
      </c>
      <c r="DO78" s="12">
        <f>IF('Données projet'!$A$166&gt;35,DO77+DN78-DW77,IF(A78&lt;'Données projet'!$A$166,$DL$205^A78,IF(A78='Données projet'!$A$166,'Données projet'!$B$166,DO77+DN78-DW77)))</f>
        <v>413.9999999999996</v>
      </c>
      <c r="DP78" s="17">
        <f>DO78*VLOOKUP('Données projet'!$B$14,Paramètres!$A$1:$I$89,3,0)*VLOOKUP('Données projet'!$B$14,Paramètres!$A$1:$I$89,5,0)</f>
        <v>247.57199999999978</v>
      </c>
      <c r="DQ78" s="13">
        <f t="shared" si="97"/>
        <v>60.065726249156526</v>
      </c>
      <c r="DR78" s="20">
        <f t="shared" si="70"/>
        <v>535.80237321728055</v>
      </c>
      <c r="DS78" s="59">
        <f t="shared" si="71"/>
        <v>829.1357065506138</v>
      </c>
      <c r="DT78" s="59">
        <f ca="1">AVERAGE(OFFSET($DS$3,0,0,'Données projet'!$E$14+1,1))-AVERAGE(OFFSET($H$3,0,0,'Données projet'!$E$14+1,1))</f>
        <v>216.94426559495264</v>
      </c>
      <c r="DU78" s="59">
        <f t="shared" si="98"/>
        <v>225.33715877618704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3.6899819762334349</v>
      </c>
      <c r="EC78" s="21">
        <f>EXP(-LN(2)/2)*EC77+(1-EXP(-LN(2)/2))/(LN(2)/2)*DW78*DZ78*VLOOKUP('Données projet'!$B$14,Paramètres!$A$1:$I$89,3,0)*0.475*44/12</f>
        <v>4.0004709434493427E-6</v>
      </c>
      <c r="ED78" s="22">
        <f t="shared" si="72"/>
        <v>3.6899859767043783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14.7</v>
      </c>
      <c r="EJ78" s="12">
        <f>IF('Données projet'!$A$192&gt;35,EJ77+EI78-ER77,IF(A78&lt;'Données projet'!$A$192,$EG$205^A78,IF(A78='Données projet'!$A$192,'Données projet'!$B$192,EJ77+EI78-ER77)))</f>
        <v>679.50000000000045</v>
      </c>
      <c r="EK78" s="17">
        <f>EJ78*VLOOKUP('Données projet'!$B$15,Paramètres!$A$1:$I$89,3,0)*VLOOKUP('Données projet'!$B$15,Paramètres!$A$1:$I$89,5,0)</f>
        <v>326.83950000000021</v>
      </c>
      <c r="EL78" s="13">
        <f t="shared" si="99"/>
        <v>76.774688342587709</v>
      </c>
      <c r="EM78" s="20">
        <f t="shared" si="73"/>
        <v>702.96137803000727</v>
      </c>
      <c r="EN78" s="59">
        <f t="shared" si="74"/>
        <v>996.29471136334064</v>
      </c>
      <c r="EO78" s="59">
        <f ca="1">AVERAGE(OFFSET($EN$3,0,0,'Données projet'!$E$15+1,1))-AVERAGE(OFFSET($H$3,0,0,'Données projet'!$E$15+1,1))</f>
        <v>292.1792787220852</v>
      </c>
      <c r="EP78" s="59">
        <f t="shared" si="100"/>
        <v>273.69206144662144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2.7637501881710391</v>
      </c>
      <c r="EW78" s="21">
        <f>EXP(-LN(2)/25)*EW77+(1-EXP(-LN(2)/25))/(LN(2)/25)*Calculateur!ER78*Calculateur!ET78*VLOOKUP('Données projet'!$B$15,Paramètres!$A$1:$I$89,3,0)*0.475*44/12</f>
        <v>3.8547835441198401</v>
      </c>
      <c r="EX78" s="21">
        <f>EXP(-LN(2)/2)*EX77+(1-EXP(-LN(2)/2))/(LN(2)/2)*ER78*EU78*VLOOKUP('Données projet'!$B$15,Paramètres!$A$1:$I$89,3,0)*0.475*44/12</f>
        <v>3.5256316603634579E-6</v>
      </c>
      <c r="EY78" s="22">
        <f t="shared" si="75"/>
        <v>6.6185372579225401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464.99999999999989</v>
      </c>
      <c r="O79" s="13">
        <f>N79*VLOOKUP('Données projet'!$B$9,Paramètres!$A$1:$I$89,3,0)*VLOOKUP('Données projet'!$B$9,Paramètres!$A$1:$I$89,5,0)</f>
        <v>217.61999999999995</v>
      </c>
      <c r="P79" s="13">
        <f t="shared" si="87"/>
        <v>53.597277471320098</v>
      </c>
      <c r="Q79" s="20">
        <f t="shared" si="54"/>
        <v>472.37009159588234</v>
      </c>
      <c r="R79" s="59">
        <f t="shared" si="55"/>
        <v>765.70342492921566</v>
      </c>
      <c r="S79" s="59">
        <f ca="1">AVERAGE(OFFSET($R$3,0,0,'Données projet'!$E$9+1,1))-AVERAGE(OFFSET($H$3,0,0,'Données projet'!$E$9+1,1))</f>
        <v>215.23235148064941</v>
      </c>
      <c r="T79" s="59">
        <f t="shared" si="88"/>
        <v>184.07239726900434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1.2604921847739481</v>
      </c>
      <c r="AA79" s="21">
        <f>EXP(-LN(2)/25)*AA78+(1-EXP(-LN(2)/25))/(LN(2)/25)*Calculateur!V79*Calculateur!X79*VLOOKUP('Données projet'!$B$9,Paramètres!$A$1:$I$89,3,0)*0.475*44/12</f>
        <v>2.1942023215753585</v>
      </c>
      <c r="AB79" s="21">
        <f>EXP(-LN(2)/2)*AB78+(1-EXP(-LN(2)/2))/(LN(2)/2)*V79*Y79*VLOOKUP('Données projet'!$B$9,Paramètres!$A$1:$I$89,3,0)*0.475*44/12</f>
        <v>1.1720867729539862E-6</v>
      </c>
      <c r="AC79" s="22">
        <f t="shared" si="57"/>
        <v>3.4546956784360794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-8.5265128291212022E-14</v>
      </c>
      <c r="AJ79" s="13">
        <f>AI79*VLOOKUP('Données projet'!$B$10,Paramètres!$A$1:$I$89,3,0)*VLOOKUP('Données projet'!$B$10,Paramètres!$A$1:$I$89,5,0)</f>
        <v>-7.7147888077888636E-14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225.28075317732998</v>
      </c>
      <c r="AO79" s="59">
        <f t="shared" si="90"/>
        <v>358.43407531256207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0.90217609074756866</v>
      </c>
      <c r="AV79" s="21">
        <f>EXP(-LN(2)/25)*AV78+(1-EXP(-LN(2)/25))/(LN(2)/25)*Calculateur!AQ79*Calculateur!AS79*VLOOKUP('Données projet'!$B$10,Paramètres!$A$1:$I$89,3,0)*0.475*44/12</f>
        <v>2.3105656335091993</v>
      </c>
      <c r="AW79" s="21">
        <f>EXP(-LN(2)/2)*AW78+(1-EXP(-LN(2)/2))/(LN(2)/2)*AQ79*AT79*VLOOKUP('Données projet'!$B$10,Paramètres!$A$1:$I$89,3,0)*0.475*44/12</f>
        <v>5.2619232117766424E-7</v>
      </c>
      <c r="AX79" s="21">
        <f t="shared" si="60"/>
        <v>3.212742250449089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10.4</v>
      </c>
      <c r="BD79" s="12">
        <f>IF('Données projet'!$A$88&gt;35,BD78+BC79-BL78,IF(A79&lt;'Données projet'!$A$88,$BA$205^A79,IF(A79='Données projet'!$A$88,'Données projet'!$B$88,BD78+BC79-BL78)))</f>
        <v>609.39999999999952</v>
      </c>
      <c r="BE79" s="13">
        <f>BD79*VLOOKUP('Données projet'!$B$11,Paramètres!$A$1:$I$89,3,0)*VLOOKUP('Données projet'!$B$11,Paramètres!$A$1:$I$89,5,0)</f>
        <v>340.65459999999973</v>
      </c>
      <c r="BF79" s="13">
        <f t="shared" si="91"/>
        <v>79.635175782709197</v>
      </c>
      <c r="BG79" s="20">
        <f t="shared" si="61"/>
        <v>732.00469282155143</v>
      </c>
      <c r="BH79" s="59">
        <f t="shared" si="62"/>
        <v>1025.3380261548848</v>
      </c>
      <c r="BI79" s="59">
        <f ca="1">AVERAGE(OFFSET($BH$3,0,0,'Données projet'!$E$11+1,1))-AVERAGE(OFFSET($H$3,0,0,'Données projet'!$E$11+1,1))</f>
        <v>326.31232746914907</v>
      </c>
      <c r="BJ79" s="59">
        <f t="shared" si="92"/>
        <v>330.17137761430297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1.8368828255480936</v>
      </c>
      <c r="BQ79" s="21">
        <f>EXP(-LN(2)/25)*BQ78+(1-EXP(-LN(2)/25))/(LN(2)/25)*Calculateur!BL79*Calculateur!BN79*VLOOKUP('Données projet'!$B$11,Paramètres!$A$1:$I$89,3,0)*0.475*44/12</f>
        <v>8.4279617545383534</v>
      </c>
      <c r="BR79" s="21">
        <f>EXP(-LN(2)/2)*BR78+(1-EXP(-LN(2)/2))/(LN(2)/2)*BL79*BO79*VLOOKUP('Données projet'!$B$11,Paramètres!$A$1:$I$89,3,0)*0.475*44/12</f>
        <v>3.8769350493473103E-6</v>
      </c>
      <c r="BS79" s="22">
        <f t="shared" si="63"/>
        <v>10.264848457021495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403.40000000000009</v>
      </c>
      <c r="BZ79" s="13">
        <f>BY79*VLOOKUP('Données projet'!$B$12,Paramètres!$A$1:$I$89,3,0)*VLOOKUP('Données projet'!$B$12,Paramètres!$A$1:$I$89,5,0)</f>
        <v>220.25640000000004</v>
      </c>
      <c r="CA79" s="13">
        <f t="shared" si="93"/>
        <v>54.170609215461226</v>
      </c>
      <c r="CB79" s="20">
        <f t="shared" si="64"/>
        <v>477.96037438359508</v>
      </c>
      <c r="CC79" s="59">
        <f t="shared" si="65"/>
        <v>771.29370771692834</v>
      </c>
      <c r="CD79" s="59">
        <f ca="1">AVERAGE(OFFSET($CC$3,0,0,'Données projet'!$E$12+1,1))-AVERAGE(OFFSET($H$3,0,0,'Données projet'!$E$12+1,1))</f>
        <v>210.04871822652808</v>
      </c>
      <c r="CE79" s="59">
        <f t="shared" si="94"/>
        <v>250.17540614049324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2.9359057423136514</v>
      </c>
      <c r="CL79" s="21">
        <f>EXP(-LN(2)/25)*CL78+(1-EXP(-LN(2)/25))/(LN(2)/25)*Calculateur!CG79*Calculateur!CI79*VLOOKUP('Données projet'!$B$12,Paramètres!$A$1:$I$89,3,0)*0.475*44/12</f>
        <v>7.7737245827377262</v>
      </c>
      <c r="CM79" s="21">
        <f>EXP(-LN(2)/2)*CM78+(1-EXP(-LN(2)/2))/(LN(2)/2)*CG79*CJ79*VLOOKUP('Données projet'!$B$12,Paramètres!$A$1:$I$89,3,0)*0.475*44/12</f>
        <v>2.5694237634362815E-6</v>
      </c>
      <c r="CN79" s="22">
        <f t="shared" si="66"/>
        <v>10.709632894475142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3.1</v>
      </c>
      <c r="CT79" s="12">
        <f>IF('Données projet'!$A$140&gt;35,CT78+CS79-DB78,IF(A79&lt;'Données projet'!$A$140,$CQ$205^A79,IF(A79='Données projet'!$A$140,'Données projet'!$B$140,CT78+CS79-DB78)))</f>
        <v>271.59999999999997</v>
      </c>
      <c r="CU79" s="17">
        <f>CT79*VLOOKUP('Données projet'!$B$13,Paramètres!$A$1:$I$89,3,0)*VLOOKUP('Données projet'!$B$13,Paramètres!$A$1:$I$89,5,0)</f>
        <v>216.08496</v>
      </c>
      <c r="CV79" s="13">
        <f t="shared" si="95"/>
        <v>53.26308393083157</v>
      </c>
      <c r="CW79" s="20">
        <f t="shared" si="67"/>
        <v>469.11450984619825</v>
      </c>
      <c r="CX79" s="59">
        <f t="shared" si="68"/>
        <v>762.44784317953156</v>
      </c>
      <c r="CY79" s="59">
        <f ca="1">AVERAGE(OFFSET($CX$3,0,0,'Données projet'!$E$13+1,1))-AVERAGE(OFFSET($H$3,0,0,'Données projet'!$E$13+1,1))</f>
        <v>199.58763537752952</v>
      </c>
      <c r="CZ79" s="59">
        <f t="shared" si="96"/>
        <v>242.62852778451929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2.8722593375932792</v>
      </c>
      <c r="DH79" s="21">
        <f>EXP(-LN(2)/2)*DH78+(1-EXP(-LN(2)/2))/(LN(2)/2)*DB79*DE79*VLOOKUP('Données projet'!$B$13,Paramètres!$A$1:$I$89,3,0)*0.475*44/12</f>
        <v>1.2828777305150294E-6</v>
      </c>
      <c r="DI79" s="22">
        <f t="shared" si="69"/>
        <v>2.8722606204710099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7.2</v>
      </c>
      <c r="DO79" s="12">
        <f>IF('Données projet'!$A$166&gt;35,DO78+DN79-DW78,IF(A79&lt;'Données projet'!$A$166,$DL$205^A79,IF(A79='Données projet'!$A$166,'Données projet'!$B$166,DO78+DN79-DW78)))</f>
        <v>421.19999999999959</v>
      </c>
      <c r="DP79" s="17">
        <f>DO79*VLOOKUP('Données projet'!$B$14,Paramètres!$A$1:$I$89,3,0)*VLOOKUP('Données projet'!$B$14,Paramètres!$A$1:$I$89,5,0)</f>
        <v>251.87759999999977</v>
      </c>
      <c r="DQ79" s="13">
        <f t="shared" si="97"/>
        <v>60.987825380023018</v>
      </c>
      <c r="DR79" s="20">
        <f t="shared" si="70"/>
        <v>544.90728253687291</v>
      </c>
      <c r="DS79" s="59">
        <f t="shared" si="71"/>
        <v>838.24061587020628</v>
      </c>
      <c r="DT79" s="59">
        <f ca="1">AVERAGE(OFFSET($DS$3,0,0,'Données projet'!$E$14+1,1))-AVERAGE(OFFSET($H$3,0,0,'Données projet'!$E$14+1,1))</f>
        <v>216.94426559495264</v>
      </c>
      <c r="DU79" s="59">
        <f t="shared" si="98"/>
        <v>225.33715877618704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3.5890792250456132</v>
      </c>
      <c r="EC79" s="21">
        <f>EXP(-LN(2)/2)*EC78+(1-EXP(-LN(2)/2))/(LN(2)/2)*DW79*DZ79*VLOOKUP('Données projet'!$B$14,Paramètres!$A$1:$I$89,3,0)*0.475*44/12</f>
        <v>2.8287601320527758E-6</v>
      </c>
      <c r="ED79" s="22">
        <f t="shared" si="72"/>
        <v>3.5890820538057451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14.7</v>
      </c>
      <c r="EJ79" s="12">
        <f>IF('Données projet'!$A$192&gt;35,EJ78+EI79-ER78,IF(A79&lt;'Données projet'!$A$192,$EG$205^A79,IF(A79='Données projet'!$A$192,'Données projet'!$B$192,EJ78+EI79-ER78)))</f>
        <v>694.2000000000005</v>
      </c>
      <c r="EK79" s="17">
        <f>EJ79*VLOOKUP('Données projet'!$B$15,Paramètres!$A$1:$I$89,3,0)*VLOOKUP('Données projet'!$B$15,Paramètres!$A$1:$I$89,5,0)</f>
        <v>333.9102000000002</v>
      </c>
      <c r="EL79" s="13">
        <f t="shared" si="99"/>
        <v>78.240434782372716</v>
      </c>
      <c r="EM79" s="20">
        <f t="shared" si="73"/>
        <v>717.82902224596603</v>
      </c>
      <c r="EN79" s="59">
        <f t="shared" si="74"/>
        <v>1011.1623555792994</v>
      </c>
      <c r="EO79" s="59">
        <f ca="1">AVERAGE(OFFSET($EN$3,0,0,'Données projet'!$E$15+1,1))-AVERAGE(OFFSET($H$3,0,0,'Données projet'!$E$15+1,1))</f>
        <v>292.1792787220852</v>
      </c>
      <c r="EP79" s="59">
        <f t="shared" si="100"/>
        <v>273.69206144662144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2.7095547327021685</v>
      </c>
      <c r="EW79" s="21">
        <f>EXP(-LN(2)/25)*EW78+(1-EXP(-LN(2)/25))/(LN(2)/25)*Calculateur!ER79*Calculateur!ET79*VLOOKUP('Données projet'!$B$15,Paramètres!$A$1:$I$89,3,0)*0.475*44/12</f>
        <v>3.7493742853916268</v>
      </c>
      <c r="EX79" s="21">
        <f>EXP(-LN(2)/2)*EX78+(1-EXP(-LN(2)/2))/(LN(2)/2)*ER79*EU79*VLOOKUP('Données projet'!$B$15,Paramètres!$A$1:$I$89,3,0)*0.475*44/12</f>
        <v>2.4929980550089878E-6</v>
      </c>
      <c r="EY79" s="22">
        <f t="shared" si="75"/>
        <v>6.4589315110918504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481.99999999999989</v>
      </c>
      <c r="O80" s="13">
        <f>N80*VLOOKUP('Données projet'!$B$9,Paramètres!$A$1:$I$89,3,0)*VLOOKUP('Données projet'!$B$9,Paramètres!$A$1:$I$89,5,0)</f>
        <v>225.57599999999994</v>
      </c>
      <c r="P80" s="13">
        <f t="shared" si="87"/>
        <v>55.325030705505945</v>
      </c>
      <c r="Q80" s="20">
        <f t="shared" si="54"/>
        <v>489.23596181208933</v>
      </c>
      <c r="R80" s="59">
        <f t="shared" si="55"/>
        <v>782.56929514542264</v>
      </c>
      <c r="S80" s="59">
        <f ca="1">AVERAGE(OFFSET($R$3,0,0,'Données projet'!$E$9+1,1))-AVERAGE(OFFSET($H$3,0,0,'Données projet'!$E$9+1,1))</f>
        <v>215.23235148064941</v>
      </c>
      <c r="T80" s="59">
        <f t="shared" si="88"/>
        <v>184.07239726900434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1.2357747018548486</v>
      </c>
      <c r="AA80" s="21">
        <f>EXP(-LN(2)/25)*AA79+(1-EXP(-LN(2)/25))/(LN(2)/25)*Calculateur!V80*Calculateur!X80*VLOOKUP('Données projet'!$B$9,Paramètres!$A$1:$I$89,3,0)*0.475*44/12</f>
        <v>2.134201743703795</v>
      </c>
      <c r="AB80" s="21">
        <f>EXP(-LN(2)/2)*AB79+(1-EXP(-LN(2)/2))/(LN(2)/2)*V80*Y80*VLOOKUP('Données projet'!$B$9,Paramètres!$A$1:$I$89,3,0)*0.475*44/12</f>
        <v>8.2879050529482091E-7</v>
      </c>
      <c r="AC80" s="22">
        <f t="shared" si="57"/>
        <v>3.3699772743491487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-8.5265128291212022E-14</v>
      </c>
      <c r="AJ80" s="13">
        <f>AI80*VLOOKUP('Données projet'!$B$10,Paramètres!$A$1:$I$89,3,0)*VLOOKUP('Données projet'!$B$10,Paramètres!$A$1:$I$89,5,0)</f>
        <v>-7.7147888077888636E-14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225.28075317732998</v>
      </c>
      <c r="AO80" s="59">
        <f t="shared" si="90"/>
        <v>358.43407531256207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0.88448496788108921</v>
      </c>
      <c r="AV80" s="21">
        <f>EXP(-LN(2)/25)*AV79+(1-EXP(-LN(2)/25))/(LN(2)/25)*Calculateur!AQ80*Calculateur!AS80*VLOOKUP('Données projet'!$B$10,Paramètres!$A$1:$I$89,3,0)*0.475*44/12</f>
        <v>2.2473830947535243</v>
      </c>
      <c r="AW80" s="21">
        <f>EXP(-LN(2)/2)*AW79+(1-EXP(-LN(2)/2))/(LN(2)/2)*AQ80*AT80*VLOOKUP('Données projet'!$B$10,Paramètres!$A$1:$I$89,3,0)*0.475*44/12</f>
        <v>3.7207415851301616E-7</v>
      </c>
      <c r="AX80" s="21">
        <f t="shared" si="60"/>
        <v>3.131868434708772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10.4</v>
      </c>
      <c r="BD80" s="12">
        <f>IF('Données projet'!$A$88&gt;35,BD79+BC80-BL79,IF(A80&lt;'Données projet'!$A$88,$BA$205^A80,IF(A80='Données projet'!$A$88,'Données projet'!$B$88,BD79+BC80-BL79)))</f>
        <v>619.7999999999995</v>
      </c>
      <c r="BE80" s="13">
        <f>BD80*VLOOKUP('Données projet'!$B$11,Paramètres!$A$1:$I$89,3,0)*VLOOKUP('Données projet'!$B$11,Paramètres!$A$1:$I$89,5,0)</f>
        <v>346.46819999999974</v>
      </c>
      <c r="BF80" s="13">
        <f t="shared" si="91"/>
        <v>80.834848230178139</v>
      </c>
      <c r="BG80" s="20">
        <f t="shared" si="61"/>
        <v>744.21947566755978</v>
      </c>
      <c r="BH80" s="59">
        <f t="shared" si="62"/>
        <v>1037.5528090008931</v>
      </c>
      <c r="BI80" s="59">
        <f ca="1">AVERAGE(OFFSET($BH$3,0,0,'Données projet'!$E$11+1,1))-AVERAGE(OFFSET($H$3,0,0,'Données projet'!$E$11+1,1))</f>
        <v>326.31232746914907</v>
      </c>
      <c r="BJ80" s="59">
        <f t="shared" si="92"/>
        <v>330.17137761430297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1.8008626737269899</v>
      </c>
      <c r="BQ80" s="21">
        <f>EXP(-LN(2)/25)*BQ79+(1-EXP(-LN(2)/25))/(LN(2)/25)*Calculateur!BL80*Calculateur!BN80*VLOOKUP('Données projet'!$B$11,Paramètres!$A$1:$I$89,3,0)*0.475*44/12</f>
        <v>8.1974986971532555</v>
      </c>
      <c r="BR80" s="21">
        <f>EXP(-LN(2)/2)*BR79+(1-EXP(-LN(2)/2))/(LN(2)/2)*BL80*BO80*VLOOKUP('Données projet'!$B$11,Paramètres!$A$1:$I$89,3,0)*0.475*44/12</f>
        <v>2.7414070636132853E-6</v>
      </c>
      <c r="BS80" s="22">
        <f t="shared" si="63"/>
        <v>9.9983641122873088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410.80000000000007</v>
      </c>
      <c r="BZ80" s="13">
        <f>BY80*VLOOKUP('Données projet'!$B$12,Paramètres!$A$1:$I$89,3,0)*VLOOKUP('Données projet'!$B$12,Paramètres!$A$1:$I$89,5,0)</f>
        <v>224.29680000000005</v>
      </c>
      <c r="CA80" s="13">
        <f t="shared" si="93"/>
        <v>55.047720057866165</v>
      </c>
      <c r="CB80" s="20">
        <f t="shared" si="64"/>
        <v>486.52503910078366</v>
      </c>
      <c r="CC80" s="59">
        <f t="shared" si="65"/>
        <v>779.85837243411697</v>
      </c>
      <c r="CD80" s="59">
        <f ca="1">AVERAGE(OFFSET($CC$3,0,0,'Données projet'!$E$12+1,1))-AVERAGE(OFFSET($H$3,0,0,'Données projet'!$E$12+1,1))</f>
        <v>210.04871822652808</v>
      </c>
      <c r="CE80" s="59">
        <f t="shared" si="94"/>
        <v>250.17540614049324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2.8783344214325641</v>
      </c>
      <c r="CL80" s="21">
        <f>EXP(-LN(2)/25)*CL79+(1-EXP(-LN(2)/25))/(LN(2)/25)*Calculateur!CG80*Calculateur!CI80*VLOOKUP('Données projet'!$B$12,Paramètres!$A$1:$I$89,3,0)*0.475*44/12</f>
        <v>7.561151675220354</v>
      </c>
      <c r="CM80" s="21">
        <f>EXP(-LN(2)/2)*CM79+(1-EXP(-LN(2)/2))/(LN(2)/2)*CG80*CJ80*VLOOKUP('Données projet'!$B$12,Paramètres!$A$1:$I$89,3,0)*0.475*44/12</f>
        <v>1.8168569668676543E-6</v>
      </c>
      <c r="CN80" s="22">
        <f t="shared" si="66"/>
        <v>10.439487913509884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3.1</v>
      </c>
      <c r="CT80" s="12">
        <f>IF('Données projet'!$A$140&gt;35,CT79+CS80-DB79,IF(A80&lt;'Données projet'!$A$140,$CQ$205^A80,IF(A80='Données projet'!$A$140,'Données projet'!$B$140,CT79+CS80-DB79)))</f>
        <v>274.7</v>
      </c>
      <c r="CU80" s="17">
        <f>CT80*VLOOKUP('Données projet'!$B$13,Paramètres!$A$1:$I$89,3,0)*VLOOKUP('Données projet'!$B$13,Paramètres!$A$1:$I$89,5,0)</f>
        <v>218.55132000000003</v>
      </c>
      <c r="CV80" s="13">
        <f t="shared" si="95"/>
        <v>53.79990131471051</v>
      </c>
      <c r="CW80" s="20">
        <f t="shared" si="67"/>
        <v>474.3450437897875</v>
      </c>
      <c r="CX80" s="59">
        <f t="shared" si="68"/>
        <v>767.67837712312075</v>
      </c>
      <c r="CY80" s="59">
        <f ca="1">AVERAGE(OFFSET($CX$3,0,0,'Données projet'!$E$13+1,1))-AVERAGE(OFFSET($H$3,0,0,'Données projet'!$E$13+1,1))</f>
        <v>199.58763537752952</v>
      </c>
      <c r="CZ80" s="59">
        <f t="shared" si="96"/>
        <v>242.62852778451929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2.793717254961237</v>
      </c>
      <c r="DH80" s="21">
        <f>EXP(-LN(2)/2)*DH79+(1-EXP(-LN(2)/2))/(LN(2)/2)*DB80*DE80*VLOOKUP('Données projet'!$B$13,Paramètres!$A$1:$I$89,3,0)*0.475*44/12</f>
        <v>9.071315426803856E-7</v>
      </c>
      <c r="DI80" s="22">
        <f t="shared" si="69"/>
        <v>2.7937181620927798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7.2</v>
      </c>
      <c r="DO80" s="12">
        <f>IF('Données projet'!$A$166&gt;35,DO79+DN80-DW79,IF(A80&lt;'Données projet'!$A$166,$DL$205^A80,IF(A80='Données projet'!$A$166,'Données projet'!$B$166,DO79+DN80-DW79)))</f>
        <v>428.39999999999958</v>
      </c>
      <c r="DP80" s="17">
        <f>DO80*VLOOKUP('Données projet'!$B$14,Paramètres!$A$1:$I$89,3,0)*VLOOKUP('Données projet'!$B$14,Paramètres!$A$1:$I$89,5,0)</f>
        <v>256.18319999999977</v>
      </c>
      <c r="DQ80" s="13">
        <f t="shared" si="97"/>
        <v>61.90809149979912</v>
      </c>
      <c r="DR80" s="20">
        <f t="shared" si="70"/>
        <v>554.00899936214978</v>
      </c>
      <c r="DS80" s="59">
        <f t="shared" si="71"/>
        <v>847.34233269548304</v>
      </c>
      <c r="DT80" s="59">
        <f ca="1">AVERAGE(OFFSET($DS$3,0,0,'Données projet'!$E$14+1,1))-AVERAGE(OFFSET($H$3,0,0,'Données projet'!$E$14+1,1))</f>
        <v>216.94426559495264</v>
      </c>
      <c r="DU80" s="59">
        <f t="shared" si="98"/>
        <v>225.33715877618704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3.4909356648952672</v>
      </c>
      <c r="EC80" s="21">
        <f>EXP(-LN(2)/2)*EC79+(1-EXP(-LN(2)/2))/(LN(2)/2)*DW80*DZ80*VLOOKUP('Données projet'!$B$14,Paramètres!$A$1:$I$89,3,0)*0.475*44/12</f>
        <v>2.0002354717246714E-6</v>
      </c>
      <c r="ED80" s="22">
        <f t="shared" si="72"/>
        <v>3.4909376651307391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14.7</v>
      </c>
      <c r="EJ80" s="12">
        <f>IF('Données projet'!$A$192&gt;35,EJ79+EI80-ER79,IF(A80&lt;'Données projet'!$A$192,$EG$205^A80,IF(A80='Données projet'!$A$192,'Données projet'!$B$192,EJ79+EI80-ER79)))</f>
        <v>708.90000000000055</v>
      </c>
      <c r="EK80" s="17">
        <f>EJ80*VLOOKUP('Données projet'!$B$15,Paramètres!$A$1:$I$89,3,0)*VLOOKUP('Données projet'!$B$15,Paramètres!$A$1:$I$89,5,0)</f>
        <v>340.98090000000025</v>
      </c>
      <c r="EL80" s="13">
        <f t="shared" si="99"/>
        <v>79.702572580633841</v>
      </c>
      <c r="EM80" s="20">
        <f t="shared" si="73"/>
        <v>732.69038141127101</v>
      </c>
      <c r="EN80" s="59">
        <f t="shared" si="74"/>
        <v>1026.0237147446044</v>
      </c>
      <c r="EO80" s="59">
        <f ca="1">AVERAGE(OFFSET($EN$3,0,0,'Données projet'!$E$15+1,1))-AVERAGE(OFFSET($H$3,0,0,'Données projet'!$E$15+1,1))</f>
        <v>292.1792787220852</v>
      </c>
      <c r="EP80" s="59">
        <f t="shared" si="100"/>
        <v>273.69206144662144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2.6564220170590787</v>
      </c>
      <c r="EW80" s="21">
        <f>EXP(-LN(2)/25)*EW79+(1-EXP(-LN(2)/25))/(LN(2)/25)*Calculateur!ER80*Calculateur!ET80*VLOOKUP('Données projet'!$B$15,Paramètres!$A$1:$I$89,3,0)*0.475*44/12</f>
        <v>3.6468474483865685</v>
      </c>
      <c r="EX80" s="21">
        <f>EXP(-LN(2)/2)*EX79+(1-EXP(-LN(2)/2))/(LN(2)/2)*ER80*EU80*VLOOKUP('Données projet'!$B$15,Paramètres!$A$1:$I$89,3,0)*0.475*44/12</f>
        <v>1.7628158301817289E-6</v>
      </c>
      <c r="EY80" s="22">
        <f t="shared" si="75"/>
        <v>6.3032712282614769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498.99999999999989</v>
      </c>
      <c r="O81" s="13">
        <f>N81*VLOOKUP('Données projet'!$B$9,Paramètres!$A$1:$I$89,3,0)*VLOOKUP('Données projet'!$B$9,Paramètres!$A$1:$I$89,5,0)</f>
        <v>233.53199999999995</v>
      </c>
      <c r="P81" s="13">
        <f t="shared" si="87"/>
        <v>57.04570382109808</v>
      </c>
      <c r="Q81" s="20">
        <f t="shared" si="54"/>
        <v>506.08950082174573</v>
      </c>
      <c r="R81" s="59">
        <f t="shared" si="55"/>
        <v>799.42283415507904</v>
      </c>
      <c r="S81" s="59">
        <f ca="1">AVERAGE(OFFSET($R$3,0,0,'Données projet'!$E$9+1,1))-AVERAGE(OFFSET($H$3,0,0,'Données projet'!$E$9+1,1))</f>
        <v>215.23235148064941</v>
      </c>
      <c r="T81" s="59">
        <f t="shared" si="88"/>
        <v>184.07239726900434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1.2115419136996166</v>
      </c>
      <c r="AA81" s="21">
        <f>EXP(-LN(2)/25)*AA80+(1-EXP(-LN(2)/25))/(LN(2)/25)*Calculateur!V81*Calculateur!X81*VLOOKUP('Données projet'!$B$9,Paramètres!$A$1:$I$89,3,0)*0.475*44/12</f>
        <v>2.0758418847894227</v>
      </c>
      <c r="AB81" s="21">
        <f>EXP(-LN(2)/2)*AB80+(1-EXP(-LN(2)/2))/(LN(2)/2)*V81*Y81*VLOOKUP('Données projet'!$B$9,Paramètres!$A$1:$I$89,3,0)*0.475*44/12</f>
        <v>5.8604338647699308E-7</v>
      </c>
      <c r="AC81" s="22">
        <f t="shared" si="57"/>
        <v>3.2873843845324258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-8.5265128291212022E-14</v>
      </c>
      <c r="AJ81" s="13">
        <f>AI81*VLOOKUP('Données projet'!$B$10,Paramètres!$A$1:$I$89,3,0)*VLOOKUP('Données projet'!$B$10,Paramètres!$A$1:$I$89,5,0)</f>
        <v>-7.7147888077888636E-14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225.28075317732998</v>
      </c>
      <c r="AO81" s="59">
        <f t="shared" si="90"/>
        <v>358.43407531256207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0.86714075714350203</v>
      </c>
      <c r="AV81" s="21">
        <f>EXP(-LN(2)/25)*AV80+(1-EXP(-LN(2)/25))/(LN(2)/25)*Calculateur!AQ81*Calculateur!AS81*VLOOKUP('Données projet'!$B$10,Paramètres!$A$1:$I$89,3,0)*0.475*44/12</f>
        <v>2.1859282858427487</v>
      </c>
      <c r="AW81" s="21">
        <f>EXP(-LN(2)/2)*AW80+(1-EXP(-LN(2)/2))/(LN(2)/2)*AQ81*AT81*VLOOKUP('Données projet'!$B$10,Paramètres!$A$1:$I$89,3,0)*0.475*44/12</f>
        <v>2.6309616058883212E-7</v>
      </c>
      <c r="AX81" s="21">
        <f t="shared" si="60"/>
        <v>3.0530693060824112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10.4</v>
      </c>
      <c r="BD81" s="12">
        <f>IF('Données projet'!$A$88&gt;35,BD80+BC81-BL80,IF(A81&lt;'Données projet'!$A$88,$BA$205^A81,IF(A81='Données projet'!$A$88,'Données projet'!$B$88,BD80+BC81-BL80)))</f>
        <v>630.19999999999948</v>
      </c>
      <c r="BE81" s="13">
        <f>BD81*VLOOKUP('Données projet'!$B$11,Paramètres!$A$1:$I$89,3,0)*VLOOKUP('Données projet'!$B$11,Paramètres!$A$1:$I$89,5,0)</f>
        <v>352.28179999999969</v>
      </c>
      <c r="BF81" s="13">
        <f t="shared" si="91"/>
        <v>82.032179712608126</v>
      </c>
      <c r="BG81" s="20">
        <f t="shared" si="61"/>
        <v>756.4301813327919</v>
      </c>
      <c r="BH81" s="59">
        <f t="shared" si="62"/>
        <v>1049.7635146661253</v>
      </c>
      <c r="BI81" s="59">
        <f ca="1">AVERAGE(OFFSET($BH$3,0,0,'Données projet'!$E$11+1,1))-AVERAGE(OFFSET($H$3,0,0,'Données projet'!$E$11+1,1))</f>
        <v>326.31232746914907</v>
      </c>
      <c r="BJ81" s="59">
        <f t="shared" si="92"/>
        <v>330.17137761430297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1.765548855112975</v>
      </c>
      <c r="BQ81" s="21">
        <f>EXP(-LN(2)/25)*BQ80+(1-EXP(-LN(2)/25))/(LN(2)/25)*Calculateur!BL81*Calculateur!BN81*VLOOKUP('Données projet'!$B$11,Paramètres!$A$1:$I$89,3,0)*0.475*44/12</f>
        <v>7.9733376641918792</v>
      </c>
      <c r="BR81" s="21">
        <f>EXP(-LN(2)/2)*BR80+(1-EXP(-LN(2)/2))/(LN(2)/2)*BL81*BO81*VLOOKUP('Données projet'!$B$11,Paramètres!$A$1:$I$89,3,0)*0.475*44/12</f>
        <v>1.9384675246736551E-6</v>
      </c>
      <c r="BS81" s="22">
        <f t="shared" si="63"/>
        <v>9.7388884577723793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418.20000000000005</v>
      </c>
      <c r="BZ81" s="13">
        <f>BY81*VLOOKUP('Données projet'!$B$12,Paramètres!$A$1:$I$89,3,0)*VLOOKUP('Données projet'!$B$12,Paramètres!$A$1:$I$89,5,0)</f>
        <v>228.33720000000002</v>
      </c>
      <c r="CA81" s="13">
        <f t="shared" si="93"/>
        <v>55.922993607595103</v>
      </c>
      <c r="CB81" s="20">
        <f t="shared" si="64"/>
        <v>495.08650386656154</v>
      </c>
      <c r="CC81" s="59">
        <f t="shared" si="65"/>
        <v>788.4198371998948</v>
      </c>
      <c r="CD81" s="59">
        <f ca="1">AVERAGE(OFFSET($CC$3,0,0,'Données projet'!$E$12+1,1))-AVERAGE(OFFSET($H$3,0,0,'Données projet'!$E$12+1,1))</f>
        <v>210.04871822652808</v>
      </c>
      <c r="CE81" s="59">
        <f t="shared" si="94"/>
        <v>250.17540614049324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2.8218920390389166</v>
      </c>
      <c r="CL81" s="21">
        <f>EXP(-LN(2)/25)*CL80+(1-EXP(-LN(2)/25))/(LN(2)/25)*Calculateur!CG81*Calculateur!CI81*VLOOKUP('Données projet'!$B$12,Paramètres!$A$1:$I$89,3,0)*0.475*44/12</f>
        <v>7.3543915850377681</v>
      </c>
      <c r="CM81" s="21">
        <f>EXP(-LN(2)/2)*CM80+(1-EXP(-LN(2)/2))/(LN(2)/2)*CG81*CJ81*VLOOKUP('Données projet'!$B$12,Paramètres!$A$1:$I$89,3,0)*0.475*44/12</f>
        <v>1.284711881718141E-6</v>
      </c>
      <c r="CN81" s="22">
        <f t="shared" si="66"/>
        <v>10.176284908788567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3.1</v>
      </c>
      <c r="CT81" s="12">
        <f>IF('Données projet'!$A$140&gt;35,CT80+CS81-DB80,IF(A81&lt;'Données projet'!$A$140,$CQ$205^A81,IF(A81='Données projet'!$A$140,'Données projet'!$B$140,CT80+CS81-DB80)))</f>
        <v>277.8</v>
      </c>
      <c r="CU81" s="17">
        <f>CT81*VLOOKUP('Données projet'!$B$13,Paramètres!$A$1:$I$89,3,0)*VLOOKUP('Données projet'!$B$13,Paramètres!$A$1:$I$89,5,0)</f>
        <v>221.01768000000001</v>
      </c>
      <c r="CV81" s="13">
        <f t="shared" si="95"/>
        <v>54.336013993957934</v>
      </c>
      <c r="CW81" s="20">
        <f t="shared" si="67"/>
        <v>479.5743503728101</v>
      </c>
      <c r="CX81" s="59">
        <f t="shared" si="68"/>
        <v>772.90768370614342</v>
      </c>
      <c r="CY81" s="59">
        <f ca="1">AVERAGE(OFFSET($CX$3,0,0,'Données projet'!$E$13+1,1))-AVERAGE(OFFSET($H$3,0,0,'Données projet'!$E$13+1,1))</f>
        <v>199.58763537752952</v>
      </c>
      <c r="CZ81" s="59">
        <f t="shared" si="96"/>
        <v>242.62852778451929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2.7173229097091167</v>
      </c>
      <c r="DH81" s="21">
        <f>EXP(-LN(2)/2)*DH80+(1-EXP(-LN(2)/2))/(LN(2)/2)*DB81*DE81*VLOOKUP('Données projet'!$B$13,Paramètres!$A$1:$I$89,3,0)*0.475*44/12</f>
        <v>6.4143886525751471E-7</v>
      </c>
      <c r="DI81" s="22">
        <f t="shared" si="69"/>
        <v>2.7173235511479819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7.2</v>
      </c>
      <c r="DO81" s="12">
        <f>IF('Données projet'!$A$166&gt;35,DO80+DN81-DW80,IF(A81&lt;'Données projet'!$A$166,$DL$205^A81,IF(A81='Données projet'!$A$166,'Données projet'!$B$166,DO80+DN81-DW80)))</f>
        <v>435.59999999999957</v>
      </c>
      <c r="DP81" s="17">
        <f>DO81*VLOOKUP('Données projet'!$B$14,Paramètres!$A$1:$I$89,3,0)*VLOOKUP('Données projet'!$B$14,Paramètres!$A$1:$I$89,5,0)</f>
        <v>260.48879999999974</v>
      </c>
      <c r="DQ81" s="13">
        <f t="shared" si="97"/>
        <v>62.826558970958764</v>
      </c>
      <c r="DR81" s="20">
        <f t="shared" si="70"/>
        <v>563.107583541086</v>
      </c>
      <c r="DS81" s="59">
        <f t="shared" si="71"/>
        <v>856.44091687441937</v>
      </c>
      <c r="DT81" s="59">
        <f ca="1">AVERAGE(OFFSET($DS$3,0,0,'Données projet'!$E$14+1,1))-AVERAGE(OFFSET($H$3,0,0,'Données projet'!$E$14+1,1))</f>
        <v>216.94426559495264</v>
      </c>
      <c r="DU81" s="59">
        <f t="shared" si="98"/>
        <v>225.33715877618704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3.3954758455583782</v>
      </c>
      <c r="EC81" s="21">
        <f>EXP(-LN(2)/2)*EC80+(1-EXP(-LN(2)/2))/(LN(2)/2)*DW81*DZ81*VLOOKUP('Données projet'!$B$14,Paramètres!$A$1:$I$89,3,0)*0.475*44/12</f>
        <v>1.4143800660263879E-6</v>
      </c>
      <c r="ED81" s="22">
        <f t="shared" si="72"/>
        <v>3.3954772599384442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14.7</v>
      </c>
      <c r="EJ81" s="12">
        <f>IF('Données projet'!$A$192&gt;35,EJ80+EI81-ER80,IF(A81&lt;'Données projet'!$A$192,$EG$205^A81,IF(A81='Données projet'!$A$192,'Données projet'!$B$192,EJ80+EI81-ER80)))</f>
        <v>723.60000000000059</v>
      </c>
      <c r="EK81" s="17">
        <f>EJ81*VLOOKUP('Données projet'!$B$15,Paramètres!$A$1:$I$89,3,0)*VLOOKUP('Données projet'!$B$15,Paramètres!$A$1:$I$89,5,0)</f>
        <v>348.05160000000029</v>
      </c>
      <c r="EL81" s="13">
        <f t="shared" si="99"/>
        <v>81.161185188985826</v>
      </c>
      <c r="EM81" s="20">
        <f t="shared" si="73"/>
        <v>747.54560087081745</v>
      </c>
      <c r="EN81" s="59">
        <f t="shared" si="74"/>
        <v>1040.8789342041507</v>
      </c>
      <c r="EO81" s="59">
        <f ca="1">AVERAGE(OFFSET($EN$3,0,0,'Données projet'!$E$15+1,1))-AVERAGE(OFFSET($H$3,0,0,'Données projet'!$E$15+1,1))</f>
        <v>292.1792787220852</v>
      </c>
      <c r="EP81" s="59">
        <f t="shared" si="100"/>
        <v>273.69206144662144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2.6043312015619935</v>
      </c>
      <c r="EW81" s="21">
        <f>EXP(-LN(2)/25)*EW80+(1-EXP(-LN(2)/25))/(LN(2)/25)*Calculateur!ER81*Calculateur!ET81*VLOOKUP('Données projet'!$B$15,Paramètres!$A$1:$I$89,3,0)*0.475*44/12</f>
        <v>3.5471242131310654</v>
      </c>
      <c r="EX81" s="21">
        <f>EXP(-LN(2)/2)*EX80+(1-EXP(-LN(2)/2))/(LN(2)/2)*ER81*EU81*VLOOKUP('Données projet'!$B$15,Paramètres!$A$1:$I$89,3,0)*0.475*44/12</f>
        <v>1.2464990275044939E-6</v>
      </c>
      <c r="EY81" s="22">
        <f t="shared" si="75"/>
        <v>6.1514566611920865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515.99999999999989</v>
      </c>
      <c r="O82" s="13">
        <f>N82*VLOOKUP('Données projet'!$B$9,Paramètres!$A$1:$I$89,3,0)*VLOOKUP('Données projet'!$B$9,Paramètres!$A$1:$I$89,5,0)</f>
        <v>241.48799999999997</v>
      </c>
      <c r="P82" s="13">
        <f t="shared" si="87"/>
        <v>58.759565673424916</v>
      </c>
      <c r="Q82" s="20">
        <f t="shared" si="54"/>
        <v>522.93117688121504</v>
      </c>
      <c r="R82" s="59">
        <f t="shared" si="55"/>
        <v>816.26451021454841</v>
      </c>
      <c r="S82" s="59">
        <f ca="1">AVERAGE(OFFSET($R$3,0,0,'Données projet'!$E$9+1,1))-AVERAGE(OFFSET($H$3,0,0,'Données projet'!$E$9+1,1))</f>
        <v>215.23235148064941</v>
      </c>
      <c r="T82" s="59">
        <f t="shared" si="88"/>
        <v>184.07239726900434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1.1877843157395676</v>
      </c>
      <c r="AA82" s="21">
        <f>EXP(-LN(2)/25)*AA81+(1-EXP(-LN(2)/25))/(LN(2)/25)*Calculateur!V82*Calculateur!X82*VLOOKUP('Données projet'!$B$9,Paramètres!$A$1:$I$89,3,0)*0.475*44/12</f>
        <v>2.0190778792860757</v>
      </c>
      <c r="AB82" s="21">
        <f>EXP(-LN(2)/2)*AB81+(1-EXP(-LN(2)/2))/(LN(2)/2)*V82*Y82*VLOOKUP('Données projet'!$B$9,Paramètres!$A$1:$I$89,3,0)*0.475*44/12</f>
        <v>4.1439525264741046E-7</v>
      </c>
      <c r="AC82" s="22">
        <f t="shared" si="57"/>
        <v>3.2068626094208961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-8.5265128291212022E-14</v>
      </c>
      <c r="AJ82" s="13">
        <f>AI82*VLOOKUP('Données projet'!$B$10,Paramètres!$A$1:$I$89,3,0)*VLOOKUP('Données projet'!$B$10,Paramètres!$A$1:$I$89,5,0)</f>
        <v>-7.7147888077888636E-14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225.28075317732998</v>
      </c>
      <c r="AO82" s="59">
        <f t="shared" si="90"/>
        <v>358.43407531256207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0.85013665579955489</v>
      </c>
      <c r="AV82" s="21">
        <f>EXP(-LN(2)/25)*AV81+(1-EXP(-LN(2)/25))/(LN(2)/25)*Calculateur!AQ82*Calculateur!AS82*VLOOKUP('Données projet'!$B$10,Paramètres!$A$1:$I$89,3,0)*0.475*44/12</f>
        <v>2.1261539619134062</v>
      </c>
      <c r="AW82" s="21">
        <f>EXP(-LN(2)/2)*AW81+(1-EXP(-LN(2)/2))/(LN(2)/2)*AQ82*AT82*VLOOKUP('Données projet'!$B$10,Paramètres!$A$1:$I$89,3,0)*0.475*44/12</f>
        <v>1.8603707925650808E-7</v>
      </c>
      <c r="AX82" s="21">
        <f t="shared" si="60"/>
        <v>2.9762908037500404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10.4</v>
      </c>
      <c r="BD82" s="12">
        <f>IF('Données projet'!$A$88&gt;35,BD81+BC82-BL81,IF(A82&lt;'Données projet'!$A$88,$BA$205^A82,IF(A82='Données projet'!$A$88,'Données projet'!$B$88,BD81+BC82-BL81)))</f>
        <v>640.59999999999945</v>
      </c>
      <c r="BE82" s="13">
        <f>BD82*VLOOKUP('Données projet'!$B$11,Paramètres!$A$1:$I$89,3,0)*VLOOKUP('Données projet'!$B$11,Paramètres!$A$1:$I$89,5,0)</f>
        <v>358.0953999999997</v>
      </c>
      <c r="BF82" s="13">
        <f t="shared" si="91"/>
        <v>83.227213321573814</v>
      </c>
      <c r="BG82" s="20">
        <f t="shared" si="61"/>
        <v>768.63688486840704</v>
      </c>
      <c r="BH82" s="59">
        <f t="shared" si="62"/>
        <v>1061.9702182017404</v>
      </c>
      <c r="BI82" s="59">
        <f ca="1">AVERAGE(OFFSET($BH$3,0,0,'Données projet'!$E$11+1,1))-AVERAGE(OFFSET($H$3,0,0,'Données projet'!$E$11+1,1))</f>
        <v>326.31232746914907</v>
      </c>
      <c r="BJ82" s="59">
        <f t="shared" si="92"/>
        <v>330.17137761430297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1.7309275189426783</v>
      </c>
      <c r="BQ82" s="21">
        <f>EXP(-LN(2)/25)*BQ81+(1-EXP(-LN(2)/25))/(LN(2)/25)*Calculateur!BL82*Calculateur!BN82*VLOOKUP('Données projet'!$B$11,Paramètres!$A$1:$I$89,3,0)*0.475*44/12</f>
        <v>7.7553063264649476</v>
      </c>
      <c r="BR82" s="21">
        <f>EXP(-LN(2)/2)*BR81+(1-EXP(-LN(2)/2))/(LN(2)/2)*BL82*BO82*VLOOKUP('Données projet'!$B$11,Paramètres!$A$1:$I$89,3,0)*0.475*44/12</f>
        <v>1.3707035318066427E-6</v>
      </c>
      <c r="BS82" s="22">
        <f t="shared" si="63"/>
        <v>9.4862352161111563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425.6</v>
      </c>
      <c r="BZ82" s="13">
        <f>BY82*VLOOKUP('Données projet'!$B$12,Paramètres!$A$1:$I$89,3,0)*VLOOKUP('Données projet'!$B$12,Paramètres!$A$1:$I$89,5,0)</f>
        <v>232.37760000000003</v>
      </c>
      <c r="CA82" s="13">
        <f t="shared" si="93"/>
        <v>56.7964661260323</v>
      </c>
      <c r="CB82" s="20">
        <f t="shared" si="64"/>
        <v>503.64483183617295</v>
      </c>
      <c r="CC82" s="59">
        <f t="shared" si="65"/>
        <v>796.97816516950627</v>
      </c>
      <c r="CD82" s="59">
        <f ca="1">AVERAGE(OFFSET($CC$3,0,0,'Données projet'!$E$12+1,1))-AVERAGE(OFFSET($H$3,0,0,'Données projet'!$E$12+1,1))</f>
        <v>210.04871822652808</v>
      </c>
      <c r="CE82" s="59">
        <f t="shared" si="94"/>
        <v>250.17540614049324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2.7665564573375545</v>
      </c>
      <c r="CL82" s="21">
        <f>EXP(-LN(2)/25)*CL81+(1-EXP(-LN(2)/25))/(LN(2)/25)*Calculateur!CG82*Calculateur!CI82*VLOOKUP('Données projet'!$B$12,Paramètres!$A$1:$I$89,3,0)*0.475*44/12</f>
        <v>7.1532853603942659</v>
      </c>
      <c r="CM82" s="21">
        <f>EXP(-LN(2)/2)*CM81+(1-EXP(-LN(2)/2))/(LN(2)/2)*CG82*CJ82*VLOOKUP('Données projet'!$B$12,Paramètres!$A$1:$I$89,3,0)*0.475*44/12</f>
        <v>9.0842848343382724E-7</v>
      </c>
      <c r="CN82" s="22">
        <f t="shared" si="66"/>
        <v>9.9198427261603026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3.1</v>
      </c>
      <c r="CT82" s="12">
        <f>IF('Données projet'!$A$140&gt;35,CT81+CS82-DB81,IF(A82&lt;'Données projet'!$A$140,$CQ$205^A82,IF(A82='Données projet'!$A$140,'Données projet'!$B$140,CT81+CS82-DB81)))</f>
        <v>280.90000000000003</v>
      </c>
      <c r="CU82" s="17">
        <f>CT82*VLOOKUP('Données projet'!$B$13,Paramètres!$A$1:$I$89,3,0)*VLOOKUP('Données projet'!$B$13,Paramètres!$A$1:$I$89,5,0)</f>
        <v>223.48404000000002</v>
      </c>
      <c r="CV82" s="13">
        <f t="shared" si="95"/>
        <v>54.871430742470253</v>
      </c>
      <c r="CW82" s="20">
        <f t="shared" si="67"/>
        <v>484.80244487646905</v>
      </c>
      <c r="CX82" s="59">
        <f t="shared" si="68"/>
        <v>778.13577820980231</v>
      </c>
      <c r="CY82" s="59">
        <f ca="1">AVERAGE(OFFSET($CX$3,0,0,'Données projet'!$E$13+1,1))-AVERAGE(OFFSET($H$3,0,0,'Données projet'!$E$13+1,1))</f>
        <v>199.58763537752952</v>
      </c>
      <c r="CZ82" s="59">
        <f t="shared" si="96"/>
        <v>242.62852778451929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2.6430175718453195</v>
      </c>
      <c r="DH82" s="21">
        <f>EXP(-LN(2)/2)*DH81+(1-EXP(-LN(2)/2))/(LN(2)/2)*DB82*DE82*VLOOKUP('Données projet'!$B$13,Paramètres!$A$1:$I$89,3,0)*0.475*44/12</f>
        <v>4.535657713401928E-7</v>
      </c>
      <c r="DI82" s="22">
        <f t="shared" si="69"/>
        <v>2.6430180254110907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7.2</v>
      </c>
      <c r="DO82" s="12">
        <f>IF('Données projet'!$A$166&gt;35,DO81+DN82-DW81,IF(A82&lt;'Données projet'!$A$166,$DL$205^A82,IF(A82='Données projet'!$A$166,'Données projet'!$B$166,DO81+DN82-DW81)))</f>
        <v>442.79999999999956</v>
      </c>
      <c r="DP82" s="17">
        <f>DO82*VLOOKUP('Données projet'!$B$14,Paramètres!$A$1:$I$89,3,0)*VLOOKUP('Données projet'!$B$14,Paramètres!$A$1:$I$89,5,0)</f>
        <v>264.79439999999977</v>
      </c>
      <c r="DQ82" s="13">
        <f t="shared" si="97"/>
        <v>63.74326095490612</v>
      </c>
      <c r="DR82" s="20">
        <f t="shared" si="70"/>
        <v>572.2030928297944</v>
      </c>
      <c r="DS82" s="59">
        <f t="shared" si="71"/>
        <v>865.53642616312777</v>
      </c>
      <c r="DT82" s="59">
        <f ca="1">AVERAGE(OFFSET($DS$3,0,0,'Données projet'!$E$14+1,1))-AVERAGE(OFFSET($H$3,0,0,'Données projet'!$E$14+1,1))</f>
        <v>216.94426559495264</v>
      </c>
      <c r="DU82" s="59">
        <f t="shared" si="98"/>
        <v>225.33715877618704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3.3026263800012701</v>
      </c>
      <c r="EC82" s="21">
        <f>EXP(-LN(2)/2)*EC81+(1-EXP(-LN(2)/2))/(LN(2)/2)*DW82*DZ82*VLOOKUP('Données projet'!$B$14,Paramètres!$A$1:$I$89,3,0)*0.475*44/12</f>
        <v>1.0001177358623357E-6</v>
      </c>
      <c r="ED82" s="22">
        <f t="shared" si="72"/>
        <v>3.3026273801190058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14.7</v>
      </c>
      <c r="EJ82" s="12">
        <f>IF('Données projet'!$A$192&gt;35,EJ81+EI82-ER81,IF(A82&lt;'Données projet'!$A$192,$EG$205^A82,IF(A82='Données projet'!$A$192,'Données projet'!$B$192,EJ81+EI82-ER81)))</f>
        <v>738.30000000000064</v>
      </c>
      <c r="EK82" s="17">
        <f>EJ82*VLOOKUP('Données projet'!$B$15,Paramètres!$A$1:$I$89,3,0)*VLOOKUP('Données projet'!$B$15,Paramètres!$A$1:$I$89,5,0)</f>
        <v>355.12230000000028</v>
      </c>
      <c r="EL82" s="13">
        <f t="shared" si="99"/>
        <v>82.616352474552542</v>
      </c>
      <c r="EM82" s="20">
        <f t="shared" si="73"/>
        <v>762.39481972651276</v>
      </c>
      <c r="EN82" s="59">
        <f t="shared" si="74"/>
        <v>1055.7281530598461</v>
      </c>
      <c r="EO82" s="59">
        <f ca="1">AVERAGE(OFFSET($EN$3,0,0,'Données projet'!$E$15+1,1))-AVERAGE(OFFSET($H$3,0,0,'Données projet'!$E$15+1,1))</f>
        <v>292.1792787220852</v>
      </c>
      <c r="EP82" s="59">
        <f t="shared" si="100"/>
        <v>273.69206144662144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2.5532618551845458</v>
      </c>
      <c r="EW82" s="21">
        <f>EXP(-LN(2)/25)*EW81+(1-EXP(-LN(2)/25))/(LN(2)/25)*Calculateur!ER82*Calculateur!ET82*VLOOKUP('Données projet'!$B$15,Paramètres!$A$1:$I$89,3,0)*0.475*44/12</f>
        <v>3.4501279149878412</v>
      </c>
      <c r="EX82" s="21">
        <f>EXP(-LN(2)/2)*EX81+(1-EXP(-LN(2)/2))/(LN(2)/2)*ER82*EU82*VLOOKUP('Données projet'!$B$15,Paramètres!$A$1:$I$89,3,0)*0.475*44/12</f>
        <v>8.8140791509086446E-7</v>
      </c>
      <c r="EY82" s="22">
        <f t="shared" si="75"/>
        <v>6.0033906515803013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533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532.99999999999989</v>
      </c>
      <c r="O83" s="13">
        <f>N83*VLOOKUP('Données projet'!$B$9,Paramètres!$A$1:$I$89,3,0)*VLOOKUP('Données projet'!$B$9,Paramètres!$A$1:$I$89,5,0)</f>
        <v>249.44399999999993</v>
      </c>
      <c r="P83" s="13">
        <f t="shared" si="87"/>
        <v>60.466866397117599</v>
      </c>
      <c r="Q83" s="20">
        <f t="shared" si="54"/>
        <v>539.76142564164627</v>
      </c>
      <c r="R83" s="59">
        <f t="shared" si="55"/>
        <v>833.09475897497964</v>
      </c>
      <c r="S83" s="59">
        <f ca="1">AVERAGE(OFFSET($R$3,0,0,'Données projet'!$E$9+1,1))-AVERAGE(OFFSET($H$3,0,0,'Données projet'!$E$9+1,1))</f>
        <v>215.23235148064941</v>
      </c>
      <c r="T83" s="59">
        <f t="shared" si="88"/>
        <v>184.07239726900434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83.4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1.1644925897848111</v>
      </c>
      <c r="AA83" s="21">
        <f>EXP(-LN(2)/25)*AA82+(1-EXP(-LN(2)/25))/(LN(2)/25)*Calculateur!V83*Calculateur!X83*VLOOKUP('Données projet'!$B$9,Paramètres!$A$1:$I$89,3,0)*0.475*44/12</f>
        <v>1.963866088498307</v>
      </c>
      <c r="AB83" s="21">
        <f>EXP(-LN(2)/2)*AB82+(1-EXP(-LN(2)/2))/(LN(2)/2)*V83*Y83*VLOOKUP('Données projet'!$B$9,Paramètres!$A$1:$I$89,3,0)*0.475*44/12</f>
        <v>2.9302169323849654E-7</v>
      </c>
      <c r="AC83" s="22">
        <f t="shared" si="57"/>
        <v>3.1283589713048112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-8.5265128291212022E-14</v>
      </c>
      <c r="AJ83" s="13">
        <f>AI83*VLOOKUP('Données projet'!$B$10,Paramètres!$A$1:$I$89,3,0)*VLOOKUP('Données projet'!$B$10,Paramètres!$A$1:$I$89,5,0)</f>
        <v>-7.7147888077888636E-14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225.28075317732998</v>
      </c>
      <c r="AO83" s="59">
        <f t="shared" si="90"/>
        <v>358.43407531256207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0.83346599451148484</v>
      </c>
      <c r="AV83" s="21">
        <f>EXP(-LN(2)/25)*AV82+(1-EXP(-LN(2)/25))/(LN(2)/25)*Calculateur!AQ83*Calculateur!AS83*VLOOKUP('Données projet'!$B$10,Paramètres!$A$1:$I$89,3,0)*0.475*44/12</f>
        <v>2.0680141700153065</v>
      </c>
      <c r="AW83" s="21">
        <f>EXP(-LN(2)/2)*AW82+(1-EXP(-LN(2)/2))/(LN(2)/2)*AQ83*AT83*VLOOKUP('Données projet'!$B$10,Paramètres!$A$1:$I$89,3,0)*0.475*44/12</f>
        <v>1.3154808029441606E-7</v>
      </c>
      <c r="AX83" s="21">
        <f t="shared" si="60"/>
        <v>2.901480296074872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651</v>
      </c>
      <c r="BB83" s="12">
        <f>VLOOKUP(A83,'Données projet'!$A$87:$I$107,9,0)</f>
        <v>10.4</v>
      </c>
      <c r="BC83" s="12">
        <f t="array" ref="BC83">INDEX(BB:BB,MIN(IF(ISNUMBER(BB83:BB279),ROW(BB83:BB279),"")))</f>
        <v>10.4</v>
      </c>
      <c r="BD83" s="12">
        <f>IF('Données projet'!$A$88&gt;35,BD82+BC83-BL82,IF(A83&lt;'Données projet'!$A$88,$BA$205^A83,IF(A83='Données projet'!$A$88,'Données projet'!$B$88,BD82+BC83-BL82)))</f>
        <v>650.99999999999943</v>
      </c>
      <c r="BE83" s="13">
        <f>BD83*VLOOKUP('Données projet'!$B$11,Paramètres!$A$1:$I$89,3,0)*VLOOKUP('Données projet'!$B$11,Paramètres!$A$1:$I$89,5,0)</f>
        <v>363.90899999999971</v>
      </c>
      <c r="BF83" s="13">
        <f t="shared" si="91"/>
        <v>84.4199906692578</v>
      </c>
      <c r="BG83" s="20">
        <f t="shared" si="61"/>
        <v>780.83965874895682</v>
      </c>
      <c r="BH83" s="59">
        <f t="shared" si="62"/>
        <v>1074.1729920822902</v>
      </c>
      <c r="BI83" s="59">
        <f ca="1">AVERAGE(OFFSET($BH$3,0,0,'Données projet'!$E$11+1,1))-AVERAGE(OFFSET($H$3,0,0,'Données projet'!$E$11+1,1))</f>
        <v>326.31232746914907</v>
      </c>
      <c r="BJ83" s="59">
        <f t="shared" si="92"/>
        <v>330.17137761430297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651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1.6969850860577511</v>
      </c>
      <c r="BQ83" s="21">
        <f>EXP(-LN(2)/25)*BQ82+(1-EXP(-LN(2)/25))/(LN(2)/25)*Calculateur!BL83*Calculateur!BN83*VLOOKUP('Données projet'!$B$11,Paramètres!$A$1:$I$89,3,0)*0.475*44/12</f>
        <v>7.5432370671339291</v>
      </c>
      <c r="BR83" s="21">
        <f>EXP(-LN(2)/2)*BR82+(1-EXP(-LN(2)/2))/(LN(2)/2)*BL83*BO83*VLOOKUP('Données projet'!$B$11,Paramètres!$A$1:$I$89,3,0)*0.475*44/12</f>
        <v>9.6923376233682757E-7</v>
      </c>
      <c r="BS83" s="22">
        <f t="shared" si="63"/>
        <v>9.2402231224254425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433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433</v>
      </c>
      <c r="BZ83" s="13">
        <f>BY83*VLOOKUP('Données projet'!$B$12,Paramètres!$A$1:$I$89,3,0)*VLOOKUP('Données projet'!$B$12,Paramètres!$A$1:$I$89,5,0)</f>
        <v>236.41799999999998</v>
      </c>
      <c r="CA83" s="13">
        <f t="shared" si="93"/>
        <v>57.668172541352746</v>
      </c>
      <c r="CB83" s="20">
        <f t="shared" si="64"/>
        <v>512.20008384285597</v>
      </c>
      <c r="CC83" s="59">
        <f t="shared" si="65"/>
        <v>805.53341717618923</v>
      </c>
      <c r="CD83" s="59">
        <f ca="1">AVERAGE(OFFSET($CC$3,0,0,'Données projet'!$E$12+1,1))-AVERAGE(OFFSET($H$3,0,0,'Données projet'!$E$12+1,1))</f>
        <v>210.04871822652808</v>
      </c>
      <c r="CE83" s="59">
        <f t="shared" si="94"/>
        <v>250.17540614049324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433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2.712305972641984</v>
      </c>
      <c r="CL83" s="21">
        <f>EXP(-LN(2)/25)*CL82+(1-EXP(-LN(2)/25))/(LN(2)/25)*Calculateur!CG83*Calculateur!CI83*VLOOKUP('Données projet'!$B$12,Paramètres!$A$1:$I$89,3,0)*0.475*44/12</f>
        <v>6.9576783960393564</v>
      </c>
      <c r="CM83" s="21">
        <f>EXP(-LN(2)/2)*CM82+(1-EXP(-LN(2)/2))/(LN(2)/2)*CG83*CJ83*VLOOKUP('Données projet'!$B$12,Paramètres!$A$1:$I$89,3,0)*0.475*44/12</f>
        <v>6.4235594085907048E-7</v>
      </c>
      <c r="CN83" s="22">
        <f t="shared" si="66"/>
        <v>9.6699850110372818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284</v>
      </c>
      <c r="CR83" s="12">
        <f>VLOOKUP(A83,'Données projet'!$A$139:$I$159,9,0)</f>
        <v>3.1</v>
      </c>
      <c r="CS83" s="12">
        <f t="array" ref="CS83">INDEX(CR:CR,MIN(IF(ISNUMBER(CR83:CR279),ROW(CR83:CR279),"")))</f>
        <v>3.1</v>
      </c>
      <c r="CT83" s="12">
        <f>IF('Données projet'!$A$140&gt;35,CT82+CS83-DB82,IF(A83&lt;'Données projet'!$A$140,$CQ$205^A83,IF(A83='Données projet'!$A$140,'Données projet'!$B$140,CT82+CS83-DB82)))</f>
        <v>284.00000000000006</v>
      </c>
      <c r="CU83" s="17">
        <f>CT83*VLOOKUP('Données projet'!$B$13,Paramètres!$A$1:$I$89,3,0)*VLOOKUP('Données projet'!$B$13,Paramètres!$A$1:$I$89,5,0)</f>
        <v>225.95040000000006</v>
      </c>
      <c r="CV83" s="13">
        <f t="shared" si="95"/>
        <v>55.406160129335312</v>
      </c>
      <c r="CW83" s="20">
        <f t="shared" si="67"/>
        <v>490.02934222525914</v>
      </c>
      <c r="CX83" s="59">
        <f t="shared" si="68"/>
        <v>783.3626755585924</v>
      </c>
      <c r="CY83" s="59">
        <f ca="1">AVERAGE(OFFSET($CX$3,0,0,'Données projet'!$E$13+1,1))-AVERAGE(OFFSET($H$3,0,0,'Données projet'!$E$13+1,1))</f>
        <v>199.58763537752952</v>
      </c>
      <c r="CZ83" s="59">
        <f t="shared" si="96"/>
        <v>242.62852778451929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284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2.5707441173529557</v>
      </c>
      <c r="DH83" s="21">
        <f>EXP(-LN(2)/2)*DH82+(1-EXP(-LN(2)/2))/(LN(2)/2)*DB83*DE83*VLOOKUP('Données projet'!$B$13,Paramètres!$A$1:$I$89,3,0)*0.475*44/12</f>
        <v>3.2071943262875735E-7</v>
      </c>
      <c r="DI83" s="22">
        <f t="shared" si="69"/>
        <v>2.5707444380723885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450</v>
      </c>
      <c r="DM83" s="12">
        <f>VLOOKUP(A83,'Données projet'!$A$165:$I$185,9,0)</f>
        <v>7.2</v>
      </c>
      <c r="DN83" s="12">
        <f t="array" ref="DN83">INDEX(DM:DM,MIN(IF(ISNUMBER(DM83:DM279),ROW(DM83:DM279),"")))</f>
        <v>7.2</v>
      </c>
      <c r="DO83" s="12">
        <f>IF('Données projet'!$A$166&gt;35,DO82+DN83-DW82,IF(A83&lt;'Données projet'!$A$166,$DL$205^A83,IF(A83='Données projet'!$A$166,'Données projet'!$B$166,DO82+DN83-DW82)))</f>
        <v>449.99999999999955</v>
      </c>
      <c r="DP83" s="17">
        <f>DO83*VLOOKUP('Données projet'!$B$14,Paramètres!$A$1:$I$89,3,0)*VLOOKUP('Données projet'!$B$14,Paramètres!$A$1:$I$89,5,0)</f>
        <v>269.09999999999974</v>
      </c>
      <c r="DQ83" s="13">
        <f t="shared" si="97"/>
        <v>64.658229472790936</v>
      </c>
      <c r="DR83" s="20">
        <f t="shared" si="70"/>
        <v>581.29558299844382</v>
      </c>
      <c r="DS83" s="59">
        <f t="shared" si="71"/>
        <v>874.62891633177719</v>
      </c>
      <c r="DT83" s="59">
        <f ca="1">AVERAGE(OFFSET($DS$3,0,0,'Données projet'!$E$14+1,1))-AVERAGE(OFFSET($H$3,0,0,'Données projet'!$E$14+1,1))</f>
        <v>216.94426559495264</v>
      </c>
      <c r="DU83" s="59">
        <f t="shared" si="98"/>
        <v>225.33715877618704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450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3.2123158879625624</v>
      </c>
      <c r="EC83" s="21">
        <f>EXP(-LN(2)/2)*EC82+(1-EXP(-LN(2)/2))/(LN(2)/2)*DW83*DZ83*VLOOKUP('Données projet'!$B$14,Paramètres!$A$1:$I$89,3,0)*0.475*44/12</f>
        <v>7.0719003301319395E-7</v>
      </c>
      <c r="ED83" s="22">
        <f t="shared" si="72"/>
        <v>3.2123165951525956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753</v>
      </c>
      <c r="EH83" s="12">
        <f>VLOOKUP(A83,'Données projet'!$A$191:$I$211,9,0)</f>
        <v>14.7</v>
      </c>
      <c r="EI83" s="12">
        <f t="array" ref="EI83">INDEX(EH:EH,MIN(IF(ISNUMBER(EH83:EH279),ROW(EH83:EH279),"")))</f>
        <v>14.7</v>
      </c>
      <c r="EJ83" s="12">
        <f>IF('Données projet'!$A$192&gt;35,EJ82+EI83-ER82,IF(A83&lt;'Données projet'!$A$192,$EG$205^A83,IF(A83='Données projet'!$A$192,'Données projet'!$B$192,EJ82+EI83-ER82)))</f>
        <v>753.00000000000068</v>
      </c>
      <c r="EK83" s="17">
        <f>EJ83*VLOOKUP('Données projet'!$B$15,Paramètres!$A$1:$I$89,3,0)*VLOOKUP('Données projet'!$B$15,Paramètres!$A$1:$I$89,5,0)</f>
        <v>362.19300000000032</v>
      </c>
      <c r="EL83" s="13">
        <f t="shared" si="99"/>
        <v>84.068150942182896</v>
      </c>
      <c r="EM83" s="20">
        <f t="shared" si="73"/>
        <v>777.23817122430239</v>
      </c>
      <c r="EN83" s="59">
        <f t="shared" si="74"/>
        <v>1070.5715045576358</v>
      </c>
      <c r="EO83" s="59">
        <f ca="1">AVERAGE(OFFSET($EN$3,0,0,'Données projet'!$E$15+1,1))-AVERAGE(OFFSET($H$3,0,0,'Données projet'!$E$15+1,1))</f>
        <v>292.1792787220852</v>
      </c>
      <c r="EP83" s="59">
        <f t="shared" si="100"/>
        <v>273.69206144662144</v>
      </c>
      <c r="EQ83" s="15">
        <f>IF(ISNA(VLOOKUP(A83,'Données projet'!$A$191:$I$211,3,0)),0,VLOOKUP(A83,'Données projet'!$A$191:$I$211,3,0))</f>
        <v>6</v>
      </c>
      <c r="ER83" s="15">
        <f>IF(ISNA(VLOOKUP(A83,'Données projet'!$A$191:$I$211,4,0)),0,VLOOKUP(A83,'Données projet'!$A$191:$I$211,4,0))</f>
        <v>753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2.5031939475403342</v>
      </c>
      <c r="EW83" s="21">
        <f>EXP(-LN(2)/25)*EW82+(1-EXP(-LN(2)/25))/(LN(2)/25)*Calculateur!ER83*Calculateur!ET83*VLOOKUP('Données projet'!$B$15,Paramètres!$A$1:$I$89,3,0)*0.475*44/12</f>
        <v>3.3557839857181571</v>
      </c>
      <c r="EX83" s="21">
        <f>EXP(-LN(2)/2)*EX82+(1-EXP(-LN(2)/2))/(LN(2)/2)*ER83*EU83*VLOOKUP('Données projet'!$B$15,Paramètres!$A$1:$I$89,3,0)*0.475*44/12</f>
        <v>6.2324951375224695E-7</v>
      </c>
      <c r="EY83" s="22">
        <f t="shared" si="75"/>
        <v>5.8589785565080046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467.09999999999991</v>
      </c>
      <c r="O84" s="13">
        <f>N84*VLOOKUP('Données projet'!$B$9,Paramètres!$A$1:$I$89,3,0)*VLOOKUP('Données projet'!$B$9,Paramètres!$A$1:$I$89,5,0)</f>
        <v>218.60279999999995</v>
      </c>
      <c r="P84" s="13">
        <f t="shared" si="87"/>
        <v>53.811098692658383</v>
      </c>
      <c r="Q84" s="20">
        <f t="shared" si="54"/>
        <v>474.45420688971325</v>
      </c>
      <c r="R84" s="59">
        <f t="shared" si="55"/>
        <v>767.78754022304656</v>
      </c>
      <c r="S84" s="59">
        <f ca="1">AVERAGE(OFFSET($R$3,0,0,'Données projet'!$E$9+1,1))-AVERAGE(OFFSET($H$3,0,0,'Données projet'!$E$9+1,1))</f>
        <v>215.23235148064941</v>
      </c>
      <c r="T84" s="59">
        <f t="shared" si="88"/>
        <v>184.07239726900434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1.1416576003694774</v>
      </c>
      <c r="AA84" s="21">
        <f>EXP(-LN(2)/25)*AA83+(1-EXP(-LN(2)/25))/(LN(2)/25)*Calculateur!V84*Calculateur!X84*VLOOKUP('Données projet'!$B$9,Paramètres!$A$1:$I$89,3,0)*0.475*44/12</f>
        <v>1.9101640670330917</v>
      </c>
      <c r="AB84" s="21">
        <f>EXP(-LN(2)/2)*AB83+(1-EXP(-LN(2)/2))/(LN(2)/2)*V84*Y84*VLOOKUP('Données projet'!$B$9,Paramètres!$A$1:$I$89,3,0)*0.475*44/12</f>
        <v>2.0719762632370523E-7</v>
      </c>
      <c r="AC84" s="22">
        <f t="shared" si="57"/>
        <v>3.0518218746001953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-8.5265128291212022E-14</v>
      </c>
      <c r="AJ84" s="13">
        <f>AI84*VLOOKUP('Données projet'!$B$10,Paramètres!$A$1:$I$89,3,0)*VLOOKUP('Données projet'!$B$10,Paramètres!$A$1:$I$89,5,0)</f>
        <v>-7.7147888077888636E-14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225.28075317732998</v>
      </c>
      <c r="AO84" s="59">
        <f t="shared" si="90"/>
        <v>358.43407531256207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0.81712223472317447</v>
      </c>
      <c r="AV84" s="21">
        <f>EXP(-LN(2)/25)*AV83+(1-EXP(-LN(2)/25))/(LN(2)/25)*Calculateur!AQ84*Calculateur!AS84*VLOOKUP('Données projet'!$B$10,Paramètres!$A$1:$I$89,3,0)*0.475*44/12</f>
        <v>2.0114642137840995</v>
      </c>
      <c r="AW84" s="21">
        <f>EXP(-LN(2)/2)*AW83+(1-EXP(-LN(2)/2))/(LN(2)/2)*AQ84*AT84*VLOOKUP('Données projet'!$B$10,Paramètres!$A$1:$I$89,3,0)*0.475*44/12</f>
        <v>9.3018539628254041E-8</v>
      </c>
      <c r="AX84" s="21">
        <f t="shared" si="60"/>
        <v>2.8285865415258136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-5.6843418860808015E-13</v>
      </c>
      <c r="BE84" s="13">
        <f>BD84*VLOOKUP('Données projet'!$B$11,Paramètres!$A$1:$I$89,3,0)*VLOOKUP('Données projet'!$B$11,Paramètres!$A$1:$I$89,5,0)</f>
        <v>-3.177547114319168E-13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326.31232746914907</v>
      </c>
      <c r="BJ84" s="59">
        <f t="shared" si="92"/>
        <v>330.17137761430297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1.6637082435788575</v>
      </c>
      <c r="BQ84" s="21">
        <f>EXP(-LN(2)/25)*BQ83+(1-EXP(-LN(2)/25))/(LN(2)/25)*Calculateur!BL84*Calculateur!BN84*VLOOKUP('Données projet'!$B$11,Paramètres!$A$1:$I$89,3,0)*0.475*44/12</f>
        <v>7.336966852851555</v>
      </c>
      <c r="BR84" s="21">
        <f>EXP(-LN(2)/2)*BR83+(1-EXP(-LN(2)/2))/(LN(2)/2)*BL84*BO84*VLOOKUP('Données projet'!$B$11,Paramètres!$A$1:$I$89,3,0)*0.475*44/12</f>
        <v>6.8535176590332133E-7</v>
      </c>
      <c r="BS84" s="22">
        <f t="shared" si="63"/>
        <v>9.0006757817821796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210.04871822652808</v>
      </c>
      <c r="CE84" s="59">
        <f t="shared" si="94"/>
        <v>250.17540614049324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2.6591193068617653</v>
      </c>
      <c r="CL84" s="21">
        <f>EXP(-LN(2)/25)*CL83+(1-EXP(-LN(2)/25))/(LN(2)/25)*Calculateur!CG84*Calculateur!CI84*VLOOKUP('Données projet'!$B$12,Paramètres!$A$1:$I$89,3,0)*0.475*44/12</f>
        <v>6.7674203144112557</v>
      </c>
      <c r="CM84" s="21">
        <f>EXP(-LN(2)/2)*CM83+(1-EXP(-LN(2)/2))/(LN(2)/2)*CG84*CJ84*VLOOKUP('Données projet'!$B$12,Paramètres!$A$1:$I$89,3,0)*0.475*44/12</f>
        <v>4.5421424171691362E-7</v>
      </c>
      <c r="CN84" s="22">
        <f t="shared" si="66"/>
        <v>9.4265400754872619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4.5224624045658861E-14</v>
      </c>
      <c r="CV84" s="13">
        <f t="shared" si="95"/>
        <v>7.4514601661523691E-13</v>
      </c>
      <c r="CW84" s="20">
        <f t="shared" si="67"/>
        <v>1.3765621991510601E-12</v>
      </c>
      <c r="CX84" s="59">
        <f t="shared" si="68"/>
        <v>293.33333333333468</v>
      </c>
      <c r="CY84" s="59">
        <f ca="1">AVERAGE(OFFSET($CX$3,0,0,'Données projet'!$E$13+1,1))-AVERAGE(OFFSET($H$3,0,0,'Données projet'!$E$13+1,1))</f>
        <v>199.58763537752952</v>
      </c>
      <c r="CZ84" s="59">
        <f t="shared" si="96"/>
        <v>242.62852778451929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2.5004469842743817</v>
      </c>
      <c r="DH84" s="21">
        <f>EXP(-LN(2)/2)*DH83+(1-EXP(-LN(2)/2))/(LN(2)/2)*DB84*DE84*VLOOKUP('Données projet'!$B$13,Paramètres!$A$1:$I$89,3,0)*0.475*44/12</f>
        <v>2.267828856700964E-7</v>
      </c>
      <c r="DI84" s="22">
        <f t="shared" si="69"/>
        <v>2.5004472110572675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-4.5474735088646412E-13</v>
      </c>
      <c r="DP84" s="17">
        <f>DO84*VLOOKUP('Données projet'!$B$14,Paramètres!$A$1:$I$89,3,0)*VLOOKUP('Données projet'!$B$14,Paramètres!$A$1:$I$89,5,0)</f>
        <v>-2.7193891583010558E-13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216.94426559495264</v>
      </c>
      <c r="DU84" s="59">
        <f t="shared" si="98"/>
        <v>225.33715877618704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3.1244749410778754</v>
      </c>
      <c r="EC84" s="21">
        <f>EXP(-LN(2)/2)*EC83+(1-EXP(-LN(2)/2))/(LN(2)/2)*DW84*DZ84*VLOOKUP('Données projet'!$B$14,Paramètres!$A$1:$I$89,3,0)*0.475*44/12</f>
        <v>5.0005886793116784E-7</v>
      </c>
      <c r="ED84" s="22">
        <f t="shared" si="72"/>
        <v>3.1244754411367435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6.8212102632969618E-13</v>
      </c>
      <c r="EK84" s="17">
        <f>EJ84*VLOOKUP('Données projet'!$B$15,Paramètres!$A$1:$I$89,3,0)*VLOOKUP('Données projet'!$B$15,Paramètres!$A$1:$I$89,5,0)</f>
        <v>3.2810021366458383E-13</v>
      </c>
      <c r="EL84" s="13">
        <f t="shared" si="99"/>
        <v>4.2923528923937213E-12</v>
      </c>
      <c r="EM84" s="20">
        <f t="shared" si="73"/>
        <v>8.0472891597182151E-12</v>
      </c>
      <c r="EN84" s="59">
        <f t="shared" si="74"/>
        <v>293.33333333334139</v>
      </c>
      <c r="EO84" s="59">
        <f ca="1">AVERAGE(OFFSET($EN$3,0,0,'Données projet'!$E$15+1,1))-AVERAGE(OFFSET($H$3,0,0,'Données projet'!$E$15+1,1))</f>
        <v>292.1792787220852</v>
      </c>
      <c r="EP84" s="59">
        <f t="shared" si="100"/>
        <v>273.69206144662144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2.4541078410266177</v>
      </c>
      <c r="EW84" s="21">
        <f>EXP(-LN(2)/25)*EW83+(1-EXP(-LN(2)/25))/(LN(2)/25)*Calculateur!ER84*Calculateur!ET84*VLOOKUP('Données projet'!$B$15,Paramètres!$A$1:$I$89,3,0)*0.475*44/12</f>
        <v>3.2640198961556841</v>
      </c>
      <c r="EX84" s="21">
        <f>EXP(-LN(2)/2)*EX83+(1-EXP(-LN(2)/2))/(LN(2)/2)*ER84*EU84*VLOOKUP('Données projet'!$B$15,Paramètres!$A$1:$I$89,3,0)*0.475*44/12</f>
        <v>4.4070395754543223E-7</v>
      </c>
      <c r="EY84" s="22">
        <f t="shared" si="75"/>
        <v>5.7181281778862596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484.59999999999991</v>
      </c>
      <c r="O85" s="13">
        <f>N85*VLOOKUP('Données projet'!$B$9,Paramètres!$A$1:$I$89,3,0)*VLOOKUP('Données projet'!$B$9,Paramètres!$A$1:$I$89,5,0)</f>
        <v>226.79279999999994</v>
      </c>
      <c r="P85" s="13">
        <f t="shared" si="87"/>
        <v>55.588644170072158</v>
      </c>
      <c r="Q85" s="20">
        <f t="shared" si="54"/>
        <v>491.8143485962089</v>
      </c>
      <c r="R85" s="59">
        <f t="shared" si="55"/>
        <v>785.14768192954216</v>
      </c>
      <c r="S85" s="59">
        <f ca="1">AVERAGE(OFFSET($R$3,0,0,'Données projet'!$E$9+1,1))-AVERAGE(OFFSET($H$3,0,0,'Données projet'!$E$9+1,1))</f>
        <v>215.23235148064941</v>
      </c>
      <c r="T85" s="59">
        <f t="shared" si="88"/>
        <v>184.07239726900434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1.1192703911686102</v>
      </c>
      <c r="AA85" s="21">
        <f>EXP(-LN(2)/25)*AA84+(1-EXP(-LN(2)/25))/(LN(2)/25)*Calculateur!V85*Calculateur!X85*VLOOKUP('Données projet'!$B$9,Paramètres!$A$1:$I$89,3,0)*0.475*44/12</f>
        <v>1.8579305301689093</v>
      </c>
      <c r="AB85" s="21">
        <f>EXP(-LN(2)/2)*AB84+(1-EXP(-LN(2)/2))/(LN(2)/2)*V85*Y85*VLOOKUP('Données projet'!$B$9,Paramètres!$A$1:$I$89,3,0)*0.475*44/12</f>
        <v>1.4651084661924827E-7</v>
      </c>
      <c r="AC85" s="22">
        <f t="shared" si="57"/>
        <v>2.977201067848366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-8.5265128291212022E-14</v>
      </c>
      <c r="AJ85" s="13">
        <f>AI85*VLOOKUP('Données projet'!$B$10,Paramètres!$A$1:$I$89,3,0)*VLOOKUP('Données projet'!$B$10,Paramètres!$A$1:$I$89,5,0)</f>
        <v>-7.7147888077888636E-14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225.28075317732998</v>
      </c>
      <c r="AO85" s="59">
        <f t="shared" si="90"/>
        <v>358.43407531256207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0.80109896609560372</v>
      </c>
      <c r="AV85" s="21">
        <f>EXP(-LN(2)/25)*AV84+(1-EXP(-LN(2)/25))/(LN(2)/25)*Calculateur!AQ85*Calculateur!AS85*VLOOKUP('Données projet'!$B$10,Paramètres!$A$1:$I$89,3,0)*0.475*44/12</f>
        <v>1.9564606190798675</v>
      </c>
      <c r="AW85" s="21">
        <f>EXP(-LN(2)/2)*AW84+(1-EXP(-LN(2)/2))/(LN(2)/2)*AQ85*AT85*VLOOKUP('Données projet'!$B$10,Paramètres!$A$1:$I$89,3,0)*0.475*44/12</f>
        <v>6.577404014720803E-8</v>
      </c>
      <c r="AX85" s="21">
        <f t="shared" si="60"/>
        <v>2.7575596509495113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-5.6843418860808015E-13</v>
      </c>
      <c r="BE85" s="13">
        <f>BD85*VLOOKUP('Données projet'!$B$11,Paramètres!$A$1:$I$89,3,0)*VLOOKUP('Données projet'!$B$11,Paramètres!$A$1:$I$89,5,0)</f>
        <v>-3.177547114319168E-13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326.31232746914907</v>
      </c>
      <c r="BJ85" s="59">
        <f t="shared" si="92"/>
        <v>330.17137761430297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1.6310839396841053</v>
      </c>
      <c r="BQ85" s="21">
        <f>EXP(-LN(2)/25)*BQ84+(1-EXP(-LN(2)/25))/(LN(2)/25)*Calculateur!BL85*Calculateur!BN85*VLOOKUP('Données projet'!$B$11,Paramètres!$A$1:$I$89,3,0)*0.475*44/12</f>
        <v>7.1363371084260114</v>
      </c>
      <c r="BR85" s="21">
        <f>EXP(-LN(2)/2)*BR84+(1-EXP(-LN(2)/2))/(LN(2)/2)*BL85*BO85*VLOOKUP('Données projet'!$B$11,Paramètres!$A$1:$I$89,3,0)*0.475*44/12</f>
        <v>4.8461688116841378E-7</v>
      </c>
      <c r="BS85" s="22">
        <f t="shared" si="63"/>
        <v>8.7674215327269991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210.04871822652808</v>
      </c>
      <c r="CE85" s="59">
        <f t="shared" si="94"/>
        <v>250.17540614049324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2.6069755991568337</v>
      </c>
      <c r="CL85" s="21">
        <f>EXP(-LN(2)/25)*CL84+(1-EXP(-LN(2)/25))/(LN(2)/25)*Calculateur!CG85*Calculateur!CI85*VLOOKUP('Données projet'!$B$12,Paramètres!$A$1:$I$89,3,0)*0.475*44/12</f>
        <v>6.5823648500305127</v>
      </c>
      <c r="CM85" s="21">
        <f>EXP(-LN(2)/2)*CM84+(1-EXP(-LN(2)/2))/(LN(2)/2)*CG85*CJ85*VLOOKUP('Données projet'!$B$12,Paramètres!$A$1:$I$89,3,0)*0.475*44/12</f>
        <v>3.2117797042953524E-7</v>
      </c>
      <c r="CN85" s="22">
        <f t="shared" si="66"/>
        <v>9.189340770365316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4.5224624045658861E-14</v>
      </c>
      <c r="CV85" s="13">
        <f t="shared" si="95"/>
        <v>7.4514601661523691E-13</v>
      </c>
      <c r="CW85" s="20">
        <f t="shared" si="67"/>
        <v>1.3765621991510601E-12</v>
      </c>
      <c r="CX85" s="59">
        <f t="shared" si="68"/>
        <v>293.33333333333468</v>
      </c>
      <c r="CY85" s="59">
        <f ca="1">AVERAGE(OFFSET($CX$3,0,0,'Données projet'!$E$13+1,1))-AVERAGE(OFFSET($H$3,0,0,'Données projet'!$E$13+1,1))</f>
        <v>199.58763537752952</v>
      </c>
      <c r="CZ85" s="59">
        <f t="shared" si="96"/>
        <v>242.62852778451929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2.4320721299966066</v>
      </c>
      <c r="DH85" s="21">
        <f>EXP(-LN(2)/2)*DH84+(1-EXP(-LN(2)/2))/(LN(2)/2)*DB85*DE85*VLOOKUP('Données projet'!$B$13,Paramètres!$A$1:$I$89,3,0)*0.475*44/12</f>
        <v>1.6035971631437868E-7</v>
      </c>
      <c r="DI85" s="22">
        <f t="shared" si="69"/>
        <v>2.4320722903563228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-4.5474735088646412E-13</v>
      </c>
      <c r="DP85" s="17">
        <f>DO85*VLOOKUP('Données projet'!$B$14,Paramètres!$A$1:$I$89,3,0)*VLOOKUP('Données projet'!$B$14,Paramètres!$A$1:$I$89,5,0)</f>
        <v>-2.7193891583010558E-13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216.94426559495264</v>
      </c>
      <c r="DU85" s="59">
        <f t="shared" si="98"/>
        <v>225.33715877618704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3.039036009505105</v>
      </c>
      <c r="EC85" s="21">
        <f>EXP(-LN(2)/2)*EC84+(1-EXP(-LN(2)/2))/(LN(2)/2)*DW85*DZ85*VLOOKUP('Données projet'!$B$14,Paramètres!$A$1:$I$89,3,0)*0.475*44/12</f>
        <v>3.5359501650659697E-7</v>
      </c>
      <c r="ED85" s="22">
        <f t="shared" si="72"/>
        <v>3.0390363631001214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6.8212102632969618E-13</v>
      </c>
      <c r="EK85" s="17">
        <f>EJ85*VLOOKUP('Données projet'!$B$15,Paramètres!$A$1:$I$89,3,0)*VLOOKUP('Données projet'!$B$15,Paramètres!$A$1:$I$89,5,0)</f>
        <v>3.2810021366458383E-13</v>
      </c>
      <c r="EL85" s="13">
        <f t="shared" si="99"/>
        <v>4.2923528923937213E-12</v>
      </c>
      <c r="EM85" s="20">
        <f t="shared" si="73"/>
        <v>8.0472891597182151E-12</v>
      </c>
      <c r="EN85" s="59">
        <f t="shared" si="74"/>
        <v>293.33333333334139</v>
      </c>
      <c r="EO85" s="59">
        <f ca="1">AVERAGE(OFFSET($EN$3,0,0,'Données projet'!$E$15+1,1))-AVERAGE(OFFSET($H$3,0,0,'Données projet'!$E$15+1,1))</f>
        <v>292.1792787220852</v>
      </c>
      <c r="EP85" s="59">
        <f t="shared" si="100"/>
        <v>273.69206144662144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2.4059842831220664</v>
      </c>
      <c r="EW85" s="21">
        <f>EXP(-LN(2)/25)*EW84+(1-EXP(-LN(2)/25))/(LN(2)/25)*Calculateur!ER85*Calculateur!ET85*VLOOKUP('Données projet'!$B$15,Paramètres!$A$1:$I$89,3,0)*0.475*44/12</f>
        <v>3.1747651004479605</v>
      </c>
      <c r="EX85" s="21">
        <f>EXP(-LN(2)/2)*EX84+(1-EXP(-LN(2)/2))/(LN(2)/2)*ER85*EU85*VLOOKUP('Données projet'!$B$15,Paramètres!$A$1:$I$89,3,0)*0.475*44/12</f>
        <v>3.1162475687612347E-7</v>
      </c>
      <c r="EY85" s="22">
        <f t="shared" si="75"/>
        <v>5.5807496951947835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502.09999999999991</v>
      </c>
      <c r="O86" s="13">
        <f>N86*VLOOKUP('Données projet'!$B$9,Paramètres!$A$1:$I$89,3,0)*VLOOKUP('Données projet'!$B$9,Paramètres!$A$1:$I$89,5,0)</f>
        <v>234.98279999999997</v>
      </c>
      <c r="P86" s="13">
        <f t="shared" si="87"/>
        <v>57.358731763746825</v>
      </c>
      <c r="Q86" s="20">
        <f t="shared" si="54"/>
        <v>509.16150115519235</v>
      </c>
      <c r="R86" s="59">
        <f t="shared" si="55"/>
        <v>802.49483448852561</v>
      </c>
      <c r="S86" s="59">
        <f ca="1">AVERAGE(OFFSET($R$3,0,0,'Données projet'!$E$9+1,1))-AVERAGE(OFFSET($H$3,0,0,'Données projet'!$E$9+1,1))</f>
        <v>215.23235148064941</v>
      </c>
      <c r="T86" s="59">
        <f t="shared" si="88"/>
        <v>184.07239726900434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1.0973221814853225</v>
      </c>
      <c r="AA86" s="21">
        <f>EXP(-LN(2)/25)*AA85+(1-EXP(-LN(2)/25))/(LN(2)/25)*Calculateur!V86*Calculateur!X86*VLOOKUP('Données projet'!$B$9,Paramètres!$A$1:$I$89,3,0)*0.475*44/12</f>
        <v>1.8071253221171202</v>
      </c>
      <c r="AB86" s="21">
        <f>EXP(-LN(2)/2)*AB85+(1-EXP(-LN(2)/2))/(LN(2)/2)*V86*Y86*VLOOKUP('Données projet'!$B$9,Paramètres!$A$1:$I$89,3,0)*0.475*44/12</f>
        <v>1.0359881316185261E-7</v>
      </c>
      <c r="AC86" s="22">
        <f t="shared" si="57"/>
        <v>2.9044476072012557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-8.5265128291212022E-14</v>
      </c>
      <c r="AJ86" s="13">
        <f>AI86*VLOOKUP('Données projet'!$B$10,Paramètres!$A$1:$I$89,3,0)*VLOOKUP('Données projet'!$B$10,Paramètres!$A$1:$I$89,5,0)</f>
        <v>-7.7147888077888636E-14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225.28075317732998</v>
      </c>
      <c r="AO86" s="59">
        <f t="shared" si="90"/>
        <v>358.43407531256207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0.78538990399259079</v>
      </c>
      <c r="AV86" s="21">
        <f>EXP(-LN(2)/25)*AV85+(1-EXP(-LN(2)/25))/(LN(2)/25)*Calculateur!AQ86*Calculateur!AS86*VLOOKUP('Données projet'!$B$10,Paramètres!$A$1:$I$89,3,0)*0.475*44/12</f>
        <v>1.9029611005653362</v>
      </c>
      <c r="AW86" s="21">
        <f>EXP(-LN(2)/2)*AW85+(1-EXP(-LN(2)/2))/(LN(2)/2)*AQ86*AT86*VLOOKUP('Données projet'!$B$10,Paramètres!$A$1:$I$89,3,0)*0.475*44/12</f>
        <v>4.650926981412702E-8</v>
      </c>
      <c r="AX86" s="21">
        <f t="shared" si="60"/>
        <v>2.6883510510671966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-5.6843418860808015E-13</v>
      </c>
      <c r="BE86" s="13">
        <f>BD86*VLOOKUP('Données projet'!$B$11,Paramètres!$A$1:$I$89,3,0)*VLOOKUP('Données projet'!$B$11,Paramètres!$A$1:$I$89,5,0)</f>
        <v>-3.177547114319168E-13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326.31232746914907</v>
      </c>
      <c r="BJ86" s="59">
        <f t="shared" si="92"/>
        <v>330.17137761430297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1.5990993784898686</v>
      </c>
      <c r="BQ86" s="21">
        <f>EXP(-LN(2)/25)*BQ85+(1-EXP(-LN(2)/25))/(LN(2)/25)*Calculateur!BL86*Calculateur!BN86*VLOOKUP('Données projet'!$B$11,Paramètres!$A$1:$I$89,3,0)*0.475*44/12</f>
        <v>6.9411935949124439</v>
      </c>
      <c r="BR86" s="21">
        <f>EXP(-LN(2)/2)*BR85+(1-EXP(-LN(2)/2))/(LN(2)/2)*BL86*BO86*VLOOKUP('Données projet'!$B$11,Paramètres!$A$1:$I$89,3,0)*0.475*44/12</f>
        <v>3.4267588295166067E-7</v>
      </c>
      <c r="BS86" s="22">
        <f t="shared" si="63"/>
        <v>8.5402933160781949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210.04871822652808</v>
      </c>
      <c r="CE86" s="59">
        <f t="shared" si="94"/>
        <v>250.17540614049324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2.5558543977554744</v>
      </c>
      <c r="CL86" s="21">
        <f>EXP(-LN(2)/25)*CL85+(1-EXP(-LN(2)/25))/(LN(2)/25)*Calculateur!CG86*Calculateur!CI86*VLOOKUP('Données projet'!$B$12,Paramètres!$A$1:$I$89,3,0)*0.475*44/12</f>
        <v>6.4023697370549053</v>
      </c>
      <c r="CM86" s="21">
        <f>EXP(-LN(2)/2)*CM85+(1-EXP(-LN(2)/2))/(LN(2)/2)*CG86*CJ86*VLOOKUP('Données projet'!$B$12,Paramètres!$A$1:$I$89,3,0)*0.475*44/12</f>
        <v>2.2710712085845681E-7</v>
      </c>
      <c r="CN86" s="22">
        <f t="shared" si="66"/>
        <v>8.9582243619174999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4.5224624045658861E-14</v>
      </c>
      <c r="CV86" s="13">
        <f t="shared" si="95"/>
        <v>7.4514601661523691E-13</v>
      </c>
      <c r="CW86" s="20">
        <f t="shared" si="67"/>
        <v>1.3765621991510601E-12</v>
      </c>
      <c r="CX86" s="59">
        <f t="shared" si="68"/>
        <v>293.33333333333468</v>
      </c>
      <c r="CY86" s="59">
        <f ca="1">AVERAGE(OFFSET($CX$3,0,0,'Données projet'!$E$13+1,1))-AVERAGE(OFFSET($H$3,0,0,'Données projet'!$E$13+1,1))</f>
        <v>199.58763537752952</v>
      </c>
      <c r="CZ86" s="59">
        <f t="shared" si="96"/>
        <v>242.62852778451929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2.3655669897047344</v>
      </c>
      <c r="DH86" s="21">
        <f>EXP(-LN(2)/2)*DH85+(1-EXP(-LN(2)/2))/(LN(2)/2)*DB86*DE86*VLOOKUP('Données projet'!$B$13,Paramètres!$A$1:$I$89,3,0)*0.475*44/12</f>
        <v>1.133914428350482E-7</v>
      </c>
      <c r="DI86" s="22">
        <f t="shared" si="69"/>
        <v>2.3655671030961773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-4.5474735088646412E-13</v>
      </c>
      <c r="DP86" s="17">
        <f>DO86*VLOOKUP('Données projet'!$B$14,Paramètres!$A$1:$I$89,3,0)*VLOOKUP('Données projet'!$B$14,Paramètres!$A$1:$I$89,5,0)</f>
        <v>-2.7193891583010558E-13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216.94426559495264</v>
      </c>
      <c r="DU86" s="59">
        <f t="shared" si="98"/>
        <v>225.33715877618704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2.95593341000923</v>
      </c>
      <c r="EC86" s="21">
        <f>EXP(-LN(2)/2)*EC85+(1-EXP(-LN(2)/2))/(LN(2)/2)*DW86*DZ86*VLOOKUP('Données projet'!$B$14,Paramètres!$A$1:$I$89,3,0)*0.475*44/12</f>
        <v>2.5002943396558392E-7</v>
      </c>
      <c r="ED86" s="22">
        <f t="shared" si="72"/>
        <v>2.9559336600386641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6.8212102632969618E-13</v>
      </c>
      <c r="EK86" s="17">
        <f>EJ86*VLOOKUP('Données projet'!$B$15,Paramètres!$A$1:$I$89,3,0)*VLOOKUP('Données projet'!$B$15,Paramètres!$A$1:$I$89,5,0)</f>
        <v>3.2810021366458383E-13</v>
      </c>
      <c r="EL86" s="13">
        <f t="shared" si="99"/>
        <v>4.2923528923937213E-12</v>
      </c>
      <c r="EM86" s="20">
        <f t="shared" si="73"/>
        <v>8.0472891597182151E-12</v>
      </c>
      <c r="EN86" s="59">
        <f t="shared" si="74"/>
        <v>293.33333333334139</v>
      </c>
      <c r="EO86" s="59">
        <f ca="1">AVERAGE(OFFSET($EN$3,0,0,'Données projet'!$E$15+1,1))-AVERAGE(OFFSET($H$3,0,0,'Données projet'!$E$15+1,1))</f>
        <v>292.1792787220852</v>
      </c>
      <c r="EP86" s="59">
        <f t="shared" si="100"/>
        <v>273.69206144662144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2.3588043988355514</v>
      </c>
      <c r="EW86" s="21">
        <f>EXP(-LN(2)/25)*EW85+(1-EXP(-LN(2)/25))/(LN(2)/25)*Calculateur!ER86*Calculateur!ET86*VLOOKUP('Données projet'!$B$15,Paramètres!$A$1:$I$89,3,0)*0.475*44/12</f>
        <v>3.0879509818225706</v>
      </c>
      <c r="EX86" s="21">
        <f>EXP(-LN(2)/2)*EX85+(1-EXP(-LN(2)/2))/(LN(2)/2)*ER86*EU86*VLOOKUP('Données projet'!$B$15,Paramètres!$A$1:$I$89,3,0)*0.475*44/12</f>
        <v>2.2035197877271612E-7</v>
      </c>
      <c r="EY86" s="22">
        <f t="shared" si="75"/>
        <v>5.4467556010100999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519.59999999999991</v>
      </c>
      <c r="O87" s="13">
        <f>N87*VLOOKUP('Données projet'!$B$9,Paramètres!$A$1:$I$89,3,0)*VLOOKUP('Données projet'!$B$9,Paramètres!$A$1:$I$89,5,0)</f>
        <v>243.17279999999994</v>
      </c>
      <c r="P87" s="13">
        <f t="shared" si="87"/>
        <v>59.121651195612671</v>
      </c>
      <c r="Q87" s="20">
        <f t="shared" si="54"/>
        <v>526.49616916569187</v>
      </c>
      <c r="R87" s="59">
        <f t="shared" si="55"/>
        <v>819.82950249902524</v>
      </c>
      <c r="S87" s="59">
        <f ca="1">AVERAGE(OFFSET($R$3,0,0,'Données projet'!$E$9+1,1))-AVERAGE(OFFSET($H$3,0,0,'Données projet'!$E$9+1,1))</f>
        <v>215.23235148064941</v>
      </c>
      <c r="T87" s="59">
        <f t="shared" si="88"/>
        <v>184.07239726900434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1.0758043628068381</v>
      </c>
      <c r="AA87" s="21">
        <f>EXP(-LN(2)/25)*AA86+(1-EXP(-LN(2)/25))/(LN(2)/25)*Calculateur!V87*Calculateur!X87*VLOOKUP('Données projet'!$B$9,Paramètres!$A$1:$I$89,3,0)*0.475*44/12</f>
        <v>1.7577093851512371</v>
      </c>
      <c r="AB87" s="21">
        <f>EXP(-LN(2)/2)*AB86+(1-EXP(-LN(2)/2))/(LN(2)/2)*V87*Y87*VLOOKUP('Données projet'!$B$9,Paramètres!$A$1:$I$89,3,0)*0.475*44/12</f>
        <v>7.3255423309624135E-8</v>
      </c>
      <c r="AC87" s="22">
        <f t="shared" si="57"/>
        <v>2.8335138212134985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-8.5265128291212022E-14</v>
      </c>
      <c r="AJ87" s="13">
        <f>AI87*VLOOKUP('Données projet'!$B$10,Paramètres!$A$1:$I$89,3,0)*VLOOKUP('Données projet'!$B$10,Paramètres!$A$1:$I$89,5,0)</f>
        <v>-7.7147888077888636E-14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225.28075317732998</v>
      </c>
      <c r="AO87" s="59">
        <f t="shared" si="90"/>
        <v>358.43407531256207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0.76998888701583623</v>
      </c>
      <c r="AV87" s="21">
        <f>EXP(-LN(2)/25)*AV86+(1-EXP(-LN(2)/25))/(LN(2)/25)*Calculateur!AQ87*Calculateur!AS87*VLOOKUP('Données projet'!$B$10,Paramètres!$A$1:$I$89,3,0)*0.475*44/12</f>
        <v>1.8509245291980021</v>
      </c>
      <c r="AW87" s="21">
        <f>EXP(-LN(2)/2)*AW86+(1-EXP(-LN(2)/2))/(LN(2)/2)*AQ87*AT87*VLOOKUP('Données projet'!$B$10,Paramètres!$A$1:$I$89,3,0)*0.475*44/12</f>
        <v>3.2887020073604015E-8</v>
      </c>
      <c r="AX87" s="21">
        <f t="shared" si="60"/>
        <v>2.6209134491008585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-5.6843418860808015E-13</v>
      </c>
      <c r="BE87" s="13">
        <f>BD87*VLOOKUP('Données projet'!$B$11,Paramètres!$A$1:$I$89,3,0)*VLOOKUP('Données projet'!$B$11,Paramètres!$A$1:$I$89,5,0)</f>
        <v>-3.177547114319168E-13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326.31232746914907</v>
      </c>
      <c r="BJ87" s="59">
        <f t="shared" si="92"/>
        <v>330.17137761430297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1.567742015031995</v>
      </c>
      <c r="BQ87" s="21">
        <f>EXP(-LN(2)/25)*BQ86+(1-EXP(-LN(2)/25))/(LN(2)/25)*Calculateur!BL87*Calculateur!BN87*VLOOKUP('Données projet'!$B$11,Paramètres!$A$1:$I$89,3,0)*0.475*44/12</f>
        <v>6.751386291038056</v>
      </c>
      <c r="BR87" s="21">
        <f>EXP(-LN(2)/2)*BR86+(1-EXP(-LN(2)/2))/(LN(2)/2)*BL87*BO87*VLOOKUP('Données projet'!$B$11,Paramètres!$A$1:$I$89,3,0)*0.475*44/12</f>
        <v>2.4230844058420689E-7</v>
      </c>
      <c r="BS87" s="22">
        <f t="shared" si="63"/>
        <v>8.3191285483784903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210.04871822652808</v>
      </c>
      <c r="CE87" s="59">
        <f t="shared" si="94"/>
        <v>250.17540614049324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2.5057356519327421</v>
      </c>
      <c r="CL87" s="21">
        <f>EXP(-LN(2)/25)*CL86+(1-EXP(-LN(2)/25))/(LN(2)/25)*Calculateur!CG87*Calculateur!CI87*VLOOKUP('Données projet'!$B$12,Paramètres!$A$1:$I$89,3,0)*0.475*44/12</f>
        <v>6.2272965999091472</v>
      </c>
      <c r="CM87" s="21">
        <f>EXP(-LN(2)/2)*CM86+(1-EXP(-LN(2)/2))/(LN(2)/2)*CG87*CJ87*VLOOKUP('Données projet'!$B$12,Paramètres!$A$1:$I$89,3,0)*0.475*44/12</f>
        <v>1.6058898521476762E-7</v>
      </c>
      <c r="CN87" s="22">
        <f t="shared" si="66"/>
        <v>8.7330324124308749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4.5224624045658861E-14</v>
      </c>
      <c r="CV87" s="13">
        <f t="shared" si="95"/>
        <v>7.4514601661523691E-13</v>
      </c>
      <c r="CW87" s="20">
        <f t="shared" si="67"/>
        <v>1.3765621991510601E-12</v>
      </c>
      <c r="CX87" s="59">
        <f t="shared" si="68"/>
        <v>293.33333333333468</v>
      </c>
      <c r="CY87" s="59">
        <f ca="1">AVERAGE(OFFSET($CX$3,0,0,'Données projet'!$E$13+1,1))-AVERAGE(OFFSET($H$3,0,0,'Données projet'!$E$13+1,1))</f>
        <v>199.58763537752952</v>
      </c>
      <c r="CZ87" s="59">
        <f t="shared" si="96"/>
        <v>242.62852778451929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2.3008804359714969</v>
      </c>
      <c r="DH87" s="21">
        <f>EXP(-LN(2)/2)*DH86+(1-EXP(-LN(2)/2))/(LN(2)/2)*DB87*DE87*VLOOKUP('Données projet'!$B$13,Paramètres!$A$1:$I$89,3,0)*0.475*44/12</f>
        <v>8.0179858157189339E-8</v>
      </c>
      <c r="DI87" s="22">
        <f t="shared" si="69"/>
        <v>2.3008805161513552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-4.5474735088646412E-13</v>
      </c>
      <c r="DP87" s="17">
        <f>DO87*VLOOKUP('Données projet'!$B$14,Paramètres!$A$1:$I$89,3,0)*VLOOKUP('Données projet'!$B$14,Paramètres!$A$1:$I$89,5,0)</f>
        <v>-2.7193891583010558E-13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216.94426559495264</v>
      </c>
      <c r="DU87" s="59">
        <f t="shared" si="98"/>
        <v>225.33715877618704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2.8751032554667453</v>
      </c>
      <c r="EC87" s="21">
        <f>EXP(-LN(2)/2)*EC86+(1-EXP(-LN(2)/2))/(LN(2)/2)*DW87*DZ87*VLOOKUP('Données projet'!$B$14,Paramètres!$A$1:$I$89,3,0)*0.475*44/12</f>
        <v>1.7679750825329849E-7</v>
      </c>
      <c r="ED87" s="22">
        <f t="shared" si="72"/>
        <v>2.8751034322642535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6.8212102632969618E-13</v>
      </c>
      <c r="EK87" s="17">
        <f>EJ87*VLOOKUP('Données projet'!$B$15,Paramètres!$A$1:$I$89,3,0)*VLOOKUP('Données projet'!$B$15,Paramètres!$A$1:$I$89,5,0)</f>
        <v>3.2810021366458383E-13</v>
      </c>
      <c r="EL87" s="13">
        <f t="shared" si="99"/>
        <v>4.2923528923937213E-12</v>
      </c>
      <c r="EM87" s="20">
        <f t="shared" si="73"/>
        <v>8.0472891597182151E-12</v>
      </c>
      <c r="EN87" s="59">
        <f t="shared" si="74"/>
        <v>293.33333333334139</v>
      </c>
      <c r="EO87" s="59">
        <f ca="1">AVERAGE(OFFSET($EN$3,0,0,'Données projet'!$E$15+1,1))-AVERAGE(OFFSET($H$3,0,0,'Données projet'!$E$15+1,1))</f>
        <v>292.1792787220852</v>
      </c>
      <c r="EP87" s="59">
        <f t="shared" si="100"/>
        <v>273.69206144662144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2.3125496833030068</v>
      </c>
      <c r="EW87" s="21">
        <f>EXP(-LN(2)/25)*EW86+(1-EXP(-LN(2)/25))/(LN(2)/25)*Calculateur!ER87*Calculateur!ET87*VLOOKUP('Données projet'!$B$15,Paramètres!$A$1:$I$89,3,0)*0.475*44/12</f>
        <v>3.0035107998363477</v>
      </c>
      <c r="EX87" s="21">
        <f>EXP(-LN(2)/2)*EX86+(1-EXP(-LN(2)/2))/(LN(2)/2)*ER87*EU87*VLOOKUP('Données projet'!$B$15,Paramètres!$A$1:$I$89,3,0)*0.475*44/12</f>
        <v>1.5581237843806174E-7</v>
      </c>
      <c r="EY87" s="22">
        <f t="shared" si="75"/>
        <v>5.3160606389517326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537.09999999999991</v>
      </c>
      <c r="O88" s="13">
        <f>N88*VLOOKUP('Données projet'!$B$9,Paramètres!$A$1:$I$89,3,0)*VLOOKUP('Données projet'!$B$9,Paramètres!$A$1:$I$89,5,0)</f>
        <v>251.36279999999996</v>
      </c>
      <c r="P88" s="13">
        <f t="shared" si="87"/>
        <v>60.877671564837158</v>
      </c>
      <c r="Q88" s="20">
        <f t="shared" si="54"/>
        <v>543.81882130875795</v>
      </c>
      <c r="R88" s="59">
        <f t="shared" si="55"/>
        <v>837.15215464209132</v>
      </c>
      <c r="S88" s="59">
        <f ca="1">AVERAGE(OFFSET($R$3,0,0,'Données projet'!$E$9+1,1))-AVERAGE(OFFSET($H$3,0,0,'Données projet'!$E$9+1,1))</f>
        <v>215.23235148064941</v>
      </c>
      <c r="T88" s="59">
        <f t="shared" si="88"/>
        <v>184.07239726900434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1.0547084954280654</v>
      </c>
      <c r="AA88" s="21">
        <f>EXP(-LN(2)/25)*AA87+(1-EXP(-LN(2)/25))/(LN(2)/25)*Calculateur!V88*Calculateur!X88*VLOOKUP('Données projet'!$B$9,Paramètres!$A$1:$I$89,3,0)*0.475*44/12</f>
        <v>1.7096447295803572</v>
      </c>
      <c r="AB88" s="21">
        <f>EXP(-LN(2)/2)*AB87+(1-EXP(-LN(2)/2))/(LN(2)/2)*V88*Y88*VLOOKUP('Données projet'!$B$9,Paramètres!$A$1:$I$89,3,0)*0.475*44/12</f>
        <v>5.1799406580926307E-8</v>
      </c>
      <c r="AC88" s="22">
        <f t="shared" si="57"/>
        <v>2.7643532768078289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-8.5265128291212022E-14</v>
      </c>
      <c r="AJ88" s="13">
        <f>AI88*VLOOKUP('Données projet'!$B$10,Paramètres!$A$1:$I$89,3,0)*VLOOKUP('Données projet'!$B$10,Paramètres!$A$1:$I$89,5,0)</f>
        <v>-7.7147888077888636E-14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225.28075317732998</v>
      </c>
      <c r="AO88" s="59">
        <f t="shared" si="90"/>
        <v>358.43407531256207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0.75488987458830303</v>
      </c>
      <c r="AV88" s="21">
        <f>EXP(-LN(2)/25)*AV87+(1-EXP(-LN(2)/25))/(LN(2)/25)*Calculateur!AQ88*Calculateur!AS88*VLOOKUP('Données projet'!$B$10,Paramètres!$A$1:$I$89,3,0)*0.475*44/12</f>
        <v>1.8003109006111921</v>
      </c>
      <c r="AW88" s="21">
        <f>EXP(-LN(2)/2)*AW87+(1-EXP(-LN(2)/2))/(LN(2)/2)*AQ88*AT88*VLOOKUP('Données projet'!$B$10,Paramètres!$A$1:$I$89,3,0)*0.475*44/12</f>
        <v>2.325463490706351E-8</v>
      </c>
      <c r="AX88" s="21">
        <f t="shared" si="60"/>
        <v>2.5552007984541301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-5.6843418860808015E-13</v>
      </c>
      <c r="BE88" s="13">
        <f>BD88*VLOOKUP('Données projet'!$B$11,Paramètres!$A$1:$I$89,3,0)*VLOOKUP('Données projet'!$B$11,Paramètres!$A$1:$I$89,5,0)</f>
        <v>-3.177547114319168E-13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326.31232746914907</v>
      </c>
      <c r="BJ88" s="59">
        <f t="shared" si="92"/>
        <v>330.17137761430297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1.536999550345427</v>
      </c>
      <c r="BQ88" s="21">
        <f>EXP(-LN(2)/25)*BQ87+(1-EXP(-LN(2)/25))/(LN(2)/25)*Calculateur!BL88*Calculateur!BN88*VLOOKUP('Données projet'!$B$11,Paramètres!$A$1:$I$89,3,0)*0.475*44/12</f>
        <v>6.5667692778696454</v>
      </c>
      <c r="BR88" s="21">
        <f>EXP(-LN(2)/2)*BR87+(1-EXP(-LN(2)/2))/(LN(2)/2)*BL88*BO88*VLOOKUP('Données projet'!$B$11,Paramètres!$A$1:$I$89,3,0)*0.475*44/12</f>
        <v>1.7133794147583033E-7</v>
      </c>
      <c r="BS88" s="22">
        <f t="shared" si="63"/>
        <v>8.1037689995530133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210.04871822652808</v>
      </c>
      <c r="CE88" s="59">
        <f t="shared" si="94"/>
        <v>250.17540614049324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2.4565997041461767</v>
      </c>
      <c r="CL88" s="21">
        <f>EXP(-LN(2)/25)*CL87+(1-EXP(-LN(2)/25))/(LN(2)/25)*Calculateur!CG88*Calculateur!CI88*VLOOKUP('Données projet'!$B$12,Paramètres!$A$1:$I$89,3,0)*0.475*44/12</f>
        <v>6.0570108469053361</v>
      </c>
      <c r="CM88" s="21">
        <f>EXP(-LN(2)/2)*CM87+(1-EXP(-LN(2)/2))/(LN(2)/2)*CG88*CJ88*VLOOKUP('Données projet'!$B$12,Paramètres!$A$1:$I$89,3,0)*0.475*44/12</f>
        <v>1.135535604292284E-7</v>
      </c>
      <c r="CN88" s="22">
        <f t="shared" si="66"/>
        <v>8.5136106646050749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4.5224624045658861E-14</v>
      </c>
      <c r="CV88" s="13">
        <f t="shared" si="95"/>
        <v>7.4514601661523691E-13</v>
      </c>
      <c r="CW88" s="20">
        <f t="shared" si="67"/>
        <v>1.3765621991510601E-12</v>
      </c>
      <c r="CX88" s="59">
        <f t="shared" si="68"/>
        <v>293.33333333333468</v>
      </c>
      <c r="CY88" s="59">
        <f ca="1">AVERAGE(OFFSET($CX$3,0,0,'Données projet'!$E$13+1,1))-AVERAGE(OFFSET($H$3,0,0,'Données projet'!$E$13+1,1))</f>
        <v>199.58763537752952</v>
      </c>
      <c r="CZ88" s="59">
        <f t="shared" si="96"/>
        <v>242.62852778451929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2.2379627394518131</v>
      </c>
      <c r="DH88" s="21">
        <f>EXP(-LN(2)/2)*DH87+(1-EXP(-LN(2)/2))/(LN(2)/2)*DB88*DE88*VLOOKUP('Données projet'!$B$13,Paramètres!$A$1:$I$89,3,0)*0.475*44/12</f>
        <v>5.66957214175241E-8</v>
      </c>
      <c r="DI88" s="22">
        <f t="shared" si="69"/>
        <v>2.2379627961475346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-4.5474735088646412E-13</v>
      </c>
      <c r="DP88" s="17">
        <f>DO88*VLOOKUP('Données projet'!$B$14,Paramètres!$A$1:$I$89,3,0)*VLOOKUP('Données projet'!$B$14,Paramètres!$A$1:$I$89,5,0)</f>
        <v>-2.7193891583010558E-13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216.94426559495264</v>
      </c>
      <c r="DU88" s="59">
        <f t="shared" si="98"/>
        <v>225.33715877618704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2.796483405750898</v>
      </c>
      <c r="EC88" s="21">
        <f>EXP(-LN(2)/2)*EC87+(1-EXP(-LN(2)/2))/(LN(2)/2)*DW88*DZ88*VLOOKUP('Données projet'!$B$14,Paramètres!$A$1:$I$89,3,0)*0.475*44/12</f>
        <v>1.2501471698279196E-7</v>
      </c>
      <c r="ED88" s="22">
        <f t="shared" si="72"/>
        <v>2.7964835307656148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6.8212102632969618E-13</v>
      </c>
      <c r="EK88" s="17">
        <f>EJ88*VLOOKUP('Données projet'!$B$15,Paramètres!$A$1:$I$89,3,0)*VLOOKUP('Données projet'!$B$15,Paramètres!$A$1:$I$89,5,0)</f>
        <v>3.2810021366458383E-13</v>
      </c>
      <c r="EL88" s="13">
        <f t="shared" si="99"/>
        <v>4.2923528923937213E-12</v>
      </c>
      <c r="EM88" s="20">
        <f t="shared" si="73"/>
        <v>8.0472891597182151E-12</v>
      </c>
      <c r="EN88" s="59">
        <f t="shared" si="74"/>
        <v>293.33333333334139</v>
      </c>
      <c r="EO88" s="59">
        <f ca="1">AVERAGE(OFFSET($EN$3,0,0,'Données projet'!$E$15+1,1))-AVERAGE(OFFSET($H$3,0,0,'Données projet'!$E$15+1,1))</f>
        <v>292.1792787220852</v>
      </c>
      <c r="EP88" s="59">
        <f t="shared" si="100"/>
        <v>273.69206144662144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2.2672019945294646</v>
      </c>
      <c r="EW88" s="21">
        <f>EXP(-LN(2)/25)*EW87+(1-EXP(-LN(2)/25))/(LN(2)/25)*Calculateur!ER88*Calculateur!ET88*VLOOKUP('Données projet'!$B$15,Paramètres!$A$1:$I$89,3,0)*0.475*44/12</f>
        <v>2.9213796390670543</v>
      </c>
      <c r="EX88" s="21">
        <f>EXP(-LN(2)/2)*EX87+(1-EXP(-LN(2)/2))/(LN(2)/2)*ER88*EU88*VLOOKUP('Données projet'!$B$15,Paramètres!$A$1:$I$89,3,0)*0.475*44/12</f>
        <v>1.1017598938635806E-7</v>
      </c>
      <c r="EY88" s="22">
        <f t="shared" si="75"/>
        <v>5.1885817437725077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554.59999999999991</v>
      </c>
      <c r="O89" s="13">
        <f>N89*VLOOKUP('Données projet'!$B$9,Paramètres!$A$1:$I$89,3,0)*VLOOKUP('Données projet'!$B$9,Paramètres!$A$1:$I$89,5,0)</f>
        <v>259.55279999999993</v>
      </c>
      <c r="P89" s="13">
        <f t="shared" si="87"/>
        <v>62.627043439399927</v>
      </c>
      <c r="Q89" s="20">
        <f t="shared" si="54"/>
        <v>561.12989399028811</v>
      </c>
      <c r="R89" s="59">
        <f t="shared" si="55"/>
        <v>854.46322732362137</v>
      </c>
      <c r="S89" s="59">
        <f ca="1">AVERAGE(OFFSET($R$3,0,0,'Données projet'!$E$9+1,1))-AVERAGE(OFFSET($H$3,0,0,'Données projet'!$E$9+1,1))</f>
        <v>215.23235148064941</v>
      </c>
      <c r="T89" s="59">
        <f t="shared" si="88"/>
        <v>184.07239726900434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1.0340263051413818</v>
      </c>
      <c r="AA89" s="21">
        <f>EXP(-LN(2)/25)*AA88+(1-EXP(-LN(2)/25))/(LN(2)/25)*Calculateur!V89*Calculateur!X89*VLOOKUP('Données projet'!$B$9,Paramètres!$A$1:$I$89,3,0)*0.475*44/12</f>
        <v>1.6628944045436733</v>
      </c>
      <c r="AB89" s="21">
        <f>EXP(-LN(2)/2)*AB88+(1-EXP(-LN(2)/2))/(LN(2)/2)*V89*Y89*VLOOKUP('Données projet'!$B$9,Paramètres!$A$1:$I$89,3,0)*0.475*44/12</f>
        <v>3.6627711654812067E-8</v>
      </c>
      <c r="AC89" s="22">
        <f t="shared" si="57"/>
        <v>2.6969207463127667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-8.5265128291212022E-14</v>
      </c>
      <c r="AJ89" s="13">
        <f>AI89*VLOOKUP('Données projet'!$B$10,Paramètres!$A$1:$I$89,3,0)*VLOOKUP('Données projet'!$B$10,Paramètres!$A$1:$I$89,5,0)</f>
        <v>-7.7147888077888636E-14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225.28075317732998</v>
      </c>
      <c r="AO89" s="59">
        <f t="shared" si="90"/>
        <v>358.43407531256207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0.74008694458498547</v>
      </c>
      <c r="AV89" s="21">
        <f>EXP(-LN(2)/25)*AV88+(1-EXP(-LN(2)/25))/(LN(2)/25)*Calculateur!AQ89*Calculateur!AS89*VLOOKUP('Données projet'!$B$10,Paramètres!$A$1:$I$89,3,0)*0.475*44/12</f>
        <v>1.7510813043597435</v>
      </c>
      <c r="AW89" s="21">
        <f>EXP(-LN(2)/2)*AW88+(1-EXP(-LN(2)/2))/(LN(2)/2)*AQ89*AT89*VLOOKUP('Données projet'!$B$10,Paramètres!$A$1:$I$89,3,0)*0.475*44/12</f>
        <v>1.6443510036802007E-8</v>
      </c>
      <c r="AX89" s="21">
        <f t="shared" si="60"/>
        <v>2.491168265388239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-5.6843418860808015E-13</v>
      </c>
      <c r="BE89" s="13">
        <f>BD89*VLOOKUP('Données projet'!$B$11,Paramètres!$A$1:$I$89,3,0)*VLOOKUP('Données projet'!$B$11,Paramètres!$A$1:$I$89,5,0)</f>
        <v>-3.177547114319168E-13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326.31232746914907</v>
      </c>
      <c r="BJ89" s="59">
        <f t="shared" si="92"/>
        <v>330.17137761430297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1.5068599266403107</v>
      </c>
      <c r="BQ89" s="21">
        <f>EXP(-LN(2)/25)*BQ88+(1-EXP(-LN(2)/25))/(LN(2)/25)*Calculateur!BL89*Calculateur!BN89*VLOOKUP('Données projet'!$B$11,Paramètres!$A$1:$I$89,3,0)*0.475*44/12</f>
        <v>6.3872006266349119</v>
      </c>
      <c r="BR89" s="21">
        <f>EXP(-LN(2)/2)*BR88+(1-EXP(-LN(2)/2))/(LN(2)/2)*BL89*BO89*VLOOKUP('Données projet'!$B$11,Paramètres!$A$1:$I$89,3,0)*0.475*44/12</f>
        <v>1.2115422029210345E-7</v>
      </c>
      <c r="BS89" s="22">
        <f t="shared" si="63"/>
        <v>7.8940606744294426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210.04871822652808</v>
      </c>
      <c r="CE89" s="59">
        <f t="shared" si="94"/>
        <v>250.17540614049324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2.4084272823257371</v>
      </c>
      <c r="CL89" s="21">
        <f>EXP(-LN(2)/25)*CL88+(1-EXP(-LN(2)/25))/(LN(2)/25)*Calculateur!CG89*Calculateur!CI89*VLOOKUP('Données projet'!$B$12,Paramètres!$A$1:$I$89,3,0)*0.475*44/12</f>
        <v>5.8913815667723526</v>
      </c>
      <c r="CM89" s="21">
        <f>EXP(-LN(2)/2)*CM88+(1-EXP(-LN(2)/2))/(LN(2)/2)*CG89*CJ89*VLOOKUP('Données projet'!$B$12,Paramètres!$A$1:$I$89,3,0)*0.475*44/12</f>
        <v>8.029449260738381E-8</v>
      </c>
      <c r="CN89" s="22">
        <f t="shared" si="66"/>
        <v>8.299808929392583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4.5224624045658861E-14</v>
      </c>
      <c r="CV89" s="13">
        <f t="shared" si="95"/>
        <v>7.4514601661523691E-13</v>
      </c>
      <c r="CW89" s="20">
        <f t="shared" si="67"/>
        <v>1.3765621991510601E-12</v>
      </c>
      <c r="CX89" s="59">
        <f t="shared" si="68"/>
        <v>293.33333333333468</v>
      </c>
      <c r="CY89" s="59">
        <f ca="1">AVERAGE(OFFSET($CX$3,0,0,'Données projet'!$E$13+1,1))-AVERAGE(OFFSET($H$3,0,0,'Données projet'!$E$13+1,1))</f>
        <v>199.58763537752952</v>
      </c>
      <c r="CZ89" s="59">
        <f t="shared" si="96"/>
        <v>242.62852778451929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2.1767655306521578</v>
      </c>
      <c r="DH89" s="21">
        <f>EXP(-LN(2)/2)*DH88+(1-EXP(-LN(2)/2))/(LN(2)/2)*DB89*DE89*VLOOKUP('Données projet'!$B$13,Paramètres!$A$1:$I$89,3,0)*0.475*44/12</f>
        <v>4.0089929078594669E-8</v>
      </c>
      <c r="DI89" s="22">
        <f t="shared" si="69"/>
        <v>2.176765570742087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-4.5474735088646412E-13</v>
      </c>
      <c r="DP89" s="17">
        <f>DO89*VLOOKUP('Données projet'!$B$14,Paramètres!$A$1:$I$89,3,0)*VLOOKUP('Données projet'!$B$14,Paramètres!$A$1:$I$89,5,0)</f>
        <v>-2.7193891583010558E-13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216.94426559495264</v>
      </c>
      <c r="DU89" s="59">
        <f t="shared" si="98"/>
        <v>225.33715877618704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2.7200134199599688</v>
      </c>
      <c r="EC89" s="21">
        <f>EXP(-LN(2)/2)*EC88+(1-EXP(-LN(2)/2))/(LN(2)/2)*DW89*DZ89*VLOOKUP('Données projet'!$B$14,Paramètres!$A$1:$I$89,3,0)*0.475*44/12</f>
        <v>8.8398754126649244E-8</v>
      </c>
      <c r="ED89" s="22">
        <f t="shared" si="72"/>
        <v>2.7200135083587229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6.8212102632969618E-13</v>
      </c>
      <c r="EK89" s="17">
        <f>EJ89*VLOOKUP('Données projet'!$B$15,Paramètres!$A$1:$I$89,3,0)*VLOOKUP('Données projet'!$B$15,Paramètres!$A$1:$I$89,5,0)</f>
        <v>3.2810021366458383E-13</v>
      </c>
      <c r="EL89" s="13">
        <f t="shared" si="99"/>
        <v>4.2923528923937213E-12</v>
      </c>
      <c r="EM89" s="20">
        <f t="shared" si="73"/>
        <v>8.0472891597182151E-12</v>
      </c>
      <c r="EN89" s="59">
        <f t="shared" si="74"/>
        <v>293.33333333334139</v>
      </c>
      <c r="EO89" s="59">
        <f ca="1">AVERAGE(OFFSET($EN$3,0,0,'Données projet'!$E$15+1,1))-AVERAGE(OFFSET($H$3,0,0,'Données projet'!$E$15+1,1))</f>
        <v>292.1792787220852</v>
      </c>
      <c r="EP89" s="59">
        <f t="shared" si="100"/>
        <v>273.69206144662144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2.2227435462734126</v>
      </c>
      <c r="EW89" s="21">
        <f>EXP(-LN(2)/25)*EW88+(1-EXP(-LN(2)/25))/(LN(2)/25)*Calculateur!ER89*Calculateur!ET89*VLOOKUP('Données projet'!$B$15,Paramètres!$A$1:$I$89,3,0)*0.475*44/12</f>
        <v>2.8414943592080872</v>
      </c>
      <c r="EX89" s="21">
        <f>EXP(-LN(2)/2)*EX88+(1-EXP(-LN(2)/2))/(LN(2)/2)*ER89*EU89*VLOOKUP('Données projet'!$B$15,Paramètres!$A$1:$I$89,3,0)*0.475*44/12</f>
        <v>7.7906189219030869E-8</v>
      </c>
      <c r="EY89" s="22">
        <f t="shared" si="75"/>
        <v>5.0642379833876889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572.09999999999991</v>
      </c>
      <c r="O90" s="13">
        <f>N90*VLOOKUP('Données projet'!$B$9,Paramètres!$A$1:$I$89,3,0)*VLOOKUP('Données projet'!$B$9,Paramètres!$A$1:$I$89,5,0)</f>
        <v>267.74279999999993</v>
      </c>
      <c r="P90" s="13">
        <f t="shared" si="87"/>
        <v>64.370000676259949</v>
      </c>
      <c r="Q90" s="20">
        <f t="shared" si="54"/>
        <v>578.42979451115264</v>
      </c>
      <c r="R90" s="59">
        <f t="shared" si="55"/>
        <v>871.76312784448601</v>
      </c>
      <c r="S90" s="59">
        <f ca="1">AVERAGE(OFFSET($R$3,0,0,'Données projet'!$E$9+1,1))-AVERAGE(OFFSET($H$3,0,0,'Données projet'!$E$9+1,1))</f>
        <v>215.23235148064941</v>
      </c>
      <c r="T90" s="59">
        <f t="shared" si="88"/>
        <v>184.07239726900434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1.0137496799913297</v>
      </c>
      <c r="AA90" s="21">
        <f>EXP(-LN(2)/25)*AA89+(1-EXP(-LN(2)/25))/(LN(2)/25)*Calculateur!V90*Calculateur!X90*VLOOKUP('Données projet'!$B$9,Paramètres!$A$1:$I$89,3,0)*0.475*44/12</f>
        <v>1.6174224696036104</v>
      </c>
      <c r="AB90" s="21">
        <f>EXP(-LN(2)/2)*AB89+(1-EXP(-LN(2)/2))/(LN(2)/2)*V90*Y90*VLOOKUP('Données projet'!$B$9,Paramètres!$A$1:$I$89,3,0)*0.475*44/12</f>
        <v>2.5899703290463154E-8</v>
      </c>
      <c r="AC90" s="22">
        <f t="shared" si="57"/>
        <v>2.6311721754946436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-8.5265128291212022E-14</v>
      </c>
      <c r="AJ90" s="13">
        <f>AI90*VLOOKUP('Données projet'!$B$10,Paramètres!$A$1:$I$89,3,0)*VLOOKUP('Données projet'!$B$10,Paramètres!$A$1:$I$89,5,0)</f>
        <v>-7.7147888077888636E-14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225.28075317732998</v>
      </c>
      <c r="AO90" s="59">
        <f t="shared" si="90"/>
        <v>358.43407531256207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0.72557429101013726</v>
      </c>
      <c r="AV90" s="21">
        <f>EXP(-LN(2)/25)*AV89+(1-EXP(-LN(2)/25))/(LN(2)/25)*Calculateur!AQ90*Calculateur!AS90*VLOOKUP('Données projet'!$B$10,Paramètres!$A$1:$I$89,3,0)*0.475*44/12</f>
        <v>1.7031978940066628</v>
      </c>
      <c r="AW90" s="21">
        <f>EXP(-LN(2)/2)*AW89+(1-EXP(-LN(2)/2))/(LN(2)/2)*AQ90*AT90*VLOOKUP('Données projet'!$B$10,Paramètres!$A$1:$I$89,3,0)*0.475*44/12</f>
        <v>1.1627317453531755E-8</v>
      </c>
      <c r="AX90" s="21">
        <f t="shared" si="60"/>
        <v>2.4287721966441174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-5.6843418860808015E-13</v>
      </c>
      <c r="BE90" s="13">
        <f>BD90*VLOOKUP('Données projet'!$B$11,Paramètres!$A$1:$I$89,3,0)*VLOOKUP('Données projet'!$B$11,Paramètres!$A$1:$I$89,5,0)</f>
        <v>-3.177547114319168E-13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326.31232746914907</v>
      </c>
      <c r="BJ90" s="59">
        <f t="shared" si="92"/>
        <v>330.17137761430297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1.4773113225726964</v>
      </c>
      <c r="BQ90" s="21">
        <f>EXP(-LN(2)/25)*BQ89+(1-EXP(-LN(2)/25))/(LN(2)/25)*Calculateur!BL90*Calculateur!BN90*VLOOKUP('Données projet'!$B$11,Paramètres!$A$1:$I$89,3,0)*0.475*44/12</f>
        <v>6.2125422896112976</v>
      </c>
      <c r="BR90" s="21">
        <f>EXP(-LN(2)/2)*BR89+(1-EXP(-LN(2)/2))/(LN(2)/2)*BL90*BO90*VLOOKUP('Données projet'!$B$11,Paramètres!$A$1:$I$89,3,0)*0.475*44/12</f>
        <v>8.5668970737915167E-8</v>
      </c>
      <c r="BS90" s="22">
        <f t="shared" si="63"/>
        <v>7.6898536978529641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210.04871822652808</v>
      </c>
      <c r="CE90" s="59">
        <f t="shared" si="94"/>
        <v>250.17540614049324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2.3611994923149204</v>
      </c>
      <c r="CL90" s="21">
        <f>EXP(-LN(2)/25)*CL89+(1-EXP(-LN(2)/25))/(LN(2)/25)*Calculateur!CG90*Calculateur!CI90*VLOOKUP('Données projet'!$B$12,Paramètres!$A$1:$I$89,3,0)*0.475*44/12</f>
        <v>5.7302814280146706</v>
      </c>
      <c r="CM90" s="21">
        <f>EXP(-LN(2)/2)*CM89+(1-EXP(-LN(2)/2))/(LN(2)/2)*CG90*CJ90*VLOOKUP('Données projet'!$B$12,Paramètres!$A$1:$I$89,3,0)*0.475*44/12</f>
        <v>5.6776780214614202E-8</v>
      </c>
      <c r="CN90" s="22">
        <f t="shared" si="66"/>
        <v>8.0914809771063716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4.5224624045658861E-14</v>
      </c>
      <c r="CV90" s="13">
        <f t="shared" si="95"/>
        <v>7.4514601661523691E-13</v>
      </c>
      <c r="CW90" s="20">
        <f t="shared" si="67"/>
        <v>1.3765621991510601E-12</v>
      </c>
      <c r="CX90" s="59">
        <f t="shared" si="68"/>
        <v>293.33333333333468</v>
      </c>
      <c r="CY90" s="59">
        <f ca="1">AVERAGE(OFFSET($CX$3,0,0,'Données projet'!$E$13+1,1))-AVERAGE(OFFSET($H$3,0,0,'Données projet'!$E$13+1,1))</f>
        <v>199.58763537752952</v>
      </c>
      <c r="CZ90" s="59">
        <f t="shared" si="96"/>
        <v>242.62852778451929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2.1172417627453504</v>
      </c>
      <c r="DH90" s="21">
        <f>EXP(-LN(2)/2)*DH89+(1-EXP(-LN(2)/2))/(LN(2)/2)*DB90*DE90*VLOOKUP('Données projet'!$B$13,Paramètres!$A$1:$I$89,3,0)*0.475*44/12</f>
        <v>2.834786070876205E-8</v>
      </c>
      <c r="DI90" s="22">
        <f t="shared" si="69"/>
        <v>2.1172417910932109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-4.5474735088646412E-13</v>
      </c>
      <c r="DP90" s="17">
        <f>DO90*VLOOKUP('Données projet'!$B$14,Paramètres!$A$1:$I$89,3,0)*VLOOKUP('Données projet'!$B$14,Paramètres!$A$1:$I$89,5,0)</f>
        <v>-2.7193891583010558E-13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216.94426559495264</v>
      </c>
      <c r="DU90" s="59">
        <f t="shared" si="98"/>
        <v>225.33715877618704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2.6456345099518743</v>
      </c>
      <c r="EC90" s="21">
        <f>EXP(-LN(2)/2)*EC89+(1-EXP(-LN(2)/2))/(LN(2)/2)*DW90*DZ90*VLOOKUP('Données projet'!$B$14,Paramètres!$A$1:$I$89,3,0)*0.475*44/12</f>
        <v>6.250735849139598E-8</v>
      </c>
      <c r="ED90" s="22">
        <f t="shared" si="72"/>
        <v>2.6456345724592327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6.8212102632969618E-13</v>
      </c>
      <c r="EK90" s="17">
        <f>EJ90*VLOOKUP('Données projet'!$B$15,Paramètres!$A$1:$I$89,3,0)*VLOOKUP('Données projet'!$B$15,Paramètres!$A$1:$I$89,5,0)</f>
        <v>3.2810021366458383E-13</v>
      </c>
      <c r="EL90" s="13">
        <f t="shared" si="99"/>
        <v>4.2923528923937213E-12</v>
      </c>
      <c r="EM90" s="20">
        <f t="shared" si="73"/>
        <v>8.0472891597182151E-12</v>
      </c>
      <c r="EN90" s="59">
        <f t="shared" si="74"/>
        <v>293.33333333334139</v>
      </c>
      <c r="EO90" s="59">
        <f ca="1">AVERAGE(OFFSET($EN$3,0,0,'Données projet'!$E$15+1,1))-AVERAGE(OFFSET($H$3,0,0,'Données projet'!$E$15+1,1))</f>
        <v>292.1792787220852</v>
      </c>
      <c r="EP90" s="59">
        <f t="shared" si="100"/>
        <v>273.69206144662144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2.1791569010706859</v>
      </c>
      <c r="EW90" s="21">
        <f>EXP(-LN(2)/25)*EW89+(1-EXP(-LN(2)/25))/(LN(2)/25)*Calculateur!ER90*Calculateur!ET90*VLOOKUP('Données projet'!$B$15,Paramètres!$A$1:$I$89,3,0)*0.475*44/12</f>
        <v>2.763793546527848</v>
      </c>
      <c r="EX90" s="21">
        <f>EXP(-LN(2)/2)*EX89+(1-EXP(-LN(2)/2))/(LN(2)/2)*ER90*EU90*VLOOKUP('Données projet'!$B$15,Paramètres!$A$1:$I$89,3,0)*0.475*44/12</f>
        <v>5.5087994693179029E-8</v>
      </c>
      <c r="EY90" s="22">
        <f t="shared" si="75"/>
        <v>4.9429505026865286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589.59999999999991</v>
      </c>
      <c r="O91" s="13">
        <f>N91*VLOOKUP('Données projet'!$B$9,Paramètres!$A$1:$I$89,3,0)*VLOOKUP('Données projet'!$B$9,Paramètres!$A$1:$I$89,5,0)</f>
        <v>275.93279999999999</v>
      </c>
      <c r="P91" s="13">
        <f t="shared" si="87"/>
        <v>66.106762012556132</v>
      </c>
      <c r="Q91" s="20">
        <f t="shared" si="54"/>
        <v>595.7189038385352</v>
      </c>
      <c r="R91" s="59">
        <f t="shared" si="55"/>
        <v>889.05223717186846</v>
      </c>
      <c r="S91" s="59">
        <f ca="1">AVERAGE(OFFSET($R$3,0,0,'Données projet'!$E$9+1,1))-AVERAGE(OFFSET($H$3,0,0,'Données projet'!$E$9+1,1))</f>
        <v>215.23235148064941</v>
      </c>
      <c r="T91" s="59">
        <f t="shared" si="88"/>
        <v>184.07239726900434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0.99387066709294991</v>
      </c>
      <c r="AA91" s="21">
        <f>EXP(-LN(2)/25)*AA90+(1-EXP(-LN(2)/25))/(LN(2)/25)*Calculateur!V91*Calculateur!X91*VLOOKUP('Données projet'!$B$9,Paramètres!$A$1:$I$89,3,0)*0.475*44/12</f>
        <v>1.5731939671157487</v>
      </c>
      <c r="AB91" s="21">
        <f>EXP(-LN(2)/2)*AB90+(1-EXP(-LN(2)/2))/(LN(2)/2)*V91*Y91*VLOOKUP('Données projet'!$B$9,Paramètres!$A$1:$I$89,3,0)*0.475*44/12</f>
        <v>1.8313855827406034E-8</v>
      </c>
      <c r="AC91" s="22">
        <f t="shared" si="57"/>
        <v>2.5670646525225544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-8.5265128291212022E-14</v>
      </c>
      <c r="AJ91" s="13">
        <f>AI91*VLOOKUP('Données projet'!$B$10,Paramètres!$A$1:$I$89,3,0)*VLOOKUP('Données projet'!$B$10,Paramètres!$A$1:$I$89,5,0)</f>
        <v>-7.7147888077888636E-14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225.28075317732998</v>
      </c>
      <c r="AO91" s="59">
        <f t="shared" si="90"/>
        <v>358.43407531256207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0.71134622172004713</v>
      </c>
      <c r="AV91" s="21">
        <f>EXP(-LN(2)/25)*AV90+(1-EXP(-LN(2)/25))/(LN(2)/25)*Calculateur!AQ91*Calculateur!AS91*VLOOKUP('Données projet'!$B$10,Paramètres!$A$1:$I$89,3,0)*0.475*44/12</f>
        <v>1.6566238580277661</v>
      </c>
      <c r="AW91" s="21">
        <f>EXP(-LN(2)/2)*AW90+(1-EXP(-LN(2)/2))/(LN(2)/2)*AQ91*AT91*VLOOKUP('Données projet'!$B$10,Paramètres!$A$1:$I$89,3,0)*0.475*44/12</f>
        <v>8.2217550184010037E-9</v>
      </c>
      <c r="AX91" s="21">
        <f t="shared" si="60"/>
        <v>2.3679700879695682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-5.6843418860808015E-13</v>
      </c>
      <c r="BE91" s="13">
        <f>BD91*VLOOKUP('Données projet'!$B$11,Paramètres!$A$1:$I$89,3,0)*VLOOKUP('Données projet'!$B$11,Paramètres!$A$1:$I$89,5,0)</f>
        <v>-3.177547114319168E-13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326.31232746914907</v>
      </c>
      <c r="BJ91" s="59">
        <f t="shared" si="92"/>
        <v>330.17137761430297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1.4483421486079793</v>
      </c>
      <c r="BQ91" s="21">
        <f>EXP(-LN(2)/25)*BQ90+(1-EXP(-LN(2)/25))/(LN(2)/25)*Calculateur!BL91*Calculateur!BN91*VLOOKUP('Données projet'!$B$11,Paramètres!$A$1:$I$89,3,0)*0.475*44/12</f>
        <v>6.0426599939984769</v>
      </c>
      <c r="BR91" s="21">
        <f>EXP(-LN(2)/2)*BR90+(1-EXP(-LN(2)/2))/(LN(2)/2)*BL91*BO91*VLOOKUP('Données projet'!$B$11,Paramètres!$A$1:$I$89,3,0)*0.475*44/12</f>
        <v>6.0577110146051723E-8</v>
      </c>
      <c r="BS91" s="22">
        <f t="shared" si="63"/>
        <v>7.4910022031835668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210.04871822652808</v>
      </c>
      <c r="CE91" s="59">
        <f t="shared" si="94"/>
        <v>250.17540614049324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2.3148978104601081</v>
      </c>
      <c r="CL91" s="21">
        <f>EXP(-LN(2)/25)*CL90+(1-EXP(-LN(2)/25))/(LN(2)/25)*Calculateur!CG91*Calculateur!CI91*VLOOKUP('Données projet'!$B$12,Paramètres!$A$1:$I$89,3,0)*0.475*44/12</f>
        <v>5.5735865810232061</v>
      </c>
      <c r="CM91" s="21">
        <f>EXP(-LN(2)/2)*CM90+(1-EXP(-LN(2)/2))/(LN(2)/2)*CG91*CJ91*VLOOKUP('Données projet'!$B$12,Paramètres!$A$1:$I$89,3,0)*0.475*44/12</f>
        <v>4.0147246303691905E-8</v>
      </c>
      <c r="CN91" s="22">
        <f t="shared" si="66"/>
        <v>7.8884844316305607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4.5224624045658861E-14</v>
      </c>
      <c r="CV91" s="13">
        <f t="shared" si="95"/>
        <v>7.4514601661523691E-13</v>
      </c>
      <c r="CW91" s="20">
        <f t="shared" si="67"/>
        <v>1.3765621991510601E-12</v>
      </c>
      <c r="CX91" s="59">
        <f t="shared" si="68"/>
        <v>293.33333333333468</v>
      </c>
      <c r="CY91" s="59">
        <f ca="1">AVERAGE(OFFSET($CX$3,0,0,'Données projet'!$E$13+1,1))-AVERAGE(OFFSET($H$3,0,0,'Données projet'!$E$13+1,1))</f>
        <v>199.58763537752952</v>
      </c>
      <c r="CZ91" s="59">
        <f t="shared" si="96"/>
        <v>242.62852778451929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2.0593456754021733</v>
      </c>
      <c r="DH91" s="21">
        <f>EXP(-LN(2)/2)*DH90+(1-EXP(-LN(2)/2))/(LN(2)/2)*DB91*DE91*VLOOKUP('Données projet'!$B$13,Paramètres!$A$1:$I$89,3,0)*0.475*44/12</f>
        <v>2.0044964539297335E-8</v>
      </c>
      <c r="DI91" s="22">
        <f t="shared" si="69"/>
        <v>2.0593456954471376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-4.5474735088646412E-13</v>
      </c>
      <c r="DP91" s="17">
        <f>DO91*VLOOKUP('Données projet'!$B$14,Paramètres!$A$1:$I$89,3,0)*VLOOKUP('Données projet'!$B$14,Paramètres!$A$1:$I$89,5,0)</f>
        <v>-2.7193891583010558E-13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216.94426559495264</v>
      </c>
      <c r="DU91" s="59">
        <f t="shared" si="98"/>
        <v>225.33715877618704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2.5732894951493681</v>
      </c>
      <c r="EC91" s="21">
        <f>EXP(-LN(2)/2)*EC90+(1-EXP(-LN(2)/2))/(LN(2)/2)*DW91*DZ91*VLOOKUP('Données projet'!$B$14,Paramètres!$A$1:$I$89,3,0)*0.475*44/12</f>
        <v>4.4199377063324622E-8</v>
      </c>
      <c r="ED91" s="22">
        <f t="shared" si="72"/>
        <v>2.5732895393487452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6.8212102632969618E-13</v>
      </c>
      <c r="EK91" s="17">
        <f>EJ91*VLOOKUP('Données projet'!$B$15,Paramètres!$A$1:$I$89,3,0)*VLOOKUP('Données projet'!$B$15,Paramètres!$A$1:$I$89,5,0)</f>
        <v>3.2810021366458383E-13</v>
      </c>
      <c r="EL91" s="13">
        <f t="shared" si="99"/>
        <v>4.2923528923937213E-12</v>
      </c>
      <c r="EM91" s="20">
        <f t="shared" si="73"/>
        <v>8.0472891597182151E-12</v>
      </c>
      <c r="EN91" s="59">
        <f t="shared" si="74"/>
        <v>293.33333333334139</v>
      </c>
      <c r="EO91" s="59">
        <f ca="1">AVERAGE(OFFSET($EN$3,0,0,'Données projet'!$E$15+1,1))-AVERAGE(OFFSET($H$3,0,0,'Données projet'!$E$15+1,1))</f>
        <v>292.1792787220852</v>
      </c>
      <c r="EP91" s="59">
        <f t="shared" si="100"/>
        <v>273.69206144662144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2.1364249633951564</v>
      </c>
      <c r="EW91" s="21">
        <f>EXP(-LN(2)/25)*EW90+(1-EXP(-LN(2)/25))/(LN(2)/25)*Calculateur!ER91*Calculateur!ET91*VLOOKUP('Données projet'!$B$15,Paramètres!$A$1:$I$89,3,0)*0.475*44/12</f>
        <v>2.6882174666564582</v>
      </c>
      <c r="EX91" s="21">
        <f>EXP(-LN(2)/2)*EX90+(1-EXP(-LN(2)/2))/(LN(2)/2)*ER91*EU91*VLOOKUP('Données projet'!$B$15,Paramètres!$A$1:$I$89,3,0)*0.475*44/12</f>
        <v>3.8953094609515434E-8</v>
      </c>
      <c r="EY91" s="22">
        <f t="shared" si="75"/>
        <v>4.8246424690047096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607.09999999999991</v>
      </c>
      <c r="O92" s="13">
        <f>N92*VLOOKUP('Données projet'!$B$9,Paramètres!$A$1:$I$89,3,0)*VLOOKUP('Données projet'!$B$9,Paramètres!$A$1:$I$89,5,0)</f>
        <v>284.12279999999993</v>
      </c>
      <c r="P92" s="13">
        <f t="shared" si="87"/>
        <v>67.837532462585557</v>
      </c>
      <c r="Q92" s="20">
        <f t="shared" si="54"/>
        <v>612.99757903900297</v>
      </c>
      <c r="R92" s="59">
        <f t="shared" si="55"/>
        <v>906.33091237233634</v>
      </c>
      <c r="S92" s="59">
        <f ca="1">AVERAGE(OFFSET($R$3,0,0,'Données projet'!$E$9+1,1))-AVERAGE(OFFSET($H$3,0,0,'Données projet'!$E$9+1,1))</f>
        <v>215.23235148064941</v>
      </c>
      <c r="T92" s="59">
        <f t="shared" si="88"/>
        <v>184.07239726900434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0.9743814695125067</v>
      </c>
      <c r="AA92" s="21">
        <f>EXP(-LN(2)/25)*AA91+(1-EXP(-LN(2)/25))/(LN(2)/25)*Calculateur!V92*Calculateur!X92*VLOOKUP('Données projet'!$B$9,Paramètres!$A$1:$I$89,3,0)*0.475*44/12</f>
        <v>1.5301748953542933</v>
      </c>
      <c r="AB92" s="21">
        <f>EXP(-LN(2)/2)*AB91+(1-EXP(-LN(2)/2))/(LN(2)/2)*V92*Y92*VLOOKUP('Données projet'!$B$9,Paramètres!$A$1:$I$89,3,0)*0.475*44/12</f>
        <v>1.2949851645231577E-8</v>
      </c>
      <c r="AC92" s="22">
        <f t="shared" si="57"/>
        <v>2.5045563778166517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-8.5265128291212022E-14</v>
      </c>
      <c r="AJ92" s="13">
        <f>AI92*VLOOKUP('Données projet'!$B$10,Paramètres!$A$1:$I$89,3,0)*VLOOKUP('Données projet'!$B$10,Paramètres!$A$1:$I$89,5,0)</f>
        <v>-7.7147888077888636E-14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225.28075317732998</v>
      </c>
      <c r="AO92" s="59">
        <f t="shared" si="90"/>
        <v>358.43407531256207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0.69739715619047038</v>
      </c>
      <c r="AV92" s="21">
        <f>EXP(-LN(2)/25)*AV91+(1-EXP(-LN(2)/25))/(LN(2)/25)*Calculateur!AQ92*Calculateur!AS92*VLOOKUP('Données projet'!$B$10,Paramètres!$A$1:$I$89,3,0)*0.475*44/12</f>
        <v>1.6113233915119345</v>
      </c>
      <c r="AW92" s="21">
        <f>EXP(-LN(2)/2)*AW91+(1-EXP(-LN(2)/2))/(LN(2)/2)*AQ92*AT92*VLOOKUP('Données projet'!$B$10,Paramètres!$A$1:$I$89,3,0)*0.475*44/12</f>
        <v>5.8136587267658775E-9</v>
      </c>
      <c r="AX92" s="21">
        <f t="shared" si="60"/>
        <v>2.3087205535160638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-5.6843418860808015E-13</v>
      </c>
      <c r="BE92" s="13">
        <f>BD92*VLOOKUP('Données projet'!$B$11,Paramètres!$A$1:$I$89,3,0)*VLOOKUP('Données projet'!$B$11,Paramètres!$A$1:$I$89,5,0)</f>
        <v>-3.177547114319168E-13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326.31232746914907</v>
      </c>
      <c r="BJ92" s="59">
        <f t="shared" si="92"/>
        <v>330.17137761430297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1.4199410424752588</v>
      </c>
      <c r="BQ92" s="21">
        <f>EXP(-LN(2)/25)*BQ91+(1-EXP(-LN(2)/25))/(LN(2)/25)*Calculateur!BL92*Calculateur!BN92*VLOOKUP('Données projet'!$B$11,Paramètres!$A$1:$I$89,3,0)*0.475*44/12</f>
        <v>5.8774231386929099</v>
      </c>
      <c r="BR92" s="21">
        <f>EXP(-LN(2)/2)*BR91+(1-EXP(-LN(2)/2))/(LN(2)/2)*BL92*BO92*VLOOKUP('Données projet'!$B$11,Paramètres!$A$1:$I$89,3,0)*0.475*44/12</f>
        <v>4.2834485368957583E-8</v>
      </c>
      <c r="BS92" s="22">
        <f t="shared" si="63"/>
        <v>7.2973642240026537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210.04871822652808</v>
      </c>
      <c r="CE92" s="59">
        <f t="shared" si="94"/>
        <v>250.17540614049324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2.2695040763452314</v>
      </c>
      <c r="CL92" s="21">
        <f>EXP(-LN(2)/25)*CL91+(1-EXP(-LN(2)/25))/(LN(2)/25)*Calculateur!CG92*Calculateur!CI92*VLOOKUP('Données projet'!$B$12,Paramètres!$A$1:$I$89,3,0)*0.475*44/12</f>
        <v>5.4211765628629465</v>
      </c>
      <c r="CM92" s="21">
        <f>EXP(-LN(2)/2)*CM91+(1-EXP(-LN(2)/2))/(LN(2)/2)*CG92*CJ92*VLOOKUP('Données projet'!$B$12,Paramètres!$A$1:$I$89,3,0)*0.475*44/12</f>
        <v>2.8388390107307101E-8</v>
      </c>
      <c r="CN92" s="22">
        <f t="shared" si="66"/>
        <v>7.6906806675965687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4.5224624045658861E-14</v>
      </c>
      <c r="CV92" s="13">
        <f t="shared" si="95"/>
        <v>7.4514601661523691E-13</v>
      </c>
      <c r="CW92" s="20">
        <f t="shared" si="67"/>
        <v>1.3765621991510601E-12</v>
      </c>
      <c r="CX92" s="59">
        <f t="shared" si="68"/>
        <v>293.33333333333468</v>
      </c>
      <c r="CY92" s="59">
        <f ca="1">AVERAGE(OFFSET($CX$3,0,0,'Données projet'!$E$13+1,1))-AVERAGE(OFFSET($H$3,0,0,'Données projet'!$E$13+1,1))</f>
        <v>199.58763537752952</v>
      </c>
      <c r="CZ92" s="59">
        <f t="shared" si="96"/>
        <v>242.62852778451929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2.0030327596120183</v>
      </c>
      <c r="DH92" s="21">
        <f>EXP(-LN(2)/2)*DH91+(1-EXP(-LN(2)/2))/(LN(2)/2)*DB92*DE92*VLOOKUP('Données projet'!$B$13,Paramètres!$A$1:$I$89,3,0)*0.475*44/12</f>
        <v>1.4173930354381025E-8</v>
      </c>
      <c r="DI92" s="22">
        <f t="shared" si="69"/>
        <v>2.0030327737859488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-4.5474735088646412E-13</v>
      </c>
      <c r="DP92" s="17">
        <f>DO92*VLOOKUP('Données projet'!$B$14,Paramètres!$A$1:$I$89,3,0)*VLOOKUP('Données projet'!$B$14,Paramètres!$A$1:$I$89,5,0)</f>
        <v>-2.7193891583010558E-13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216.94426559495264</v>
      </c>
      <c r="DU92" s="59">
        <f t="shared" si="98"/>
        <v>225.33715877618704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2.5029227585810956</v>
      </c>
      <c r="EC92" s="21">
        <f>EXP(-LN(2)/2)*EC91+(1-EXP(-LN(2)/2))/(LN(2)/2)*DW92*DZ92*VLOOKUP('Données projet'!$B$14,Paramètres!$A$1:$I$89,3,0)*0.475*44/12</f>
        <v>3.125367924569799E-8</v>
      </c>
      <c r="ED92" s="22">
        <f t="shared" si="72"/>
        <v>2.5029227898347748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6.8212102632969618E-13</v>
      </c>
      <c r="EK92" s="17">
        <f>EJ92*VLOOKUP('Données projet'!$B$15,Paramètres!$A$1:$I$89,3,0)*VLOOKUP('Données projet'!$B$15,Paramètres!$A$1:$I$89,5,0)</f>
        <v>3.2810021366458383E-13</v>
      </c>
      <c r="EL92" s="13">
        <f t="shared" si="99"/>
        <v>4.2923528923937213E-12</v>
      </c>
      <c r="EM92" s="20">
        <f t="shared" si="73"/>
        <v>8.0472891597182151E-12</v>
      </c>
      <c r="EN92" s="59">
        <f t="shared" si="74"/>
        <v>293.33333333334139</v>
      </c>
      <c r="EO92" s="59">
        <f ca="1">AVERAGE(OFFSET($EN$3,0,0,'Données projet'!$E$15+1,1))-AVERAGE(OFFSET($H$3,0,0,'Données projet'!$E$15+1,1))</f>
        <v>292.1792787220852</v>
      </c>
      <c r="EP92" s="59">
        <f t="shared" si="100"/>
        <v>273.69206144662144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2.0945309729535357</v>
      </c>
      <c r="EW92" s="21">
        <f>EXP(-LN(2)/25)*EW91+(1-EXP(-LN(2)/25))/(LN(2)/25)*Calculateur!ER92*Calculateur!ET92*VLOOKUP('Données projet'!$B$15,Paramètres!$A$1:$I$89,3,0)*0.475*44/12</f>
        <v>2.6147080186635248</v>
      </c>
      <c r="EX92" s="21">
        <f>EXP(-LN(2)/2)*EX91+(1-EXP(-LN(2)/2))/(LN(2)/2)*ER92*EU92*VLOOKUP('Données projet'!$B$15,Paramètres!$A$1:$I$89,3,0)*0.475*44/12</f>
        <v>2.7543997346589514E-8</v>
      </c>
      <c r="EY92" s="22">
        <f t="shared" si="75"/>
        <v>4.7092390191610578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624.6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624.59999999999991</v>
      </c>
      <c r="O93" s="13">
        <f>N93*VLOOKUP('Données projet'!$B$9,Paramètres!$A$1:$I$89,3,0)*VLOOKUP('Données projet'!$B$9,Paramètres!$A$1:$I$89,5,0)</f>
        <v>292.31279999999998</v>
      </c>
      <c r="P93" s="13">
        <f t="shared" si="87"/>
        <v>69.562504549179678</v>
      </c>
      <c r="Q93" s="20">
        <f t="shared" si="54"/>
        <v>630.26615542315449</v>
      </c>
      <c r="R93" s="59">
        <f t="shared" si="55"/>
        <v>923.59948875648774</v>
      </c>
      <c r="S93" s="59">
        <f ca="1">AVERAGE(OFFSET($R$3,0,0,'Données projet'!$E$9+1,1))-AVERAGE(OFFSET($H$3,0,0,'Données projet'!$E$9+1,1))</f>
        <v>215.23235148064941</v>
      </c>
      <c r="T93" s="59">
        <f t="shared" si="88"/>
        <v>184.07239726900434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83.4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0.95527444320937926</v>
      </c>
      <c r="AA93" s="21">
        <f>EXP(-LN(2)/25)*AA92+(1-EXP(-LN(2)/25))/(LN(2)/25)*Calculateur!V93*Calculateur!X93*VLOOKUP('Données projet'!$B$9,Paramètres!$A$1:$I$89,3,0)*0.475*44/12</f>
        <v>1.4883321823724296</v>
      </c>
      <c r="AB93" s="21">
        <f>EXP(-LN(2)/2)*AB92+(1-EXP(-LN(2)/2))/(LN(2)/2)*V93*Y93*VLOOKUP('Données projet'!$B$9,Paramètres!$A$1:$I$89,3,0)*0.475*44/12</f>
        <v>9.1569279137030168E-9</v>
      </c>
      <c r="AC93" s="22">
        <f t="shared" si="57"/>
        <v>2.4436066347387371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-8.5265128291212022E-14</v>
      </c>
      <c r="AJ93" s="13">
        <f>AI93*VLOOKUP('Données projet'!$B$10,Paramètres!$A$1:$I$89,3,0)*VLOOKUP('Données projet'!$B$10,Paramètres!$A$1:$I$89,5,0)</f>
        <v>-7.7147888077888636E-14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225.28075317732998</v>
      </c>
      <c r="AO93" s="59">
        <f t="shared" si="90"/>
        <v>358.43407531256207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0.6837216233278387</v>
      </c>
      <c r="AV93" s="21">
        <f>EXP(-LN(2)/25)*AV92+(1-EXP(-LN(2)/25))/(LN(2)/25)*Calculateur!AQ93*Calculateur!AS93*VLOOKUP('Données projet'!$B$10,Paramètres!$A$1:$I$89,3,0)*0.475*44/12</f>
        <v>1.5672616686352263</v>
      </c>
      <c r="AW93" s="21">
        <f>EXP(-LN(2)/2)*AW92+(1-EXP(-LN(2)/2))/(LN(2)/2)*AQ93*AT93*VLOOKUP('Données projet'!$B$10,Paramètres!$A$1:$I$89,3,0)*0.475*44/12</f>
        <v>4.1108775092005019E-9</v>
      </c>
      <c r="AX93" s="21">
        <f t="shared" si="60"/>
        <v>2.2509832960739424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-5.6843418860808015E-13</v>
      </c>
      <c r="BE93" s="13">
        <f>BD93*VLOOKUP('Données projet'!$B$11,Paramètres!$A$1:$I$89,3,0)*VLOOKUP('Données projet'!$B$11,Paramètres!$A$1:$I$89,5,0)</f>
        <v>-3.177547114319168E-13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326.31232746914907</v>
      </c>
      <c r="BJ93" s="59">
        <f t="shared" si="92"/>
        <v>330.17137761430297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1.3920968647108367</v>
      </c>
      <c r="BQ93" s="21">
        <f>EXP(-LN(2)/25)*BQ92+(1-EXP(-LN(2)/25))/(LN(2)/25)*Calculateur!BL93*Calculateur!BN93*VLOOKUP('Données projet'!$B$11,Paramètres!$A$1:$I$89,3,0)*0.475*44/12</f>
        <v>5.7167046938851023</v>
      </c>
      <c r="BR93" s="21">
        <f>EXP(-LN(2)/2)*BR92+(1-EXP(-LN(2)/2))/(LN(2)/2)*BL93*BO93*VLOOKUP('Données projet'!$B$11,Paramètres!$A$1:$I$89,3,0)*0.475*44/12</f>
        <v>3.0288555073025861E-8</v>
      </c>
      <c r="BS93" s="22">
        <f t="shared" si="63"/>
        <v>7.1088015888844938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210.04871822652808</v>
      </c>
      <c r="CE93" s="59">
        <f t="shared" si="94"/>
        <v>250.17540614049324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2.2250004856689034</v>
      </c>
      <c r="CL93" s="21">
        <f>EXP(-LN(2)/25)*CL92+(1-EXP(-LN(2)/25))/(LN(2)/25)*Calculateur!CG93*Calculateur!CI93*VLOOKUP('Données projet'!$B$12,Paramètres!$A$1:$I$89,3,0)*0.475*44/12</f>
        <v>5.2729342046641738</v>
      </c>
      <c r="CM93" s="21">
        <f>EXP(-LN(2)/2)*CM92+(1-EXP(-LN(2)/2))/(LN(2)/2)*CG93*CJ93*VLOOKUP('Données projet'!$B$12,Paramètres!$A$1:$I$89,3,0)*0.475*44/12</f>
        <v>2.0073623151845953E-8</v>
      </c>
      <c r="CN93" s="22">
        <f t="shared" si="66"/>
        <v>7.4979347104066996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4.5224624045658861E-14</v>
      </c>
      <c r="CV93" s="13">
        <f t="shared" si="95"/>
        <v>7.4514601661523691E-13</v>
      </c>
      <c r="CW93" s="20">
        <f t="shared" si="67"/>
        <v>1.3765621991510601E-12</v>
      </c>
      <c r="CX93" s="59">
        <f t="shared" si="68"/>
        <v>293.33333333333468</v>
      </c>
      <c r="CY93" s="59">
        <f ca="1">AVERAGE(OFFSET($CX$3,0,0,'Données projet'!$E$13+1,1))-AVERAGE(OFFSET($H$3,0,0,'Données projet'!$E$13+1,1))</f>
        <v>199.58763537752952</v>
      </c>
      <c r="CZ93" s="59">
        <f t="shared" si="96"/>
        <v>242.62852778451929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1.9482597234655128</v>
      </c>
      <c r="DH93" s="21">
        <f>EXP(-LN(2)/2)*DH92+(1-EXP(-LN(2)/2))/(LN(2)/2)*DB93*DE93*VLOOKUP('Données projet'!$B$13,Paramètres!$A$1:$I$89,3,0)*0.475*44/12</f>
        <v>1.0022482269648667E-8</v>
      </c>
      <c r="DI93" s="22">
        <f t="shared" si="69"/>
        <v>1.948259733487995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-4.5474735088646412E-13</v>
      </c>
      <c r="DP93" s="17">
        <f>DO93*VLOOKUP('Données projet'!$B$14,Paramètres!$A$1:$I$89,3,0)*VLOOKUP('Données projet'!$B$14,Paramètres!$A$1:$I$89,5,0)</f>
        <v>-2.7193891583010558E-13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216.94426559495264</v>
      </c>
      <c r="DU93" s="59">
        <f t="shared" si="98"/>
        <v>225.33715877618704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2.434480204124708</v>
      </c>
      <c r="EC93" s="21">
        <f>EXP(-LN(2)/2)*EC92+(1-EXP(-LN(2)/2))/(LN(2)/2)*DW93*DZ93*VLOOKUP('Données projet'!$B$14,Paramètres!$A$1:$I$89,3,0)*0.475*44/12</f>
        <v>2.2099688531662311E-8</v>
      </c>
      <c r="ED93" s="22">
        <f t="shared" si="72"/>
        <v>2.4344802262243967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6.8212102632969618E-13</v>
      </c>
      <c r="EK93" s="17">
        <f>EJ93*VLOOKUP('Données projet'!$B$15,Paramètres!$A$1:$I$89,3,0)*VLOOKUP('Données projet'!$B$15,Paramètres!$A$1:$I$89,5,0)</f>
        <v>3.2810021366458383E-13</v>
      </c>
      <c r="EL93" s="13">
        <f t="shared" si="99"/>
        <v>4.2923528923937213E-12</v>
      </c>
      <c r="EM93" s="20">
        <f t="shared" si="73"/>
        <v>8.0472891597182151E-12</v>
      </c>
      <c r="EN93" s="59">
        <f t="shared" si="74"/>
        <v>293.33333333334139</v>
      </c>
      <c r="EO93" s="59">
        <f ca="1">AVERAGE(OFFSET($EN$3,0,0,'Données projet'!$E$15+1,1))-AVERAGE(OFFSET($H$3,0,0,'Données projet'!$E$15+1,1))</f>
        <v>292.1792787220852</v>
      </c>
      <c r="EP93" s="59">
        <f t="shared" si="100"/>
        <v>273.69206144662144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2.0534584981116639</v>
      </c>
      <c r="EW93" s="21">
        <f>EXP(-LN(2)/25)*EW92+(1-EXP(-LN(2)/25))/(LN(2)/25)*Calculateur!ER93*Calculateur!ET93*VLOOKUP('Données projet'!$B$15,Paramètres!$A$1:$I$89,3,0)*0.475*44/12</f>
        <v>2.5432086903916518</v>
      </c>
      <c r="EX93" s="21">
        <f>EXP(-LN(2)/2)*EX92+(1-EXP(-LN(2)/2))/(LN(2)/2)*ER93*EU93*VLOOKUP('Données projet'!$B$15,Paramètres!$A$1:$I$89,3,0)*0.475*44/12</f>
        <v>1.9476547304757717E-8</v>
      </c>
      <c r="EY93" s="22">
        <f t="shared" si="75"/>
        <v>4.5966672079798636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559.69999999999993</v>
      </c>
      <c r="O94" s="13">
        <f>N94*VLOOKUP('Données projet'!$B$9,Paramètres!$A$1:$I$89,3,0)*VLOOKUP('Données projet'!$B$9,Paramètres!$A$1:$I$89,5,0)</f>
        <v>261.93959999999998</v>
      </c>
      <c r="P94" s="13">
        <f t="shared" si="87"/>
        <v>63.135643285567426</v>
      </c>
      <c r="Q94" s="20">
        <f t="shared" si="54"/>
        <v>566.1727153890298</v>
      </c>
      <c r="R94" s="59">
        <f t="shared" si="55"/>
        <v>859.50604872236318</v>
      </c>
      <c r="S94" s="59">
        <f ca="1">AVERAGE(OFFSET($R$3,0,0,'Données projet'!$E$9+1,1))-AVERAGE(OFFSET($H$3,0,0,'Données projet'!$E$9+1,1))</f>
        <v>215.23235148064941</v>
      </c>
      <c r="T94" s="59">
        <f t="shared" si="88"/>
        <v>184.07239726900434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0.93654209403792077</v>
      </c>
      <c r="AA94" s="21">
        <f>EXP(-LN(2)/25)*AA93+(1-EXP(-LN(2)/25))/(LN(2)/25)*Calculateur!V94*Calculateur!X94*VLOOKUP('Données projet'!$B$9,Paramètres!$A$1:$I$89,3,0)*0.475*44/12</f>
        <v>1.4476336605774676</v>
      </c>
      <c r="AB94" s="21">
        <f>EXP(-LN(2)/2)*AB93+(1-EXP(-LN(2)/2))/(LN(2)/2)*V94*Y94*VLOOKUP('Données projet'!$B$9,Paramètres!$A$1:$I$89,3,0)*0.475*44/12</f>
        <v>6.4749258226157884E-9</v>
      </c>
      <c r="AC94" s="22">
        <f t="shared" si="57"/>
        <v>2.3841757610903143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-8.5265128291212022E-14</v>
      </c>
      <c r="AJ94" s="13">
        <f>AI94*VLOOKUP('Données projet'!$B$10,Paramètres!$A$1:$I$89,3,0)*VLOOKUP('Données projet'!$B$10,Paramètres!$A$1:$I$89,5,0)</f>
        <v>-7.7147888077888636E-14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225.28075317732998</v>
      </c>
      <c r="AO94" s="59">
        <f t="shared" si="90"/>
        <v>358.43407531256207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0.67031425932339184</v>
      </c>
      <c r="AV94" s="21">
        <f>EXP(-LN(2)/25)*AV93+(1-EXP(-LN(2)/25))/(LN(2)/25)*Calculateur!AQ94*Calculateur!AS94*VLOOKUP('Données projet'!$B$10,Paramètres!$A$1:$I$89,3,0)*0.475*44/12</f>
        <v>1.5244048158876868</v>
      </c>
      <c r="AW94" s="21">
        <f>EXP(-LN(2)/2)*AW93+(1-EXP(-LN(2)/2))/(LN(2)/2)*AQ94*AT94*VLOOKUP('Données projet'!$B$10,Paramètres!$A$1:$I$89,3,0)*0.475*44/12</f>
        <v>2.9068293633829388E-9</v>
      </c>
      <c r="AX94" s="21">
        <f t="shared" si="60"/>
        <v>2.1947190781179082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-5.6843418860808015E-13</v>
      </c>
      <c r="BE94" s="13">
        <f>BD94*VLOOKUP('Données projet'!$B$11,Paramètres!$A$1:$I$89,3,0)*VLOOKUP('Données projet'!$B$11,Paramètres!$A$1:$I$89,5,0)</f>
        <v>-3.177547114319168E-13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326.31232746914907</v>
      </c>
      <c r="BJ94" s="59">
        <f t="shared" si="92"/>
        <v>330.17137761430297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1.3647986942891035</v>
      </c>
      <c r="BQ94" s="21">
        <f>EXP(-LN(2)/25)*BQ93+(1-EXP(-LN(2)/25))/(LN(2)/25)*Calculateur!BL94*Calculateur!BN94*VLOOKUP('Données projet'!$B$11,Paramètres!$A$1:$I$89,3,0)*0.475*44/12</f>
        <v>5.5603811034023796</v>
      </c>
      <c r="BR94" s="21">
        <f>EXP(-LN(2)/2)*BR93+(1-EXP(-LN(2)/2))/(LN(2)/2)*BL94*BO94*VLOOKUP('Données projet'!$B$11,Paramètres!$A$1:$I$89,3,0)*0.475*44/12</f>
        <v>2.1417242684478792E-8</v>
      </c>
      <c r="BS94" s="22">
        <f t="shared" si="63"/>
        <v>6.9251798191087257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210.04871822652808</v>
      </c>
      <c r="CE94" s="59">
        <f t="shared" si="94"/>
        <v>250.17540614049324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2.1813695832612283</v>
      </c>
      <c r="CL94" s="21">
        <f>EXP(-LN(2)/25)*CL93+(1-EXP(-LN(2)/25))/(LN(2)/25)*Calculateur!CG94*Calculateur!CI94*VLOOKUP('Données projet'!$B$12,Paramètres!$A$1:$I$89,3,0)*0.475*44/12</f>
        <v>5.1287455415460732</v>
      </c>
      <c r="CM94" s="21">
        <f>EXP(-LN(2)/2)*CM93+(1-EXP(-LN(2)/2))/(LN(2)/2)*CG94*CJ94*VLOOKUP('Données projet'!$B$12,Paramètres!$A$1:$I$89,3,0)*0.475*44/12</f>
        <v>1.4194195053653551E-8</v>
      </c>
      <c r="CN94" s="22">
        <f t="shared" si="66"/>
        <v>7.3101151390014971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4.5224624045658861E-14</v>
      </c>
      <c r="CV94" s="13">
        <f t="shared" si="95"/>
        <v>7.4514601661523691E-13</v>
      </c>
      <c r="CW94" s="20">
        <f t="shared" si="67"/>
        <v>1.3765621991510601E-12</v>
      </c>
      <c r="CX94" s="59">
        <f t="shared" si="68"/>
        <v>293.33333333333468</v>
      </c>
      <c r="CY94" s="59">
        <f ca="1">AVERAGE(OFFSET($CX$3,0,0,'Données projet'!$E$13+1,1))-AVERAGE(OFFSET($H$3,0,0,'Données projet'!$E$13+1,1))</f>
        <v>199.58763537752952</v>
      </c>
      <c r="CZ94" s="59">
        <f t="shared" si="96"/>
        <v>242.62852778451929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1.8949844588728224</v>
      </c>
      <c r="DH94" s="21">
        <f>EXP(-LN(2)/2)*DH93+(1-EXP(-LN(2)/2))/(LN(2)/2)*DB94*DE94*VLOOKUP('Données projet'!$B$13,Paramètres!$A$1:$I$89,3,0)*0.475*44/12</f>
        <v>7.0869651771905125E-9</v>
      </c>
      <c r="DI94" s="22">
        <f t="shared" si="69"/>
        <v>1.8949844659597876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-4.5474735088646412E-13</v>
      </c>
      <c r="DP94" s="17">
        <f>DO94*VLOOKUP('Données projet'!$B$14,Paramètres!$A$1:$I$89,3,0)*VLOOKUP('Données projet'!$B$14,Paramètres!$A$1:$I$89,5,0)</f>
        <v>-2.7193891583010558E-13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216.94426559495264</v>
      </c>
      <c r="DU94" s="59">
        <f t="shared" si="98"/>
        <v>225.33715877618704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2.3679092149191678</v>
      </c>
      <c r="EC94" s="21">
        <f>EXP(-LN(2)/2)*EC93+(1-EXP(-LN(2)/2))/(LN(2)/2)*DW94*DZ94*VLOOKUP('Données projet'!$B$14,Paramètres!$A$1:$I$89,3,0)*0.475*44/12</f>
        <v>1.5626839622848995E-8</v>
      </c>
      <c r="ED94" s="22">
        <f t="shared" si="72"/>
        <v>2.3679092305460077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6.8212102632969618E-13</v>
      </c>
      <c r="EK94" s="17">
        <f>EJ94*VLOOKUP('Données projet'!$B$15,Paramètres!$A$1:$I$89,3,0)*VLOOKUP('Données projet'!$B$15,Paramètres!$A$1:$I$89,5,0)</f>
        <v>3.2810021366458383E-13</v>
      </c>
      <c r="EL94" s="13">
        <f t="shared" si="99"/>
        <v>4.2923528923937213E-12</v>
      </c>
      <c r="EM94" s="20">
        <f t="shared" si="73"/>
        <v>8.0472891597182151E-12</v>
      </c>
      <c r="EN94" s="59">
        <f t="shared" si="74"/>
        <v>293.33333333334139</v>
      </c>
      <c r="EO94" s="59">
        <f ca="1">AVERAGE(OFFSET($EN$3,0,0,'Données projet'!$E$15+1,1))-AVERAGE(OFFSET($H$3,0,0,'Données projet'!$E$15+1,1))</f>
        <v>292.1792787220852</v>
      </c>
      <c r="EP94" s="59">
        <f t="shared" si="100"/>
        <v>273.69206144662144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2.0131914294497055</v>
      </c>
      <c r="EW94" s="21">
        <f>EXP(-LN(2)/25)*EW93+(1-EXP(-LN(2)/25))/(LN(2)/25)*Calculateur!ER94*Calculateur!ET94*VLOOKUP('Données projet'!$B$15,Paramètres!$A$1:$I$89,3,0)*0.475*44/12</f>
        <v>2.4736645150113596</v>
      </c>
      <c r="EX94" s="21">
        <f>EXP(-LN(2)/2)*EX93+(1-EXP(-LN(2)/2))/(LN(2)/2)*ER94*EU94*VLOOKUP('Données projet'!$B$15,Paramètres!$A$1:$I$89,3,0)*0.475*44/12</f>
        <v>1.3771998673294757E-8</v>
      </c>
      <c r="EY94" s="22">
        <f t="shared" si="75"/>
        <v>4.4868559582330638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578.19999999999993</v>
      </c>
      <c r="O95" s="13">
        <f>N95*VLOOKUP('Données projet'!$B$9,Paramètres!$A$1:$I$89,3,0)*VLOOKUP('Données projet'!$B$9,Paramètres!$A$1:$I$89,5,0)</f>
        <v>270.59759999999994</v>
      </c>
      <c r="P95" s="13">
        <f t="shared" si="87"/>
        <v>64.976078766498532</v>
      </c>
      <c r="Q95" s="20">
        <f t="shared" si="54"/>
        <v>584.45749051831808</v>
      </c>
      <c r="R95" s="59">
        <f t="shared" si="55"/>
        <v>877.79082385165134</v>
      </c>
      <c r="S95" s="59">
        <f ca="1">AVERAGE(OFFSET($R$3,0,0,'Données projet'!$E$9+1,1))-AVERAGE(OFFSET($H$3,0,0,'Données projet'!$E$9+1,1))</f>
        <v>215.23235148064941</v>
      </c>
      <c r="T95" s="59">
        <f t="shared" si="88"/>
        <v>184.07239726900434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0.91817707480810984</v>
      </c>
      <c r="AA95" s="21">
        <f>EXP(-LN(2)/25)*AA94+(1-EXP(-LN(2)/25))/(LN(2)/25)*Calculateur!V95*Calculateur!X95*VLOOKUP('Données projet'!$B$9,Paramètres!$A$1:$I$89,3,0)*0.475*44/12</f>
        <v>1.4080480420012311</v>
      </c>
      <c r="AB95" s="21">
        <f>EXP(-LN(2)/2)*AB94+(1-EXP(-LN(2)/2))/(LN(2)/2)*V95*Y95*VLOOKUP('Données projet'!$B$9,Paramètres!$A$1:$I$89,3,0)*0.475*44/12</f>
        <v>4.5784639568515084E-9</v>
      </c>
      <c r="AC95" s="22">
        <f t="shared" si="57"/>
        <v>2.3262251213878047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-8.5265128291212022E-14</v>
      </c>
      <c r="AJ95" s="13">
        <f>AI95*VLOOKUP('Données projet'!$B$10,Paramètres!$A$1:$I$89,3,0)*VLOOKUP('Données projet'!$B$10,Paramètres!$A$1:$I$89,5,0)</f>
        <v>-7.7147888077888636E-14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225.28075317732998</v>
      </c>
      <c r="AO95" s="59">
        <f t="shared" si="90"/>
        <v>358.43407531256207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0.65716980554938764</v>
      </c>
      <c r="AV95" s="21">
        <f>EXP(-LN(2)/25)*AV94+(1-EXP(-LN(2)/25))/(LN(2)/25)*Calculateur!AQ95*Calculateur!AS95*VLOOKUP('Données projet'!$B$10,Paramètres!$A$1:$I$89,3,0)*0.475*44/12</f>
        <v>1.4827198860322728</v>
      </c>
      <c r="AW95" s="21">
        <f>EXP(-LN(2)/2)*AW94+(1-EXP(-LN(2)/2))/(LN(2)/2)*AQ95*AT95*VLOOKUP('Données projet'!$B$10,Paramètres!$A$1:$I$89,3,0)*0.475*44/12</f>
        <v>2.0554387546002509E-9</v>
      </c>
      <c r="AX95" s="21">
        <f t="shared" si="60"/>
        <v>2.1398896936370995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-5.6843418860808015E-13</v>
      </c>
      <c r="BE95" s="13">
        <f>BD95*VLOOKUP('Données projet'!$B$11,Paramètres!$A$1:$I$89,3,0)*VLOOKUP('Données projet'!$B$11,Paramètres!$A$1:$I$89,5,0)</f>
        <v>-3.177547114319168E-13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326.31232746914907</v>
      </c>
      <c r="BJ95" s="59">
        <f t="shared" si="92"/>
        <v>330.17137761430297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1.3380358243391006</v>
      </c>
      <c r="BQ95" s="21">
        <f>EXP(-LN(2)/25)*BQ94+(1-EXP(-LN(2)/25))/(LN(2)/25)*Calculateur!BL95*Calculateur!BN95*VLOOKUP('Données projet'!$B$11,Paramètres!$A$1:$I$89,3,0)*0.475*44/12</f>
        <v>5.4083321897221079</v>
      </c>
      <c r="BR95" s="21">
        <f>EXP(-LN(2)/2)*BR94+(1-EXP(-LN(2)/2))/(LN(2)/2)*BL95*BO95*VLOOKUP('Données projet'!$B$11,Paramètres!$A$1:$I$89,3,0)*0.475*44/12</f>
        <v>1.5144277536512931E-8</v>
      </c>
      <c r="BS95" s="22">
        <f t="shared" si="63"/>
        <v>6.7463680292054864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210.04871822652808</v>
      </c>
      <c r="CE95" s="59">
        <f t="shared" si="94"/>
        <v>250.17540614049324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2.1385942562375448</v>
      </c>
      <c r="CL95" s="21">
        <f>EXP(-LN(2)/25)*CL94+(1-EXP(-LN(2)/25))/(LN(2)/25)*Calculateur!CG95*Calculateur!CI95*VLOOKUP('Données projet'!$B$12,Paramètres!$A$1:$I$89,3,0)*0.475*44/12</f>
        <v>4.9884997250034901</v>
      </c>
      <c r="CM95" s="21">
        <f>EXP(-LN(2)/2)*CM94+(1-EXP(-LN(2)/2))/(LN(2)/2)*CG95*CJ95*VLOOKUP('Données projet'!$B$12,Paramètres!$A$1:$I$89,3,0)*0.475*44/12</f>
        <v>1.0036811575922976E-8</v>
      </c>
      <c r="CN95" s="22">
        <f t="shared" si="66"/>
        <v>7.1270939912778468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4.5224624045658861E-14</v>
      </c>
      <c r="CV95" s="13">
        <f t="shared" si="95"/>
        <v>7.4514601661523691E-13</v>
      </c>
      <c r="CW95" s="20">
        <f t="shared" si="67"/>
        <v>1.3765621991510601E-12</v>
      </c>
      <c r="CX95" s="59">
        <f t="shared" si="68"/>
        <v>293.33333333333468</v>
      </c>
      <c r="CY95" s="59">
        <f ca="1">AVERAGE(OFFSET($CX$3,0,0,'Données projet'!$E$13+1,1))-AVERAGE(OFFSET($H$3,0,0,'Données projet'!$E$13+1,1))</f>
        <v>199.58763537752952</v>
      </c>
      <c r="CZ95" s="59">
        <f t="shared" si="96"/>
        <v>242.62852778451929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1.8431660091920434</v>
      </c>
      <c r="DH95" s="21">
        <f>EXP(-LN(2)/2)*DH94+(1-EXP(-LN(2)/2))/(LN(2)/2)*DB95*DE95*VLOOKUP('Données projet'!$B$13,Paramètres!$A$1:$I$89,3,0)*0.475*44/12</f>
        <v>5.0112411348243337E-9</v>
      </c>
      <c r="DI95" s="22">
        <f t="shared" si="69"/>
        <v>1.8431660142032846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-4.5474735088646412E-13</v>
      </c>
      <c r="DP95" s="17">
        <f>DO95*VLOOKUP('Données projet'!$B$14,Paramètres!$A$1:$I$89,3,0)*VLOOKUP('Données projet'!$B$14,Paramètres!$A$1:$I$89,5,0)</f>
        <v>-2.7193891583010558E-13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216.94426559495264</v>
      </c>
      <c r="DU95" s="59">
        <f t="shared" si="98"/>
        <v>225.33715877618704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2.3031586129142694</v>
      </c>
      <c r="EC95" s="21">
        <f>EXP(-LN(2)/2)*EC94+(1-EXP(-LN(2)/2))/(LN(2)/2)*DW95*DZ95*VLOOKUP('Données projet'!$B$14,Paramètres!$A$1:$I$89,3,0)*0.475*44/12</f>
        <v>1.1049844265831155E-8</v>
      </c>
      <c r="ED95" s="22">
        <f t="shared" si="72"/>
        <v>2.3031586239641135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6.8212102632969618E-13</v>
      </c>
      <c r="EK95" s="17">
        <f>EJ95*VLOOKUP('Données projet'!$B$15,Paramètres!$A$1:$I$89,3,0)*VLOOKUP('Données projet'!$B$15,Paramètres!$A$1:$I$89,5,0)</f>
        <v>3.2810021366458383E-13</v>
      </c>
      <c r="EL95" s="13">
        <f t="shared" si="99"/>
        <v>4.2923528923937213E-12</v>
      </c>
      <c r="EM95" s="20">
        <f t="shared" si="73"/>
        <v>8.0472891597182151E-12</v>
      </c>
      <c r="EN95" s="59">
        <f t="shared" si="74"/>
        <v>293.33333333334139</v>
      </c>
      <c r="EO95" s="59">
        <f ca="1">AVERAGE(OFFSET($EN$3,0,0,'Données projet'!$E$15+1,1))-AVERAGE(OFFSET($H$3,0,0,'Données projet'!$E$15+1,1))</f>
        <v>292.1792787220852</v>
      </c>
      <c r="EP95" s="59">
        <f t="shared" si="100"/>
        <v>273.69206144662144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1.9737139734437212</v>
      </c>
      <c r="EW95" s="21">
        <f>EXP(-LN(2)/25)*EW94+(1-EXP(-LN(2)/25))/(LN(2)/25)*Calculateur!ER95*Calculateur!ET95*VLOOKUP('Données projet'!$B$15,Paramètres!$A$1:$I$89,3,0)*0.475*44/12</f>
        <v>2.4060220287640108</v>
      </c>
      <c r="EX95" s="21">
        <f>EXP(-LN(2)/2)*EX94+(1-EXP(-LN(2)/2))/(LN(2)/2)*ER95*EU95*VLOOKUP('Données projet'!$B$15,Paramètres!$A$1:$I$89,3,0)*0.475*44/12</f>
        <v>9.7382736523788586E-9</v>
      </c>
      <c r="EY95" s="22">
        <f t="shared" si="75"/>
        <v>4.3797360119460054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596.69999999999993</v>
      </c>
      <c r="O96" s="13">
        <f>N96*VLOOKUP('Données projet'!$B$9,Paramètres!$A$1:$I$89,3,0)*VLOOKUP('Données projet'!$B$9,Paramètres!$A$1:$I$89,5,0)</f>
        <v>279.25559999999996</v>
      </c>
      <c r="P96" s="13">
        <f t="shared" si="87"/>
        <v>66.809671397146161</v>
      </c>
      <c r="Q96" s="20">
        <f t="shared" si="54"/>
        <v>602.73034768336277</v>
      </c>
      <c r="R96" s="59">
        <f t="shared" si="55"/>
        <v>896.06368101669614</v>
      </c>
      <c r="S96" s="59">
        <f ca="1">AVERAGE(OFFSET($R$3,0,0,'Données projet'!$E$9+1,1))-AVERAGE(OFFSET($H$3,0,0,'Données projet'!$E$9+1,1))</f>
        <v>215.23235148064941</v>
      </c>
      <c r="T96" s="59">
        <f t="shared" si="88"/>
        <v>184.07239726900434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0.90017218240383978</v>
      </c>
      <c r="AA96" s="21">
        <f>EXP(-LN(2)/25)*AA95+(1-EXP(-LN(2)/25))/(LN(2)/25)*Calculateur!V96*Calculateur!X96*VLOOKUP('Données projet'!$B$9,Paramètres!$A$1:$I$89,3,0)*0.475*44/12</f>
        <v>1.369544894246679</v>
      </c>
      <c r="AB96" s="21">
        <f>EXP(-LN(2)/2)*AB95+(1-EXP(-LN(2)/2))/(LN(2)/2)*V96*Y96*VLOOKUP('Données projet'!$B$9,Paramètres!$A$1:$I$89,3,0)*0.475*44/12</f>
        <v>3.2374629113078942E-9</v>
      </c>
      <c r="AC96" s="22">
        <f t="shared" si="57"/>
        <v>2.2697170798879815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-8.5265128291212022E-14</v>
      </c>
      <c r="AJ96" s="13">
        <f>AI96*VLOOKUP('Données projet'!$B$10,Paramètres!$A$1:$I$89,3,0)*VLOOKUP('Données projet'!$B$10,Paramètres!$A$1:$I$89,5,0)</f>
        <v>-7.7147888077888636E-14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225.28075317732998</v>
      </c>
      <c r="AO96" s="59">
        <f t="shared" si="90"/>
        <v>358.43407531256207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0.6442831064965665</v>
      </c>
      <c r="AV96" s="21">
        <f>EXP(-LN(2)/25)*AV95+(1-EXP(-LN(2)/25))/(LN(2)/25)*Calculateur!AQ96*Calculateur!AS96*VLOOKUP('Données projet'!$B$10,Paramètres!$A$1:$I$89,3,0)*0.475*44/12</f>
        <v>1.4421748327758703</v>
      </c>
      <c r="AW96" s="21">
        <f>EXP(-LN(2)/2)*AW95+(1-EXP(-LN(2)/2))/(LN(2)/2)*AQ96*AT96*VLOOKUP('Données projet'!$B$10,Paramètres!$A$1:$I$89,3,0)*0.475*44/12</f>
        <v>1.4534146816914694E-9</v>
      </c>
      <c r="AX96" s="21">
        <f t="shared" si="60"/>
        <v>2.0864579407258517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-5.6843418860808015E-13</v>
      </c>
      <c r="BE96" s="13">
        <f>BD96*VLOOKUP('Données projet'!$B$11,Paramètres!$A$1:$I$89,3,0)*VLOOKUP('Données projet'!$B$11,Paramètres!$A$1:$I$89,5,0)</f>
        <v>-3.177547114319168E-13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326.31232746914907</v>
      </c>
      <c r="BJ96" s="59">
        <f t="shared" si="92"/>
        <v>330.17137761430297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1.3117977579450784</v>
      </c>
      <c r="BQ96" s="21">
        <f>EXP(-LN(2)/25)*BQ95+(1-EXP(-LN(2)/25))/(LN(2)/25)*Calculateur!BL96*Calculateur!BN96*VLOOKUP('Données projet'!$B$11,Paramètres!$A$1:$I$89,3,0)*0.475*44/12</f>
        <v>5.2604410615823278</v>
      </c>
      <c r="BR96" s="21">
        <f>EXP(-LN(2)/2)*BR95+(1-EXP(-LN(2)/2))/(LN(2)/2)*BL96*BO96*VLOOKUP('Données projet'!$B$11,Paramètres!$A$1:$I$89,3,0)*0.475*44/12</f>
        <v>1.0708621342239396E-8</v>
      </c>
      <c r="BS96" s="22">
        <f t="shared" si="63"/>
        <v>6.572238830236028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210.04871822652808</v>
      </c>
      <c r="CE96" s="59">
        <f t="shared" si="94"/>
        <v>250.17540614049324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2.0966577272864226</v>
      </c>
      <c r="CL96" s="21">
        <f>EXP(-LN(2)/25)*CL95+(1-EXP(-LN(2)/25))/(LN(2)/25)*Calculateur!CG96*Calculateur!CI96*VLOOKUP('Données projet'!$B$12,Paramètres!$A$1:$I$89,3,0)*0.475*44/12</f>
        <v>4.8520889376894702</v>
      </c>
      <c r="CM96" s="21">
        <f>EXP(-LN(2)/2)*CM95+(1-EXP(-LN(2)/2))/(LN(2)/2)*CG96*CJ96*VLOOKUP('Données projet'!$B$12,Paramètres!$A$1:$I$89,3,0)*0.475*44/12</f>
        <v>7.0970975268267753E-9</v>
      </c>
      <c r="CN96" s="22">
        <f t="shared" si="66"/>
        <v>6.94874667207299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4.5224624045658861E-14</v>
      </c>
      <c r="CV96" s="13">
        <f t="shared" si="95"/>
        <v>7.4514601661523691E-13</v>
      </c>
      <c r="CW96" s="20">
        <f t="shared" si="67"/>
        <v>1.3765621991510601E-12</v>
      </c>
      <c r="CX96" s="59">
        <f t="shared" si="68"/>
        <v>293.33333333333468</v>
      </c>
      <c r="CY96" s="59">
        <f ca="1">AVERAGE(OFFSET($CX$3,0,0,'Données projet'!$E$13+1,1))-AVERAGE(OFFSET($H$3,0,0,'Données projet'!$E$13+1,1))</f>
        <v>199.58763537752952</v>
      </c>
      <c r="CZ96" s="59">
        <f t="shared" si="96"/>
        <v>242.62852778451929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1.7927645377427992</v>
      </c>
      <c r="DH96" s="21">
        <f>EXP(-LN(2)/2)*DH95+(1-EXP(-LN(2)/2))/(LN(2)/2)*DB96*DE96*VLOOKUP('Données projet'!$B$13,Paramètres!$A$1:$I$89,3,0)*0.475*44/12</f>
        <v>3.5434825885952562E-9</v>
      </c>
      <c r="DI96" s="22">
        <f t="shared" si="69"/>
        <v>1.7927645412862818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-4.5474735088646412E-13</v>
      </c>
      <c r="DP96" s="17">
        <f>DO96*VLOOKUP('Données projet'!$B$14,Paramètres!$A$1:$I$89,3,0)*VLOOKUP('Données projet'!$B$14,Paramètres!$A$1:$I$89,5,0)</f>
        <v>-2.7193891583010558E-13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216.94426559495264</v>
      </c>
      <c r="DU96" s="59">
        <f t="shared" si="98"/>
        <v>225.33715877618704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2.2401786195262812</v>
      </c>
      <c r="EC96" s="21">
        <f>EXP(-LN(2)/2)*EC95+(1-EXP(-LN(2)/2))/(LN(2)/2)*DW96*DZ96*VLOOKUP('Données projet'!$B$14,Paramètres!$A$1:$I$89,3,0)*0.475*44/12</f>
        <v>7.8134198114244975E-9</v>
      </c>
      <c r="ED96" s="22">
        <f t="shared" si="72"/>
        <v>2.2401786273397009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6.8212102632969618E-13</v>
      </c>
      <c r="EK96" s="17">
        <f>EJ96*VLOOKUP('Données projet'!$B$15,Paramètres!$A$1:$I$89,3,0)*VLOOKUP('Données projet'!$B$15,Paramètres!$A$1:$I$89,5,0)</f>
        <v>3.2810021366458383E-13</v>
      </c>
      <c r="EL96" s="13">
        <f t="shared" si="99"/>
        <v>4.2923528923937213E-12</v>
      </c>
      <c r="EM96" s="20">
        <f t="shared" si="73"/>
        <v>8.0472891597182151E-12</v>
      </c>
      <c r="EN96" s="59">
        <f t="shared" si="74"/>
        <v>293.33333333334139</v>
      </c>
      <c r="EO96" s="59">
        <f ca="1">AVERAGE(OFFSET($EN$3,0,0,'Données projet'!$E$15+1,1))-AVERAGE(OFFSET($H$3,0,0,'Données projet'!$E$15+1,1))</f>
        <v>292.1792787220852</v>
      </c>
      <c r="EP96" s="59">
        <f t="shared" si="100"/>
        <v>273.69206144662144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1.9350106462711436</v>
      </c>
      <c r="EW96" s="21">
        <f>EXP(-LN(2)/25)*EW95+(1-EXP(-LN(2)/25))/(LN(2)/25)*Calculateur!ER96*Calculateur!ET96*VLOOKUP('Données projet'!$B$15,Paramètres!$A$1:$I$89,3,0)*0.475*44/12</f>
        <v>2.3402292298602596</v>
      </c>
      <c r="EX96" s="21">
        <f>EXP(-LN(2)/2)*EX95+(1-EXP(-LN(2)/2))/(LN(2)/2)*ER96*EU96*VLOOKUP('Données projet'!$B$15,Paramètres!$A$1:$I$89,3,0)*0.475*44/12</f>
        <v>6.8859993366473786E-9</v>
      </c>
      <c r="EY96" s="22">
        <f t="shared" si="75"/>
        <v>4.2752398830174023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615.19999999999993</v>
      </c>
      <c r="O97" s="13">
        <f>N97*VLOOKUP('Données projet'!$B$9,Paramètres!$A$1:$I$89,3,0)*VLOOKUP('Données projet'!$B$9,Paramètres!$A$1:$I$89,5,0)</f>
        <v>287.91359999999997</v>
      </c>
      <c r="P97" s="13">
        <f t="shared" si="87"/>
        <v>68.636657677063752</v>
      </c>
      <c r="Q97" s="20">
        <f t="shared" si="54"/>
        <v>620.99169878755254</v>
      </c>
      <c r="R97" s="59">
        <f t="shared" si="55"/>
        <v>914.32503212088591</v>
      </c>
      <c r="S97" s="59">
        <f ca="1">AVERAGE(OFFSET($R$3,0,0,'Données projet'!$E$9+1,1))-AVERAGE(OFFSET($H$3,0,0,'Données projet'!$E$9+1,1))</f>
        <v>215.23235148064941</v>
      </c>
      <c r="T97" s="59">
        <f t="shared" si="88"/>
        <v>184.07239726900434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0.88252035495771752</v>
      </c>
      <c r="AA97" s="21">
        <f>EXP(-LN(2)/25)*AA96+(1-EXP(-LN(2)/25))/(LN(2)/25)*Calculateur!V97*Calculateur!X97*VLOOKUP('Données projet'!$B$9,Paramètres!$A$1:$I$89,3,0)*0.475*44/12</f>
        <v>1.3320946170922678</v>
      </c>
      <c r="AB97" s="21">
        <f>EXP(-LN(2)/2)*AB96+(1-EXP(-LN(2)/2))/(LN(2)/2)*V97*Y97*VLOOKUP('Données projet'!$B$9,Paramètres!$A$1:$I$89,3,0)*0.475*44/12</f>
        <v>2.2892319784257542E-9</v>
      </c>
      <c r="AC97" s="22">
        <f t="shared" si="57"/>
        <v>2.2146149743392174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-8.5265128291212022E-14</v>
      </c>
      <c r="AJ97" s="13">
        <f>AI97*VLOOKUP('Données projet'!$B$10,Paramètres!$A$1:$I$89,3,0)*VLOOKUP('Données projet'!$B$10,Paramètres!$A$1:$I$89,5,0)</f>
        <v>-7.7147888077888636E-14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225.28075317732998</v>
      </c>
      <c r="AO97" s="59">
        <f t="shared" si="90"/>
        <v>358.43407531256207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0.63164910775206085</v>
      </c>
      <c r="AV97" s="21">
        <f>EXP(-LN(2)/25)*AV96+(1-EXP(-LN(2)/25))/(LN(2)/25)*Calculateur!AQ97*Calculateur!AS97*VLOOKUP('Données projet'!$B$10,Paramètres!$A$1:$I$89,3,0)*0.475*44/12</f>
        <v>1.4027384861329357</v>
      </c>
      <c r="AW97" s="21">
        <f>EXP(-LN(2)/2)*AW96+(1-EXP(-LN(2)/2))/(LN(2)/2)*AQ97*AT97*VLOOKUP('Données projet'!$B$10,Paramètres!$A$1:$I$89,3,0)*0.475*44/12</f>
        <v>1.0277193773001255E-9</v>
      </c>
      <c r="AX97" s="21">
        <f t="shared" si="60"/>
        <v>2.0343875949127157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-5.6843418860808015E-13</v>
      </c>
      <c r="BE97" s="13">
        <f>BD97*VLOOKUP('Données projet'!$B$11,Paramètres!$A$1:$I$89,3,0)*VLOOKUP('Données projet'!$B$11,Paramètres!$A$1:$I$89,5,0)</f>
        <v>-3.177547114319168E-13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326.31232746914907</v>
      </c>
      <c r="BJ97" s="59">
        <f t="shared" si="92"/>
        <v>330.17137761430297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1.2860742040294026</v>
      </c>
      <c r="BQ97" s="21">
        <f>EXP(-LN(2)/25)*BQ96+(1-EXP(-LN(2)/25))/(LN(2)/25)*Calculateur!BL97*Calculateur!BN97*VLOOKUP('Données projet'!$B$11,Paramètres!$A$1:$I$89,3,0)*0.475*44/12</f>
        <v>5.1165940241187862</v>
      </c>
      <c r="BR97" s="21">
        <f>EXP(-LN(2)/2)*BR96+(1-EXP(-LN(2)/2))/(LN(2)/2)*BL97*BO97*VLOOKUP('Données projet'!$B$11,Paramètres!$A$1:$I$89,3,0)*0.475*44/12</f>
        <v>7.5721387682564654E-9</v>
      </c>
      <c r="BS97" s="22">
        <f t="shared" si="63"/>
        <v>6.4026682357203271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210.04871822652808</v>
      </c>
      <c r="CE97" s="59">
        <f t="shared" si="94"/>
        <v>250.17540614049324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2.055543548089275</v>
      </c>
      <c r="CL97" s="21">
        <f>EXP(-LN(2)/25)*CL96+(1-EXP(-LN(2)/25))/(LN(2)/25)*Calculateur!CG97*Calculateur!CI97*VLOOKUP('Données projet'!$B$12,Paramètres!$A$1:$I$89,3,0)*0.475*44/12</f>
        <v>4.7194083105280837</v>
      </c>
      <c r="CM97" s="21">
        <f>EXP(-LN(2)/2)*CM96+(1-EXP(-LN(2)/2))/(LN(2)/2)*CG97*CJ97*VLOOKUP('Données projet'!$B$12,Paramètres!$A$1:$I$89,3,0)*0.475*44/12</f>
        <v>5.0184057879614881E-9</v>
      </c>
      <c r="CN97" s="22">
        <f t="shared" si="66"/>
        <v>6.7749518636357644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4.5224624045658861E-14</v>
      </c>
      <c r="CV97" s="13">
        <f t="shared" si="95"/>
        <v>7.4514601661523691E-13</v>
      </c>
      <c r="CW97" s="20">
        <f t="shared" si="67"/>
        <v>1.3765621991510601E-12</v>
      </c>
      <c r="CX97" s="59">
        <f t="shared" si="68"/>
        <v>293.33333333333468</v>
      </c>
      <c r="CY97" s="59">
        <f ca="1">AVERAGE(OFFSET($CX$3,0,0,'Données projet'!$E$13+1,1))-AVERAGE(OFFSET($H$3,0,0,'Données projet'!$E$13+1,1))</f>
        <v>199.58763537752952</v>
      </c>
      <c r="CZ97" s="59">
        <f t="shared" si="96"/>
        <v>242.62852778451929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1.7437412971808328</v>
      </c>
      <c r="DH97" s="21">
        <f>EXP(-LN(2)/2)*DH96+(1-EXP(-LN(2)/2))/(LN(2)/2)*DB97*DE97*VLOOKUP('Données projet'!$B$13,Paramètres!$A$1:$I$89,3,0)*0.475*44/12</f>
        <v>2.5056205674121668E-9</v>
      </c>
      <c r="DI97" s="22">
        <f t="shared" si="69"/>
        <v>1.7437412996864534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-4.5474735088646412E-13</v>
      </c>
      <c r="DP97" s="17">
        <f>DO97*VLOOKUP('Données projet'!$B$14,Paramètres!$A$1:$I$89,3,0)*VLOOKUP('Données projet'!$B$14,Paramètres!$A$1:$I$89,5,0)</f>
        <v>-2.7193891583010558E-13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216.94426559495264</v>
      </c>
      <c r="DU97" s="59">
        <f t="shared" si="98"/>
        <v>225.33715877618704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2.1789208173694612</v>
      </c>
      <c r="EC97" s="21">
        <f>EXP(-LN(2)/2)*EC96+(1-EXP(-LN(2)/2))/(LN(2)/2)*DW97*DZ97*VLOOKUP('Données projet'!$B$14,Paramètres!$A$1:$I$89,3,0)*0.475*44/12</f>
        <v>5.5249221329155777E-9</v>
      </c>
      <c r="ED97" s="22">
        <f t="shared" si="72"/>
        <v>2.1789208228943835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6.8212102632969618E-13</v>
      </c>
      <c r="EK97" s="17">
        <f>EJ97*VLOOKUP('Données projet'!$B$15,Paramètres!$A$1:$I$89,3,0)*VLOOKUP('Données projet'!$B$15,Paramètres!$A$1:$I$89,5,0)</f>
        <v>3.2810021366458383E-13</v>
      </c>
      <c r="EL97" s="13">
        <f t="shared" si="99"/>
        <v>4.2923528923937213E-12</v>
      </c>
      <c r="EM97" s="20">
        <f t="shared" si="73"/>
        <v>8.0472891597182151E-12</v>
      </c>
      <c r="EN97" s="59">
        <f t="shared" si="74"/>
        <v>293.33333333334139</v>
      </c>
      <c r="EO97" s="59">
        <f ca="1">AVERAGE(OFFSET($EN$3,0,0,'Données projet'!$E$15+1,1))-AVERAGE(OFFSET($H$3,0,0,'Données projet'!$E$15+1,1))</f>
        <v>292.1792787220852</v>
      </c>
      <c r="EP97" s="59">
        <f t="shared" si="100"/>
        <v>273.69206144662144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1.8970662677377217</v>
      </c>
      <c r="EW97" s="21">
        <f>EXP(-LN(2)/25)*EW96+(1-EXP(-LN(2)/25))/(LN(2)/25)*Calculateur!ER97*Calculateur!ET97*VLOOKUP('Données projet'!$B$15,Paramètres!$A$1:$I$89,3,0)*0.475*44/12</f>
        <v>2.2762355385024242</v>
      </c>
      <c r="EX97" s="21">
        <f>EXP(-LN(2)/2)*EX96+(1-EXP(-LN(2)/2))/(LN(2)/2)*ER97*EU97*VLOOKUP('Données projet'!$B$15,Paramètres!$A$1:$I$89,3,0)*0.475*44/12</f>
        <v>4.8691368261894293E-9</v>
      </c>
      <c r="EY97" s="22">
        <f t="shared" si="75"/>
        <v>4.1733018111092832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633.69999999999993</v>
      </c>
      <c r="O98" s="13">
        <f>N98*VLOOKUP('Données projet'!$B$9,Paramètres!$A$1:$I$89,3,0)*VLOOKUP('Données projet'!$B$9,Paramètres!$A$1:$I$89,5,0)</f>
        <v>296.57159999999999</v>
      </c>
      <c r="P98" s="13">
        <f t="shared" si="87"/>
        <v>70.457259073622822</v>
      </c>
      <c r="Q98" s="20">
        <f t="shared" si="54"/>
        <v>639.24192955322633</v>
      </c>
      <c r="R98" s="59">
        <f t="shared" si="55"/>
        <v>932.57526288655959</v>
      </c>
      <c r="S98" s="59">
        <f ca="1">AVERAGE(OFFSET($R$3,0,0,'Données projet'!$E$9+1,1))-AVERAGE(OFFSET($H$3,0,0,'Données projet'!$E$9+1,1))</f>
        <v>215.23235148064941</v>
      </c>
      <c r="T98" s="59">
        <f t="shared" si="88"/>
        <v>184.07239726900434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0.8652146690812621</v>
      </c>
      <c r="AA98" s="21">
        <f>EXP(-LN(2)/25)*AA97+(1-EXP(-LN(2)/25))/(LN(2)/25)*Calculateur!V98*Calculateur!X98*VLOOKUP('Données projet'!$B$9,Paramètres!$A$1:$I$89,3,0)*0.475*44/12</f>
        <v>1.2956684197360684</v>
      </c>
      <c r="AB98" s="21">
        <f>EXP(-LN(2)/2)*AB97+(1-EXP(-LN(2)/2))/(LN(2)/2)*V98*Y98*VLOOKUP('Données projet'!$B$9,Paramètres!$A$1:$I$89,3,0)*0.475*44/12</f>
        <v>1.6187314556539471E-9</v>
      </c>
      <c r="AC98" s="22">
        <f t="shared" si="57"/>
        <v>2.1608830904360619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-8.5265128291212022E-14</v>
      </c>
      <c r="AJ98" s="13">
        <f>AI98*VLOOKUP('Données projet'!$B$10,Paramètres!$A$1:$I$89,3,0)*VLOOKUP('Données projet'!$B$10,Paramètres!$A$1:$I$89,5,0)</f>
        <v>-7.7147888077888636E-14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225.28075317732998</v>
      </c>
      <c r="AO98" s="59">
        <f t="shared" si="90"/>
        <v>358.43407531256207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0.61926285401695658</v>
      </c>
      <c r="AV98" s="21">
        <f>EXP(-LN(2)/25)*AV97+(1-EXP(-LN(2)/25))/(LN(2)/25)*Calculateur!AQ98*Calculateur!AS98*VLOOKUP('Données projet'!$B$10,Paramètres!$A$1:$I$89,3,0)*0.475*44/12</f>
        <v>1.3643805284628197</v>
      </c>
      <c r="AW98" s="21">
        <f>EXP(-LN(2)/2)*AW97+(1-EXP(-LN(2)/2))/(LN(2)/2)*AQ98*AT98*VLOOKUP('Données projet'!$B$10,Paramètres!$A$1:$I$89,3,0)*0.475*44/12</f>
        <v>7.2670734084573469E-10</v>
      </c>
      <c r="AX98" s="21">
        <f t="shared" si="60"/>
        <v>1.9836433832064835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-5.6843418860808015E-13</v>
      </c>
      <c r="BE98" s="13">
        <f>BD98*VLOOKUP('Données projet'!$B$11,Paramètres!$A$1:$I$89,3,0)*VLOOKUP('Données projet'!$B$11,Paramètres!$A$1:$I$89,5,0)</f>
        <v>-3.177547114319168E-13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326.31232746914907</v>
      </c>
      <c r="BJ98" s="59">
        <f t="shared" si="92"/>
        <v>330.17137761430297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1.2608550733161947</v>
      </c>
      <c r="BQ98" s="21">
        <f>EXP(-LN(2)/25)*BQ97+(1-EXP(-LN(2)/25))/(LN(2)/25)*Calculateur!BL98*Calculateur!BN98*VLOOKUP('Données projet'!$B$11,Paramètres!$A$1:$I$89,3,0)*0.475*44/12</f>
        <v>4.9766804914592724</v>
      </c>
      <c r="BR98" s="21">
        <f>EXP(-LN(2)/2)*BR97+(1-EXP(-LN(2)/2))/(LN(2)/2)*BL98*BO98*VLOOKUP('Données projet'!$B$11,Paramètres!$A$1:$I$89,3,0)*0.475*44/12</f>
        <v>5.3543106711196979E-9</v>
      </c>
      <c r="BS98" s="22">
        <f t="shared" si="63"/>
        <v>6.2375355701297774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210.04871822652808</v>
      </c>
      <c r="CE98" s="59">
        <f t="shared" si="94"/>
        <v>250.17540614049324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2.0152355928690104</v>
      </c>
      <c r="CL98" s="21">
        <f>EXP(-LN(2)/25)*CL97+(1-EXP(-LN(2)/25))/(LN(2)/25)*Calculateur!CG98*Calculateur!CI98*VLOOKUP('Données projet'!$B$12,Paramètres!$A$1:$I$89,3,0)*0.475*44/12</f>
        <v>4.5903558420937962</v>
      </c>
      <c r="CM98" s="21">
        <f>EXP(-LN(2)/2)*CM97+(1-EXP(-LN(2)/2))/(LN(2)/2)*CG98*CJ98*VLOOKUP('Données projet'!$B$12,Paramètres!$A$1:$I$89,3,0)*0.475*44/12</f>
        <v>3.5485487634133877E-9</v>
      </c>
      <c r="CN98" s="22">
        <f t="shared" si="66"/>
        <v>6.6055914385113557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4.5224624045658861E-14</v>
      </c>
      <c r="CV98" s="13">
        <f t="shared" si="95"/>
        <v>7.4514601661523691E-13</v>
      </c>
      <c r="CW98" s="20">
        <f t="shared" si="67"/>
        <v>1.3765621991510601E-12</v>
      </c>
      <c r="CX98" s="59">
        <f t="shared" si="68"/>
        <v>293.33333333333468</v>
      </c>
      <c r="CY98" s="59">
        <f ca="1">AVERAGE(OFFSET($CX$3,0,0,'Données projet'!$E$13+1,1))-AVERAGE(OFFSET($H$3,0,0,'Données projet'!$E$13+1,1))</f>
        <v>199.58763537752952</v>
      </c>
      <c r="CZ98" s="59">
        <f t="shared" si="96"/>
        <v>242.62852778451929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1.6960585997100535</v>
      </c>
      <c r="DH98" s="21">
        <f>EXP(-LN(2)/2)*DH97+(1-EXP(-LN(2)/2))/(LN(2)/2)*DB98*DE98*VLOOKUP('Données projet'!$B$13,Paramètres!$A$1:$I$89,3,0)*0.475*44/12</f>
        <v>1.7717412942976281E-9</v>
      </c>
      <c r="DI98" s="22">
        <f t="shared" si="69"/>
        <v>1.6960586014817947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-4.5474735088646412E-13</v>
      </c>
      <c r="DP98" s="17">
        <f>DO98*VLOOKUP('Données projet'!$B$14,Paramètres!$A$1:$I$89,3,0)*VLOOKUP('Données projet'!$B$14,Paramètres!$A$1:$I$89,5,0)</f>
        <v>-2.7193891583010558E-13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216.94426559495264</v>
      </c>
      <c r="DU98" s="59">
        <f t="shared" si="98"/>
        <v>225.33715877618704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2.1193381130340274</v>
      </c>
      <c r="EC98" s="21">
        <f>EXP(-LN(2)/2)*EC97+(1-EXP(-LN(2)/2))/(LN(2)/2)*DW98*DZ98*VLOOKUP('Données projet'!$B$14,Paramètres!$A$1:$I$89,3,0)*0.475*44/12</f>
        <v>3.9067099057122488E-9</v>
      </c>
      <c r="ED98" s="22">
        <f t="shared" si="72"/>
        <v>2.1193381169407375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6.8212102632969618E-13</v>
      </c>
      <c r="EK98" s="17">
        <f>EJ98*VLOOKUP('Données projet'!$B$15,Paramètres!$A$1:$I$89,3,0)*VLOOKUP('Données projet'!$B$15,Paramètres!$A$1:$I$89,5,0)</f>
        <v>3.2810021366458383E-13</v>
      </c>
      <c r="EL98" s="13">
        <f t="shared" si="99"/>
        <v>4.2923528923937213E-12</v>
      </c>
      <c r="EM98" s="20">
        <f t="shared" si="73"/>
        <v>8.0472891597182151E-12</v>
      </c>
      <c r="EN98" s="59">
        <f t="shared" si="74"/>
        <v>293.33333333334139</v>
      </c>
      <c r="EO98" s="59">
        <f ca="1">AVERAGE(OFFSET($EN$3,0,0,'Données projet'!$E$15+1,1))-AVERAGE(OFFSET($H$3,0,0,'Données projet'!$E$15+1,1))</f>
        <v>292.1792787220852</v>
      </c>
      <c r="EP98" s="59">
        <f t="shared" si="100"/>
        <v>273.69206144662144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1.8598659553235546</v>
      </c>
      <c r="EW98" s="21">
        <f>EXP(-LN(2)/25)*EW97+(1-EXP(-LN(2)/25))/(LN(2)/25)*Calculateur!ER98*Calculateur!ET98*VLOOKUP('Données projet'!$B$15,Paramètres!$A$1:$I$89,3,0)*0.475*44/12</f>
        <v>2.2139917580000508</v>
      </c>
      <c r="EX98" s="21">
        <f>EXP(-LN(2)/2)*EX97+(1-EXP(-LN(2)/2))/(LN(2)/2)*ER98*EU98*VLOOKUP('Données projet'!$B$15,Paramètres!$A$1:$I$89,3,0)*0.475*44/12</f>
        <v>3.4429996683236893E-9</v>
      </c>
      <c r="EY98" s="22">
        <f t="shared" si="75"/>
        <v>4.0738577167666046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652.19999999999993</v>
      </c>
      <c r="O99" s="13">
        <f>N99*VLOOKUP('Données projet'!$B$9,Paramètres!$A$1:$I$89,3,0)*VLOOKUP('Données projet'!$B$9,Paramètres!$A$1:$I$89,5,0)</f>
        <v>305.22959999999995</v>
      </c>
      <c r="P99" s="13">
        <f t="shared" si="87"/>
        <v>72.271683388093081</v>
      </c>
      <c r="Q99" s="20">
        <f t="shared" ref="Q99:Q130" si="107">(O99+P99)*0.475*44/12</f>
        <v>657.48140190092874</v>
      </c>
      <c r="R99" s="59">
        <f t="shared" si="55"/>
        <v>950.81473523426212</v>
      </c>
      <c r="S99" s="59">
        <f ca="1">AVERAGE(OFFSET($R$3,0,0,'Données projet'!$E$9+1,1))-AVERAGE(OFFSET($H$3,0,0,'Données projet'!$E$9+1,1))</f>
        <v>215.23235148064941</v>
      </c>
      <c r="T99" s="59">
        <f t="shared" si="88"/>
        <v>184.07239726900434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0.84824833714941783</v>
      </c>
      <c r="AA99" s="21">
        <f>EXP(-LN(2)/25)*AA98+(1-EXP(-LN(2)/25))/(LN(2)/25)*Calculateur!V99*Calculateur!X99*VLOOKUP('Données projet'!$B$9,Paramètres!$A$1:$I$89,3,0)*0.475*44/12</f>
        <v>1.2602382986621448</v>
      </c>
      <c r="AB99" s="21">
        <f>EXP(-LN(2)/2)*AB98+(1-EXP(-LN(2)/2))/(LN(2)/2)*V99*Y99*VLOOKUP('Données projet'!$B$9,Paramètres!$A$1:$I$89,3,0)*0.475*44/12</f>
        <v>1.1446159892128771E-9</v>
      </c>
      <c r="AC99" s="22">
        <f t="shared" si="57"/>
        <v>2.1084866369561786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-8.5265128291212022E-14</v>
      </c>
      <c r="AJ99" s="13">
        <f>AI99*VLOOKUP('Données projet'!$B$10,Paramètres!$A$1:$I$89,3,0)*VLOOKUP('Données projet'!$B$10,Paramètres!$A$1:$I$89,5,0)</f>
        <v>-7.7147888077888636E-14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225.28075317732998</v>
      </c>
      <c r="AO99" s="59">
        <f t="shared" si="90"/>
        <v>358.43407531256207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0.6071194871627289</v>
      </c>
      <c r="AV99" s="21">
        <f>EXP(-LN(2)/25)*AV98+(1-EXP(-LN(2)/25))/(LN(2)/25)*Calculateur!AQ99*Calculateur!AS99*VLOOKUP('Données projet'!$B$10,Paramètres!$A$1:$I$89,3,0)*0.475*44/12</f>
        <v>1.3270714711623501</v>
      </c>
      <c r="AW99" s="21">
        <f>EXP(-LN(2)/2)*AW98+(1-EXP(-LN(2)/2))/(LN(2)/2)*AQ99*AT99*VLOOKUP('Données projet'!$B$10,Paramètres!$A$1:$I$89,3,0)*0.475*44/12</f>
        <v>5.1385968865006273E-10</v>
      </c>
      <c r="AX99" s="21">
        <f t="shared" si="60"/>
        <v>1.9341909588389385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-5.6843418860808015E-13</v>
      </c>
      <c r="BE99" s="13">
        <f>BD99*VLOOKUP('Données projet'!$B$11,Paramètres!$A$1:$I$89,3,0)*VLOOKUP('Données projet'!$B$11,Paramètres!$A$1:$I$89,5,0)</f>
        <v>-3.177547114319168E-13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326.31232746914907</v>
      </c>
      <c r="BJ99" s="59">
        <f t="shared" si="92"/>
        <v>330.17137761430297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1.2361304743741219</v>
      </c>
      <c r="BQ99" s="21">
        <f>EXP(-LN(2)/25)*BQ98+(1-EXP(-LN(2)/25))/(LN(2)/25)*Calculateur!BL99*Calculateur!BN99*VLOOKUP('Données projet'!$B$11,Paramètres!$A$1:$I$89,3,0)*0.475*44/12</f>
        <v>4.8405929017080656</v>
      </c>
      <c r="BR99" s="21">
        <f>EXP(-LN(2)/2)*BR98+(1-EXP(-LN(2)/2))/(LN(2)/2)*BL99*BO99*VLOOKUP('Données projet'!$B$11,Paramètres!$A$1:$I$89,3,0)*0.475*44/12</f>
        <v>3.7860693841282327E-9</v>
      </c>
      <c r="BS99" s="22">
        <f t="shared" si="63"/>
        <v>6.0767233798682563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210.04871822652808</v>
      </c>
      <c r="CE99" s="59">
        <f t="shared" si="94"/>
        <v>250.17540614049324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1.97571805206519</v>
      </c>
      <c r="CL99" s="21">
        <f>EXP(-LN(2)/25)*CL98+(1-EXP(-LN(2)/25))/(LN(2)/25)*Calculateur!CG99*Calculateur!CI99*VLOOKUP('Données projet'!$B$12,Paramètres!$A$1:$I$89,3,0)*0.475*44/12</f>
        <v>4.464832320195419</v>
      </c>
      <c r="CM99" s="21">
        <f>EXP(-LN(2)/2)*CM98+(1-EXP(-LN(2)/2))/(LN(2)/2)*CG99*CJ99*VLOOKUP('Données projet'!$B$12,Paramètres!$A$1:$I$89,3,0)*0.475*44/12</f>
        <v>2.5092028939807441E-9</v>
      </c>
      <c r="CN99" s="22">
        <f t="shared" si="66"/>
        <v>6.4405503747698116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4.5224624045658861E-14</v>
      </c>
      <c r="CV99" s="13">
        <f t="shared" si="95"/>
        <v>7.4514601661523691E-13</v>
      </c>
      <c r="CW99" s="20">
        <f t="shared" si="67"/>
        <v>1.3765621991510601E-12</v>
      </c>
      <c r="CX99" s="59">
        <f t="shared" si="68"/>
        <v>293.33333333333468</v>
      </c>
      <c r="CY99" s="59">
        <f ca="1">AVERAGE(OFFSET($CX$3,0,0,'Données projet'!$E$13+1,1))-AVERAGE(OFFSET($H$3,0,0,'Données projet'!$E$13+1,1))</f>
        <v>199.58763537752952</v>
      </c>
      <c r="CZ99" s="59">
        <f t="shared" si="96"/>
        <v>242.62852778451929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1.6496797881091367</v>
      </c>
      <c r="DH99" s="21">
        <f>EXP(-LN(2)/2)*DH98+(1-EXP(-LN(2)/2))/(LN(2)/2)*DB99*DE99*VLOOKUP('Données projet'!$B$13,Paramètres!$A$1:$I$89,3,0)*0.475*44/12</f>
        <v>1.2528102837060834E-9</v>
      </c>
      <c r="DI99" s="22">
        <f t="shared" si="69"/>
        <v>1.649679789361947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-4.5474735088646412E-13</v>
      </c>
      <c r="DP99" s="17">
        <f>DO99*VLOOKUP('Données projet'!$B$14,Paramètres!$A$1:$I$89,3,0)*VLOOKUP('Données projet'!$B$14,Paramètres!$A$1:$I$89,5,0)</f>
        <v>-2.7193891583010558E-13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216.94426559495264</v>
      </c>
      <c r="DU99" s="59">
        <f t="shared" si="98"/>
        <v>225.33715877618704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2.0613847008819643</v>
      </c>
      <c r="EC99" s="21">
        <f>EXP(-LN(2)/2)*EC98+(1-EXP(-LN(2)/2))/(LN(2)/2)*DW99*DZ99*VLOOKUP('Données projet'!$B$14,Paramètres!$A$1:$I$89,3,0)*0.475*44/12</f>
        <v>2.7624610664577889E-9</v>
      </c>
      <c r="ED99" s="22">
        <f t="shared" si="72"/>
        <v>2.0613847036444253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6.8212102632969618E-13</v>
      </c>
      <c r="EK99" s="17">
        <f>EJ99*VLOOKUP('Données projet'!$B$15,Paramètres!$A$1:$I$89,3,0)*VLOOKUP('Données projet'!$B$15,Paramètres!$A$1:$I$89,5,0)</f>
        <v>3.2810021366458383E-13</v>
      </c>
      <c r="EL99" s="13">
        <f t="shared" si="99"/>
        <v>4.2923528923937213E-12</v>
      </c>
      <c r="EM99" s="20">
        <f t="shared" si="73"/>
        <v>8.0472891597182151E-12</v>
      </c>
      <c r="EN99" s="59">
        <f t="shared" si="74"/>
        <v>293.33333333334139</v>
      </c>
      <c r="EO99" s="59">
        <f ca="1">AVERAGE(OFFSET($EN$3,0,0,'Données projet'!$E$15+1,1))-AVERAGE(OFFSET($H$3,0,0,'Données projet'!$E$15+1,1))</f>
        <v>292.1792787220852</v>
      </c>
      <c r="EP99" s="59">
        <f t="shared" si="100"/>
        <v>273.69206144662144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1.8233951183458792</v>
      </c>
      <c r="EW99" s="21">
        <f>EXP(-LN(2)/25)*EW98+(1-EXP(-LN(2)/25))/(LN(2)/25)*Calculateur!ER99*Calculateur!ET99*VLOOKUP('Données projet'!$B$15,Paramètres!$A$1:$I$89,3,0)*0.475*44/12</f>
        <v>2.1534500369487728</v>
      </c>
      <c r="EX99" s="21">
        <f>EXP(-LN(2)/2)*EX98+(1-EXP(-LN(2)/2))/(LN(2)/2)*ER99*EU99*VLOOKUP('Données projet'!$B$15,Paramètres!$A$1:$I$89,3,0)*0.475*44/12</f>
        <v>2.4345684130947146E-9</v>
      </c>
      <c r="EY99" s="22">
        <f t="shared" si="75"/>
        <v>3.9768451577292203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670.69999999999993</v>
      </c>
      <c r="O100" s="13">
        <f>N100*VLOOKUP('Données projet'!$B$9,Paramètres!$A$1:$I$89,3,0)*VLOOKUP('Données projet'!$B$9,Paramètres!$A$1:$I$89,5,0)</f>
        <v>313.88759999999996</v>
      </c>
      <c r="P100" s="13">
        <f t="shared" si="87"/>
        <v>74.080125962367049</v>
      </c>
      <c r="Q100" s="20">
        <f t="shared" si="107"/>
        <v>675.71045605112249</v>
      </c>
      <c r="R100" s="59">
        <f t="shared" si="55"/>
        <v>969.04378938445575</v>
      </c>
      <c r="S100" s="59">
        <f ca="1">AVERAGE(OFFSET($R$3,0,0,'Données projet'!$E$9+1,1))-AVERAGE(OFFSET($H$3,0,0,'Données projet'!$E$9+1,1))</f>
        <v>215.23235148064941</v>
      </c>
      <c r="T100" s="59">
        <f t="shared" si="88"/>
        <v>184.07239726900434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0.83161470463831633</v>
      </c>
      <c r="AA100" s="21">
        <f>EXP(-LN(2)/25)*AA99+(1-EXP(-LN(2)/25))/(LN(2)/25)*Calculateur!V100*Calculateur!X100*VLOOKUP('Données projet'!$B$9,Paramètres!$A$1:$I$89,3,0)*0.475*44/12</f>
        <v>1.2257770161121766</v>
      </c>
      <c r="AB100" s="21">
        <f>EXP(-LN(2)/2)*AB99+(1-EXP(-LN(2)/2))/(LN(2)/2)*V100*Y100*VLOOKUP('Données projet'!$B$9,Paramètres!$A$1:$I$89,3,0)*0.475*44/12</f>
        <v>8.0936572782697355E-10</v>
      </c>
      <c r="AC100" s="22">
        <f t="shared" si="57"/>
        <v>2.0573917215598589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-8.5265128291212022E-14</v>
      </c>
      <c r="AJ100" s="13">
        <f>AI100*VLOOKUP('Données projet'!$B$10,Paramètres!$A$1:$I$89,3,0)*VLOOKUP('Données projet'!$B$10,Paramètres!$A$1:$I$89,5,0)</f>
        <v>-7.7147888077888636E-14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225.28075317732998</v>
      </c>
      <c r="AO100" s="59">
        <f t="shared" si="90"/>
        <v>358.43407531256207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0.59521424432579029</v>
      </c>
      <c r="AV100" s="21">
        <f>EXP(-LN(2)/25)*AV99+(1-EXP(-LN(2)/25))/(LN(2)/25)*Calculateur!AQ100*Calculateur!AS100*VLOOKUP('Données projet'!$B$10,Paramètres!$A$1:$I$89,3,0)*0.475*44/12</f>
        <v>1.29078263199576</v>
      </c>
      <c r="AW100" s="21">
        <f>EXP(-LN(2)/2)*AW99+(1-EXP(-LN(2)/2))/(LN(2)/2)*AQ100*AT100*VLOOKUP('Données projet'!$B$10,Paramètres!$A$1:$I$89,3,0)*0.475*44/12</f>
        <v>3.6335367042286735E-10</v>
      </c>
      <c r="AX100" s="21">
        <f t="shared" si="60"/>
        <v>1.885996876684904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-5.6843418860808015E-13</v>
      </c>
      <c r="BE100" s="13">
        <f>BD100*VLOOKUP('Données projet'!$B$11,Paramètres!$A$1:$I$89,3,0)*VLOOKUP('Données projet'!$B$11,Paramètres!$A$1:$I$89,5,0)</f>
        <v>-3.177547114319168E-13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326.31232746914907</v>
      </c>
      <c r="BJ100" s="59">
        <f t="shared" si="92"/>
        <v>330.17137761430297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1.2118907097367868</v>
      </c>
      <c r="BQ100" s="21">
        <f>EXP(-LN(2)/25)*BQ99+(1-EXP(-LN(2)/25))/(LN(2)/25)*Calculateur!BL100*Calculateur!BN100*VLOOKUP('Données projet'!$B$11,Paramètres!$A$1:$I$89,3,0)*0.475*44/12</f>
        <v>4.7082266342551415</v>
      </c>
      <c r="BR100" s="21">
        <f>EXP(-LN(2)/2)*BR99+(1-EXP(-LN(2)/2))/(LN(2)/2)*BL100*BO100*VLOOKUP('Données projet'!$B$11,Paramètres!$A$1:$I$89,3,0)*0.475*44/12</f>
        <v>2.677155335559849E-9</v>
      </c>
      <c r="BS100" s="22">
        <f t="shared" si="63"/>
        <v>5.920117346669084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210.04871822652808</v>
      </c>
      <c r="CE100" s="59">
        <f t="shared" si="94"/>
        <v>250.17540614049324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1.9369754261332128</v>
      </c>
      <c r="CL100" s="21">
        <f>EXP(-LN(2)/25)*CL99+(1-EXP(-LN(2)/25))/(LN(2)/25)*Calculateur!CG100*Calculateur!CI100*VLOOKUP('Données projet'!$B$12,Paramètres!$A$1:$I$89,3,0)*0.475*44/12</f>
        <v>4.3427412456043477</v>
      </c>
      <c r="CM100" s="21">
        <f>EXP(-LN(2)/2)*CM99+(1-EXP(-LN(2)/2))/(LN(2)/2)*CG100*CJ100*VLOOKUP('Données projet'!$B$12,Paramètres!$A$1:$I$89,3,0)*0.475*44/12</f>
        <v>1.7742743817066938E-9</v>
      </c>
      <c r="CN100" s="22">
        <f t="shared" si="66"/>
        <v>6.2797166735118344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4.5224624045658861E-14</v>
      </c>
      <c r="CV100" s="13">
        <f t="shared" si="95"/>
        <v>7.4514601661523691E-13</v>
      </c>
      <c r="CW100" s="20">
        <f t="shared" si="67"/>
        <v>1.3765621991510601E-12</v>
      </c>
      <c r="CX100" s="59">
        <f t="shared" si="68"/>
        <v>293.33333333333468</v>
      </c>
      <c r="CY100" s="59">
        <f ca="1">AVERAGE(OFFSET($CX$3,0,0,'Données projet'!$E$13+1,1))-AVERAGE(OFFSET($H$3,0,0,'Données projet'!$E$13+1,1))</f>
        <v>199.58763537752952</v>
      </c>
      <c r="CZ100" s="59">
        <f t="shared" si="96"/>
        <v>242.62852778451929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1.6045692075504028</v>
      </c>
      <c r="DH100" s="21">
        <f>EXP(-LN(2)/2)*DH99+(1-EXP(-LN(2)/2))/(LN(2)/2)*DB100*DE100*VLOOKUP('Données projet'!$B$13,Paramètres!$A$1:$I$89,3,0)*0.475*44/12</f>
        <v>8.8587064714881406E-10</v>
      </c>
      <c r="DI100" s="22">
        <f t="shared" si="69"/>
        <v>1.6045692084362735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-4.5474735088646412E-13</v>
      </c>
      <c r="DP100" s="17">
        <f>DO100*VLOOKUP('Données projet'!$B$14,Paramètres!$A$1:$I$89,3,0)*VLOOKUP('Données projet'!$B$14,Paramètres!$A$1:$I$89,5,0)</f>
        <v>-2.7193891583010558E-13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216.94426559495264</v>
      </c>
      <c r="DU100" s="59">
        <f t="shared" si="98"/>
        <v>225.33715877618704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2.0050160278328368</v>
      </c>
      <c r="EC100" s="21">
        <f>EXP(-LN(2)/2)*EC99+(1-EXP(-LN(2)/2))/(LN(2)/2)*DW100*DZ100*VLOOKUP('Données projet'!$B$14,Paramètres!$A$1:$I$89,3,0)*0.475*44/12</f>
        <v>1.9533549528561244E-9</v>
      </c>
      <c r="ED100" s="22">
        <f t="shared" si="72"/>
        <v>2.0050160297861916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6.8212102632969618E-13</v>
      </c>
      <c r="EK100" s="17">
        <f>EJ100*VLOOKUP('Données projet'!$B$15,Paramètres!$A$1:$I$89,3,0)*VLOOKUP('Données projet'!$B$15,Paramètres!$A$1:$I$89,5,0)</f>
        <v>3.2810021366458383E-13</v>
      </c>
      <c r="EL100" s="13">
        <f t="shared" si="99"/>
        <v>4.2923528923937213E-12</v>
      </c>
      <c r="EM100" s="20">
        <f t="shared" si="73"/>
        <v>8.0472891597182151E-12</v>
      </c>
      <c r="EN100" s="59">
        <f t="shared" si="74"/>
        <v>293.33333333334139</v>
      </c>
      <c r="EO100" s="59">
        <f ca="1">AVERAGE(OFFSET($EN$3,0,0,'Données projet'!$E$15+1,1))-AVERAGE(OFFSET($H$3,0,0,'Données projet'!$E$15+1,1))</f>
        <v>292.1792787220852</v>
      </c>
      <c r="EP100" s="59">
        <f t="shared" si="100"/>
        <v>273.69206144662144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1.7876394522363219</v>
      </c>
      <c r="EW100" s="21">
        <f>EXP(-LN(2)/25)*EW99+(1-EXP(-LN(2)/25))/(LN(2)/25)*Calculateur!ER100*Calculateur!ET100*VLOOKUP('Données projet'!$B$15,Paramètres!$A$1:$I$89,3,0)*0.475*44/12</f>
        <v>2.0945638324433928</v>
      </c>
      <c r="EX100" s="21">
        <f>EXP(-LN(2)/2)*EX99+(1-EXP(-LN(2)/2))/(LN(2)/2)*ER100*EU100*VLOOKUP('Données projet'!$B$15,Paramètres!$A$1:$I$89,3,0)*0.475*44/12</f>
        <v>1.7214998341618447E-9</v>
      </c>
      <c r="EY100" s="22">
        <f t="shared" si="75"/>
        <v>3.8822032864012148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689.19999999999993</v>
      </c>
      <c r="O101" s="13">
        <f>N101*VLOOKUP('Données projet'!$B$9,Paramètres!$A$1:$I$89,3,0)*VLOOKUP('Données projet'!$B$9,Paramètres!$A$1:$I$89,5,0)</f>
        <v>322.54559999999998</v>
      </c>
      <c r="P101" s="13">
        <f t="shared" si="87"/>
        <v>75.882770748800752</v>
      </c>
      <c r="Q101" s="20">
        <f t="shared" si="107"/>
        <v>693.92941238749461</v>
      </c>
      <c r="R101" s="59">
        <f t="shared" si="55"/>
        <v>987.26274572082798</v>
      </c>
      <c r="S101" s="59">
        <f ca="1">AVERAGE(OFFSET($R$3,0,0,'Données projet'!$E$9+1,1))-AVERAGE(OFFSET($H$3,0,0,'Données projet'!$E$9+1,1))</f>
        <v>215.23235148064941</v>
      </c>
      <c r="T101" s="59">
        <f t="shared" si="88"/>
        <v>184.07239726900434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0.81530724751524353</v>
      </c>
      <c r="AA101" s="21">
        <f>EXP(-LN(2)/25)*AA100+(1-EXP(-LN(2)/25))/(LN(2)/25)*Calculateur!V101*Calculateur!X101*VLOOKUP('Données projet'!$B$9,Paramètres!$A$1:$I$89,3,0)*0.475*44/12</f>
        <v>1.1922580791457773</v>
      </c>
      <c r="AB101" s="21">
        <f>EXP(-LN(2)/2)*AB100+(1-EXP(-LN(2)/2))/(LN(2)/2)*V101*Y101*VLOOKUP('Données projet'!$B$9,Paramètres!$A$1:$I$89,3,0)*0.475*44/12</f>
        <v>5.7230799460643855E-10</v>
      </c>
      <c r="AC101" s="22">
        <f t="shared" si="57"/>
        <v>2.0075653272333289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-8.5265128291212022E-14</v>
      </c>
      <c r="AJ101" s="13">
        <f>AI101*VLOOKUP('Données projet'!$B$10,Paramètres!$A$1:$I$89,3,0)*VLOOKUP('Données projet'!$B$10,Paramètres!$A$1:$I$89,5,0)</f>
        <v>-7.7147888077888636E-14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225.28075317732998</v>
      </c>
      <c r="AO101" s="59">
        <f t="shared" si="90"/>
        <v>358.43407531256207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0.58354245603940291</v>
      </c>
      <c r="AV101" s="21">
        <f>EXP(-LN(2)/25)*AV100+(1-EXP(-LN(2)/25))/(LN(2)/25)*Calculateur!AQ101*Calculateur!AS101*VLOOKUP('Données projet'!$B$10,Paramètres!$A$1:$I$89,3,0)*0.475*44/12</f>
        <v>1.2554861130445274</v>
      </c>
      <c r="AW101" s="21">
        <f>EXP(-LN(2)/2)*AW100+(1-EXP(-LN(2)/2))/(LN(2)/2)*AQ101*AT101*VLOOKUP('Données projet'!$B$10,Paramètres!$A$1:$I$89,3,0)*0.475*44/12</f>
        <v>2.5692984432503137E-10</v>
      </c>
      <c r="AX101" s="21">
        <f t="shared" si="60"/>
        <v>1.8390285693408601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-5.6843418860808015E-13</v>
      </c>
      <c r="BE101" s="13">
        <f>BD101*VLOOKUP('Données projet'!$B$11,Paramètres!$A$1:$I$89,3,0)*VLOOKUP('Données projet'!$B$11,Paramètres!$A$1:$I$89,5,0)</f>
        <v>-3.177547114319168E-13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326.31232746914907</v>
      </c>
      <c r="BJ101" s="59">
        <f t="shared" si="92"/>
        <v>330.17137761430297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1.1881262720991934</v>
      </c>
      <c r="BQ101" s="21">
        <f>EXP(-LN(2)/25)*BQ100+(1-EXP(-LN(2)/25))/(LN(2)/25)*Calculateur!BL101*Calculateur!BN101*VLOOKUP('Données projet'!$B$11,Paramètres!$A$1:$I$89,3,0)*0.475*44/12</f>
        <v>4.5794799293465571</v>
      </c>
      <c r="BR101" s="21">
        <f>EXP(-LN(2)/2)*BR100+(1-EXP(-LN(2)/2))/(LN(2)/2)*BL101*BO101*VLOOKUP('Données projet'!$B$11,Paramètres!$A$1:$I$89,3,0)*0.475*44/12</f>
        <v>1.8930346920641163E-9</v>
      </c>
      <c r="BS101" s="22">
        <f t="shared" si="63"/>
        <v>5.7676062033387856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210.04871822652808</v>
      </c>
      <c r="CE101" s="59">
        <f t="shared" si="94"/>
        <v>250.17540614049324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1.8989925194650932</v>
      </c>
      <c r="CL101" s="21">
        <f>EXP(-LN(2)/25)*CL100+(1-EXP(-LN(2)/25))/(LN(2)/25)*Calculateur!CG101*Calculateur!CI101*VLOOKUP('Données projet'!$B$12,Paramètres!$A$1:$I$89,3,0)*0.475*44/12</f>
        <v>4.2239887578684598</v>
      </c>
      <c r="CM101" s="21">
        <f>EXP(-LN(2)/2)*CM100+(1-EXP(-LN(2)/2))/(LN(2)/2)*CG101*CJ101*VLOOKUP('Données projet'!$B$12,Paramètres!$A$1:$I$89,3,0)*0.475*44/12</f>
        <v>1.254601446990372E-9</v>
      </c>
      <c r="CN101" s="22">
        <f t="shared" si="66"/>
        <v>6.1229812785881546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4.5224624045658861E-14</v>
      </c>
      <c r="CV101" s="13">
        <f t="shared" si="95"/>
        <v>7.4514601661523691E-13</v>
      </c>
      <c r="CW101" s="20">
        <f t="shared" si="67"/>
        <v>1.3765621991510601E-12</v>
      </c>
      <c r="CX101" s="59">
        <f t="shared" si="68"/>
        <v>293.33333333333468</v>
      </c>
      <c r="CY101" s="59">
        <f ca="1">AVERAGE(OFFSET($CX$3,0,0,'Données projet'!$E$13+1,1))-AVERAGE(OFFSET($H$3,0,0,'Données projet'!$E$13+1,1))</f>
        <v>199.58763537752952</v>
      </c>
      <c r="CZ101" s="59">
        <f t="shared" si="96"/>
        <v>242.62852778451929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1.5606921781893097</v>
      </c>
      <c r="DH101" s="21">
        <f>EXP(-LN(2)/2)*DH100+(1-EXP(-LN(2)/2))/(LN(2)/2)*DB101*DE101*VLOOKUP('Données projet'!$B$13,Paramètres!$A$1:$I$89,3,0)*0.475*44/12</f>
        <v>6.2640514185304171E-10</v>
      </c>
      <c r="DI101" s="22">
        <f t="shared" si="69"/>
        <v>1.5606921788157149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-4.5474735088646412E-13</v>
      </c>
      <c r="DP101" s="17">
        <f>DO101*VLOOKUP('Données projet'!$B$14,Paramètres!$A$1:$I$89,3,0)*VLOOKUP('Données projet'!$B$14,Paramètres!$A$1:$I$89,5,0)</f>
        <v>-2.7193891583010558E-13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216.94426559495264</v>
      </c>
      <c r="DU101" s="59">
        <f t="shared" si="98"/>
        <v>225.33715877618704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1.9501887591125375</v>
      </c>
      <c r="EC101" s="21">
        <f>EXP(-LN(2)/2)*EC100+(1-EXP(-LN(2)/2))/(LN(2)/2)*DW101*DZ101*VLOOKUP('Données projet'!$B$14,Paramètres!$A$1:$I$89,3,0)*0.475*44/12</f>
        <v>1.3812305332288944E-9</v>
      </c>
      <c r="ED101" s="22">
        <f t="shared" si="72"/>
        <v>1.950188760493768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6.8212102632969618E-13</v>
      </c>
      <c r="EK101" s="17">
        <f>EJ101*VLOOKUP('Données projet'!$B$15,Paramètres!$A$1:$I$89,3,0)*VLOOKUP('Données projet'!$B$15,Paramètres!$A$1:$I$89,5,0)</f>
        <v>3.2810021366458383E-13</v>
      </c>
      <c r="EL101" s="13">
        <f t="shared" si="99"/>
        <v>4.2923528923937213E-12</v>
      </c>
      <c r="EM101" s="20">
        <f t="shared" si="73"/>
        <v>8.0472891597182151E-12</v>
      </c>
      <c r="EN101" s="59">
        <f t="shared" si="74"/>
        <v>293.33333333334139</v>
      </c>
      <c r="EO101" s="59">
        <f ca="1">AVERAGE(OFFSET($EN$3,0,0,'Données projet'!$E$15+1,1))-AVERAGE(OFFSET($H$3,0,0,'Données projet'!$E$15+1,1))</f>
        <v>292.1792787220852</v>
      </c>
      <c r="EP101" s="59">
        <f t="shared" si="100"/>
        <v>273.69206144662144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1.7525849329303702</v>
      </c>
      <c r="EW101" s="21">
        <f>EXP(-LN(2)/25)*EW100+(1-EXP(-LN(2)/25))/(LN(2)/25)*Calculateur!ER101*Calculateur!ET101*VLOOKUP('Données projet'!$B$15,Paramètres!$A$1:$I$89,3,0)*0.475*44/12</f>
        <v>2.0372878742969034</v>
      </c>
      <c r="EX101" s="21">
        <f>EXP(-LN(2)/2)*EX100+(1-EXP(-LN(2)/2))/(LN(2)/2)*ER101*EU101*VLOOKUP('Données projet'!$B$15,Paramètres!$A$1:$I$89,3,0)*0.475*44/12</f>
        <v>1.2172842065473573E-9</v>
      </c>
      <c r="EY101" s="22">
        <f t="shared" si="75"/>
        <v>3.7898728084445574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707.69999999999993</v>
      </c>
      <c r="O102" s="13">
        <f>N102*VLOOKUP('Données projet'!$B$9,Paramètres!$A$1:$I$89,3,0)*VLOOKUP('Données projet'!$B$9,Paramètres!$A$1:$I$89,5,0)</f>
        <v>331.20359999999994</v>
      </c>
      <c r="P102" s="13">
        <f t="shared" si="87"/>
        <v>77.67979126195354</v>
      </c>
      <c r="Q102" s="20">
        <f t="shared" si="107"/>
        <v>712.13857311456889</v>
      </c>
      <c r="R102" s="59">
        <f t="shared" si="55"/>
        <v>1005.4719064479023</v>
      </c>
      <c r="S102" s="59">
        <f ca="1">AVERAGE(OFFSET($R$3,0,0,'Données projet'!$E$9+1,1))-AVERAGE(OFFSET($H$3,0,0,'Données projet'!$E$9+1,1))</f>
        <v>215.23235148064941</v>
      </c>
      <c r="T102" s="59">
        <f t="shared" si="88"/>
        <v>184.07239726900434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0.79931956967978746</v>
      </c>
      <c r="AA102" s="21">
        <f>EXP(-LN(2)/25)*AA101+(1-EXP(-LN(2)/25))/(LN(2)/25)*Calculateur!V102*Calculateur!X102*VLOOKUP('Données projet'!$B$9,Paramètres!$A$1:$I$89,3,0)*0.475*44/12</f>
        <v>1.1596557192734085</v>
      </c>
      <c r="AB102" s="21">
        <f>EXP(-LN(2)/2)*AB101+(1-EXP(-LN(2)/2))/(LN(2)/2)*V102*Y102*VLOOKUP('Données projet'!$B$9,Paramètres!$A$1:$I$89,3,0)*0.475*44/12</f>
        <v>4.0468286391348677E-10</v>
      </c>
      <c r="AC102" s="22">
        <f t="shared" si="57"/>
        <v>1.9589752893578789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-8.5265128291212022E-14</v>
      </c>
      <c r="AJ102" s="13">
        <f>AI102*VLOOKUP('Données projet'!$B$10,Paramètres!$A$1:$I$89,3,0)*VLOOKUP('Données projet'!$B$10,Paramètres!$A$1:$I$89,5,0)</f>
        <v>-7.7147888077888636E-14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225.28075317732998</v>
      </c>
      <c r="AO102" s="59">
        <f t="shared" si="90"/>
        <v>358.43407531256207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0.57209954440222366</v>
      </c>
      <c r="AV102" s="21">
        <f>EXP(-LN(2)/25)*AV101+(1-EXP(-LN(2)/25))/(LN(2)/25)*Calculateur!AQ102*Calculateur!AS102*VLOOKUP('Données projet'!$B$10,Paramètres!$A$1:$I$89,3,0)*0.475*44/12</f>
        <v>1.2211547792601796</v>
      </c>
      <c r="AW102" s="21">
        <f>EXP(-LN(2)/2)*AW101+(1-EXP(-LN(2)/2))/(LN(2)/2)*AQ102*AT102*VLOOKUP('Données projet'!$B$10,Paramètres!$A$1:$I$89,3,0)*0.475*44/12</f>
        <v>1.8167683521143367E-10</v>
      </c>
      <c r="AX102" s="21">
        <f t="shared" si="60"/>
        <v>1.7932543238440801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-5.6843418860808015E-13</v>
      </c>
      <c r="BE102" s="13">
        <f>BD102*VLOOKUP('Données projet'!$B$11,Paramètres!$A$1:$I$89,3,0)*VLOOKUP('Données projet'!$B$11,Paramètres!$A$1:$I$89,5,0)</f>
        <v>-3.177547114319168E-13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326.31232746914907</v>
      </c>
      <c r="BJ102" s="59">
        <f t="shared" si="92"/>
        <v>330.17137761430297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1.1648278405887975</v>
      </c>
      <c r="BQ102" s="21">
        <f>EXP(-LN(2)/25)*BQ101+(1-EXP(-LN(2)/25))/(LN(2)/25)*Calculateur!BL102*Calculateur!BN102*VLOOKUP('Données projet'!$B$11,Paramètres!$A$1:$I$89,3,0)*0.475*44/12</f>
        <v>4.4542538098541922</v>
      </c>
      <c r="BR102" s="21">
        <f>EXP(-LN(2)/2)*BR101+(1-EXP(-LN(2)/2))/(LN(2)/2)*BL102*BO102*VLOOKUP('Données projet'!$B$11,Paramètres!$A$1:$I$89,3,0)*0.475*44/12</f>
        <v>1.3385776677799245E-9</v>
      </c>
      <c r="BS102" s="22">
        <f t="shared" si="63"/>
        <v>5.6190816517815669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210.04871822652808</v>
      </c>
      <c r="CE102" s="59">
        <f t="shared" si="94"/>
        <v>250.17540614049324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1.8617544344294499</v>
      </c>
      <c r="CL102" s="21">
        <f>EXP(-LN(2)/25)*CL101+(1-EXP(-LN(2)/25))/(LN(2)/25)*Calculateur!CG102*Calculateur!CI102*VLOOKUP('Données projet'!$B$12,Paramètres!$A$1:$I$89,3,0)*0.475*44/12</f>
        <v>4.1084835631546319</v>
      </c>
      <c r="CM102" s="21">
        <f>EXP(-LN(2)/2)*CM101+(1-EXP(-LN(2)/2))/(LN(2)/2)*CG102*CJ102*VLOOKUP('Données projet'!$B$12,Paramètres!$A$1:$I$89,3,0)*0.475*44/12</f>
        <v>8.8713719085334691E-10</v>
      </c>
      <c r="CN102" s="22">
        <f t="shared" si="66"/>
        <v>5.9702379984712195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4.5224624045658861E-14</v>
      </c>
      <c r="CV102" s="13">
        <f t="shared" si="95"/>
        <v>7.4514601661523691E-13</v>
      </c>
      <c r="CW102" s="20">
        <f t="shared" si="67"/>
        <v>1.3765621991510601E-12</v>
      </c>
      <c r="CX102" s="59">
        <f t="shared" si="68"/>
        <v>293.33333333333468</v>
      </c>
      <c r="CY102" s="59">
        <f ca="1">AVERAGE(OFFSET($CX$3,0,0,'Données projet'!$E$13+1,1))-AVERAGE(OFFSET($H$3,0,0,'Données projet'!$E$13+1,1))</f>
        <v>199.58763537752952</v>
      </c>
      <c r="CZ102" s="59">
        <f t="shared" si="96"/>
        <v>242.62852778451929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1.5180149685034885</v>
      </c>
      <c r="DH102" s="21">
        <f>EXP(-LN(2)/2)*DH101+(1-EXP(-LN(2)/2))/(LN(2)/2)*DB102*DE102*VLOOKUP('Données projet'!$B$13,Paramètres!$A$1:$I$89,3,0)*0.475*44/12</f>
        <v>4.4293532357440703E-10</v>
      </c>
      <c r="DI102" s="22">
        <f t="shared" si="69"/>
        <v>1.5180149689464237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-4.5474735088646412E-13</v>
      </c>
      <c r="DP102" s="17">
        <f>DO102*VLOOKUP('Données projet'!$B$14,Paramètres!$A$1:$I$89,3,0)*VLOOKUP('Données projet'!$B$14,Paramètres!$A$1:$I$89,5,0)</f>
        <v>-2.7193891583010558E-13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216.94426559495264</v>
      </c>
      <c r="DU102" s="59">
        <f t="shared" si="98"/>
        <v>225.33715877618704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1.8968607449386357</v>
      </c>
      <c r="EC102" s="21">
        <f>EXP(-LN(2)/2)*EC101+(1-EXP(-LN(2)/2))/(LN(2)/2)*DW102*DZ102*VLOOKUP('Données projet'!$B$14,Paramètres!$A$1:$I$89,3,0)*0.475*44/12</f>
        <v>9.7667747642806219E-10</v>
      </c>
      <c r="ED102" s="22">
        <f t="shared" si="72"/>
        <v>1.8968607459153131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6.8212102632969618E-13</v>
      </c>
      <c r="EK102" s="17">
        <f>EJ102*VLOOKUP('Données projet'!$B$15,Paramètres!$A$1:$I$89,3,0)*VLOOKUP('Données projet'!$B$15,Paramètres!$A$1:$I$89,5,0)</f>
        <v>3.2810021366458383E-13</v>
      </c>
      <c r="EL102" s="13">
        <f t="shared" si="99"/>
        <v>4.2923528923937213E-12</v>
      </c>
      <c r="EM102" s="20">
        <f t="shared" si="73"/>
        <v>8.0472891597182151E-12</v>
      </c>
      <c r="EN102" s="59">
        <f t="shared" si="74"/>
        <v>293.33333333334139</v>
      </c>
      <c r="EO102" s="59">
        <f ca="1">AVERAGE(OFFSET($EN$3,0,0,'Données projet'!$E$15+1,1))-AVERAGE(OFFSET($H$3,0,0,'Données projet'!$E$15+1,1))</f>
        <v>292.1792787220852</v>
      </c>
      <c r="EP102" s="59">
        <f t="shared" si="100"/>
        <v>273.69206144662144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1.7182178113668627</v>
      </c>
      <c r="EW102" s="21">
        <f>EXP(-LN(2)/25)*EW101+(1-EXP(-LN(2)/25))/(LN(2)/25)*Calculateur!ER102*Calculateur!ET102*VLOOKUP('Données projet'!$B$15,Paramètres!$A$1:$I$89,3,0)*0.475*44/12</f>
        <v>1.9815781302379416</v>
      </c>
      <c r="EX102" s="21">
        <f>EXP(-LN(2)/2)*EX101+(1-EXP(-LN(2)/2))/(LN(2)/2)*ER102*EU102*VLOOKUP('Données projet'!$B$15,Paramètres!$A$1:$I$89,3,0)*0.475*44/12</f>
        <v>8.6074991708092233E-10</v>
      </c>
      <c r="EY102" s="22">
        <f t="shared" si="75"/>
        <v>3.6997959424655544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726.2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726.19999999999993</v>
      </c>
      <c r="O103" s="13">
        <f>N103*VLOOKUP('Données projet'!$B$9,Paramètres!$A$1:$I$89,3,0)*VLOOKUP('Données projet'!$B$9,Paramètres!$A$1:$I$89,5,0)</f>
        <v>339.86159999999995</v>
      </c>
      <c r="P103" s="13">
        <f t="shared" si="87"/>
        <v>79.47135142801136</v>
      </c>
      <c r="Q103" s="20">
        <f t="shared" si="107"/>
        <v>730.33822373711973</v>
      </c>
      <c r="R103" s="59">
        <f t="shared" si="55"/>
        <v>1023.671557070453</v>
      </c>
      <c r="S103" s="59">
        <f ca="1">AVERAGE(OFFSET($R$3,0,0,'Données projet'!$E$9+1,1))-AVERAGE(OFFSET($H$3,0,0,'Données projet'!$E$9+1,1))</f>
        <v>215.23235148064941</v>
      </c>
      <c r="T103" s="59">
        <f t="shared" si="88"/>
        <v>184.07239726900434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726.2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0.78364540045516407</v>
      </c>
      <c r="AA103" s="21">
        <f>EXP(-LN(2)/25)*AA102+(1-EXP(-LN(2)/25))/(LN(2)/25)*Calculateur!V103*Calculateur!X103*VLOOKUP('Données projet'!$B$9,Paramètres!$A$1:$I$89,3,0)*0.475*44/12</f>
        <v>1.1279448726462333</v>
      </c>
      <c r="AB103" s="21">
        <f>EXP(-LN(2)/2)*AB102+(1-EXP(-LN(2)/2))/(LN(2)/2)*V103*Y103*VLOOKUP('Données projet'!$B$9,Paramètres!$A$1:$I$89,3,0)*0.475*44/12</f>
        <v>2.8615399730321928E-10</v>
      </c>
      <c r="AC103" s="22">
        <f t="shared" si="57"/>
        <v>1.9115902733875514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-8.5265128291212022E-14</v>
      </c>
      <c r="AJ103" s="13">
        <f>AI103*VLOOKUP('Données projet'!$B$10,Paramètres!$A$1:$I$89,3,0)*VLOOKUP('Données projet'!$B$10,Paramètres!$A$1:$I$89,5,0)</f>
        <v>-7.7147888077888636E-14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225.28075317732998</v>
      </c>
      <c r="AO103" s="59">
        <f t="shared" si="90"/>
        <v>358.43407531256207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0.56088102128276252</v>
      </c>
      <c r="AV103" s="21">
        <f>EXP(-LN(2)/25)*AV102+(1-EXP(-LN(2)/25))/(LN(2)/25)*Calculateur!AQ103*Calculateur!AS103*VLOOKUP('Données projet'!$B$10,Paramètres!$A$1:$I$89,3,0)*0.475*44/12</f>
        <v>1.187762237603571</v>
      </c>
      <c r="AW103" s="21">
        <f>EXP(-LN(2)/2)*AW102+(1-EXP(-LN(2)/2))/(LN(2)/2)*AQ103*AT103*VLOOKUP('Données projet'!$B$10,Paramètres!$A$1:$I$89,3,0)*0.475*44/12</f>
        <v>1.2846492216251568E-10</v>
      </c>
      <c r="AX103" s="21">
        <f t="shared" si="60"/>
        <v>1.7486432590147987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-5.6843418860808015E-13</v>
      </c>
      <c r="BE103" s="13">
        <f>BD103*VLOOKUP('Données projet'!$B$11,Paramètres!$A$1:$I$89,3,0)*VLOOKUP('Données projet'!$B$11,Paramètres!$A$1:$I$89,5,0)</f>
        <v>-3.177547114319168E-13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326.31232746914907</v>
      </c>
      <c r="BJ103" s="59">
        <f t="shared" si="92"/>
        <v>330.17137761430297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1.1419862771096805</v>
      </c>
      <c r="BQ103" s="21">
        <f>EXP(-LN(2)/25)*BQ102+(1-EXP(-LN(2)/25))/(LN(2)/25)*Calculateur!BL103*Calculateur!BN103*VLOOKUP('Données projet'!$B$11,Paramètres!$A$1:$I$89,3,0)*0.475*44/12</f>
        <v>4.3324520051847015</v>
      </c>
      <c r="BR103" s="21">
        <f>EXP(-LN(2)/2)*BR102+(1-EXP(-LN(2)/2))/(LN(2)/2)*BL103*BO103*VLOOKUP('Données projet'!$B$11,Paramètres!$A$1:$I$89,3,0)*0.475*44/12</f>
        <v>9.4651734603205817E-10</v>
      </c>
      <c r="BS103" s="22">
        <f t="shared" si="63"/>
        <v>5.4744382832408993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210.04871822652808</v>
      </c>
      <c r="CE103" s="59">
        <f t="shared" si="94"/>
        <v>250.17540614049324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1.8252465655283663</v>
      </c>
      <c r="CL103" s="21">
        <f>EXP(-LN(2)/25)*CL102+(1-EXP(-LN(2)/25))/(LN(2)/25)*Calculateur!CG103*Calculateur!CI103*VLOOKUP('Données projet'!$B$12,Paramètres!$A$1:$I$89,3,0)*0.475*44/12</f>
        <v>3.9961368640644079</v>
      </c>
      <c r="CM103" s="21">
        <f>EXP(-LN(2)/2)*CM102+(1-EXP(-LN(2)/2))/(LN(2)/2)*CG103*CJ103*VLOOKUP('Données projet'!$B$12,Paramètres!$A$1:$I$89,3,0)*0.475*44/12</f>
        <v>6.2730072349518602E-10</v>
      </c>
      <c r="CN103" s="22">
        <f t="shared" si="66"/>
        <v>5.8213834302200755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4.5224624045658861E-14</v>
      </c>
      <c r="CV103" s="13">
        <f t="shared" si="95"/>
        <v>7.4514601661523691E-13</v>
      </c>
      <c r="CW103" s="20">
        <f t="shared" si="67"/>
        <v>1.3765621991510601E-12</v>
      </c>
      <c r="CX103" s="59">
        <f t="shared" si="68"/>
        <v>293.33333333333468</v>
      </c>
      <c r="CY103" s="59">
        <f ca="1">AVERAGE(OFFSET($CX$3,0,0,'Données projet'!$E$13+1,1))-AVERAGE(OFFSET($H$3,0,0,'Données projet'!$E$13+1,1))</f>
        <v>199.58763537752952</v>
      </c>
      <c r="CZ103" s="59">
        <f t="shared" si="96"/>
        <v>242.62852778451929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1.4765047693608229</v>
      </c>
      <c r="DH103" s="21">
        <f>EXP(-LN(2)/2)*DH102+(1-EXP(-LN(2)/2))/(LN(2)/2)*DB103*DE103*VLOOKUP('Données projet'!$B$13,Paramètres!$A$1:$I$89,3,0)*0.475*44/12</f>
        <v>3.1320257092652085E-10</v>
      </c>
      <c r="DI103" s="22">
        <f t="shared" si="69"/>
        <v>1.4765047696740254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-4.5474735088646412E-13</v>
      </c>
      <c r="DP103" s="17">
        <f>DO103*VLOOKUP('Données projet'!$B$14,Paramètres!$A$1:$I$89,3,0)*VLOOKUP('Données projet'!$B$14,Paramètres!$A$1:$I$89,5,0)</f>
        <v>-2.7193891583010558E-13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216.94426559495264</v>
      </c>
      <c r="DU103" s="59">
        <f t="shared" si="98"/>
        <v>225.33715877618704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1.8449909881167175</v>
      </c>
      <c r="EC103" s="21">
        <f>EXP(-LN(2)/2)*EC102+(1-EXP(-LN(2)/2))/(LN(2)/2)*DW103*DZ103*VLOOKUP('Données projet'!$B$14,Paramètres!$A$1:$I$89,3,0)*0.475*44/12</f>
        <v>6.9061526661444722E-10</v>
      </c>
      <c r="ED103" s="22">
        <f t="shared" si="72"/>
        <v>1.8449909888073328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6.8212102632969618E-13</v>
      </c>
      <c r="EK103" s="17">
        <f>EJ103*VLOOKUP('Données projet'!$B$15,Paramètres!$A$1:$I$89,3,0)*VLOOKUP('Données projet'!$B$15,Paramètres!$A$1:$I$89,5,0)</f>
        <v>3.2810021366458383E-13</v>
      </c>
      <c r="EL103" s="13">
        <f t="shared" si="99"/>
        <v>4.2923528923937213E-12</v>
      </c>
      <c r="EM103" s="20">
        <f t="shared" si="73"/>
        <v>8.0472891597182151E-12</v>
      </c>
      <c r="EN103" s="59">
        <f t="shared" si="74"/>
        <v>293.33333333334139</v>
      </c>
      <c r="EO103" s="59">
        <f ca="1">AVERAGE(OFFSET($EN$3,0,0,'Données projet'!$E$15+1,1))-AVERAGE(OFFSET($H$3,0,0,'Données projet'!$E$15+1,1))</f>
        <v>292.1792787220852</v>
      </c>
      <c r="EP103" s="59">
        <f t="shared" si="100"/>
        <v>273.69206144662144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1.6845246080953411</v>
      </c>
      <c r="EW103" s="21">
        <f>EXP(-LN(2)/25)*EW102+(1-EXP(-LN(2)/25))/(LN(2)/25)*Calculateur!ER103*Calculateur!ET103*VLOOKUP('Données projet'!$B$15,Paramètres!$A$1:$I$89,3,0)*0.475*44/12</f>
        <v>1.9273917720599201</v>
      </c>
      <c r="EX103" s="21">
        <f>EXP(-LN(2)/2)*EX102+(1-EXP(-LN(2)/2))/(LN(2)/2)*ER103*EU103*VLOOKUP('Données projet'!$B$15,Paramètres!$A$1:$I$89,3,0)*0.475*44/12</f>
        <v>6.0864210327367866E-10</v>
      </c>
      <c r="EY103" s="22">
        <f t="shared" si="75"/>
        <v>3.611916380763903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215.23235148064941</v>
      </c>
      <c r="T104" s="59">
        <f t="shared" si="88"/>
        <v>184.07239726900434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0.76827859212873628</v>
      </c>
      <c r="AA104" s="21">
        <f>EXP(-LN(2)/25)*AA103+(1-EXP(-LN(2)/25))/(LN(2)/25)*Calculateur!V104*Calculateur!X104*VLOOKUP('Données projet'!$B$9,Paramètres!$A$1:$I$89,3,0)*0.475*44/12</f>
        <v>1.0971011607876793</v>
      </c>
      <c r="AB104" s="21">
        <f>EXP(-LN(2)/2)*AB103+(1-EXP(-LN(2)/2))/(LN(2)/2)*V104*Y104*VLOOKUP('Données projet'!$B$9,Paramètres!$A$1:$I$89,3,0)*0.475*44/12</f>
        <v>2.0234143195674339E-10</v>
      </c>
      <c r="AC104" s="22">
        <f t="shared" si="57"/>
        <v>1.865379753118757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-8.5265128291212022E-14</v>
      </c>
      <c r="AJ104" s="13">
        <f>AI104*VLOOKUP('Données projet'!$B$10,Paramètres!$A$1:$I$89,3,0)*VLOOKUP('Données projet'!$B$10,Paramètres!$A$1:$I$89,5,0)</f>
        <v>-7.7147888077888636E-14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225.28075317732998</v>
      </c>
      <c r="AO104" s="59">
        <f t="shared" si="90"/>
        <v>358.43407531256207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0.54988248655905059</v>
      </c>
      <c r="AV104" s="21">
        <f>EXP(-LN(2)/25)*AV103+(1-EXP(-LN(2)/25))/(LN(2)/25)*Calculateur!AQ104*Calculateur!AS104*VLOOKUP('Données projet'!$B$10,Paramètres!$A$1:$I$89,3,0)*0.475*44/12</f>
        <v>1.1552828167545999</v>
      </c>
      <c r="AW104" s="21">
        <f>EXP(-LN(2)/2)*AW103+(1-EXP(-LN(2)/2))/(LN(2)/2)*AQ104*AT104*VLOOKUP('Données projet'!$B$10,Paramètres!$A$1:$I$89,3,0)*0.475*44/12</f>
        <v>9.0838417605716837E-11</v>
      </c>
      <c r="AX104" s="21">
        <f t="shared" si="60"/>
        <v>1.7051653034044889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-5.6843418860808015E-13</v>
      </c>
      <c r="BE104" s="13">
        <f>BD104*VLOOKUP('Données projet'!$B$11,Paramètres!$A$1:$I$89,3,0)*VLOOKUP('Données projet'!$B$11,Paramètres!$A$1:$I$89,5,0)</f>
        <v>-3.177547114319168E-13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326.31232746914907</v>
      </c>
      <c r="BJ104" s="59">
        <f t="shared" si="92"/>
        <v>330.17137761430297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1.1195926227584108</v>
      </c>
      <c r="BQ104" s="21">
        <f>EXP(-LN(2)/25)*BQ103+(1-EXP(-LN(2)/25))/(LN(2)/25)*Calculateur!BL104*Calculateur!BN104*VLOOKUP('Données projet'!$B$11,Paramètres!$A$1:$I$89,3,0)*0.475*44/12</f>
        <v>4.2139808772691767</v>
      </c>
      <c r="BR104" s="21">
        <f>EXP(-LN(2)/2)*BR103+(1-EXP(-LN(2)/2))/(LN(2)/2)*BL104*BO104*VLOOKUP('Données projet'!$B$11,Paramètres!$A$1:$I$89,3,0)*0.475*44/12</f>
        <v>6.6928883388996224E-10</v>
      </c>
      <c r="BS104" s="22">
        <f t="shared" si="63"/>
        <v>5.3335735006968763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210.04871822652808</v>
      </c>
      <c r="CE104" s="59">
        <f t="shared" si="94"/>
        <v>250.17540614049324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1.7894545936688318</v>
      </c>
      <c r="CL104" s="21">
        <f>EXP(-LN(2)/25)*CL103+(1-EXP(-LN(2)/25))/(LN(2)/25)*Calculateur!CG104*Calculateur!CI104*VLOOKUP('Données projet'!$B$12,Paramètres!$A$1:$I$89,3,0)*0.475*44/12</f>
        <v>3.8868622913688622</v>
      </c>
      <c r="CM104" s="21">
        <f>EXP(-LN(2)/2)*CM103+(1-EXP(-LN(2)/2))/(LN(2)/2)*CG104*CJ104*VLOOKUP('Données projet'!$B$12,Paramètres!$A$1:$I$89,3,0)*0.475*44/12</f>
        <v>4.4356859542667346E-10</v>
      </c>
      <c r="CN104" s="22">
        <f t="shared" si="66"/>
        <v>5.6763168854812625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4.5224624045658861E-14</v>
      </c>
      <c r="CV104" s="13">
        <f t="shared" si="95"/>
        <v>7.4514601661523691E-13</v>
      </c>
      <c r="CW104" s="20">
        <f t="shared" si="67"/>
        <v>1.3765621991510601E-12</v>
      </c>
      <c r="CX104" s="59">
        <f t="shared" si="68"/>
        <v>293.33333333333468</v>
      </c>
      <c r="CY104" s="59">
        <f ca="1">AVERAGE(OFFSET($CX$3,0,0,'Données projet'!$E$13+1,1))-AVERAGE(OFFSET($H$3,0,0,'Données projet'!$E$13+1,1))</f>
        <v>199.58763537752952</v>
      </c>
      <c r="CZ104" s="59">
        <f t="shared" si="96"/>
        <v>242.62852778451929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1.4361296687966398</v>
      </c>
      <c r="DH104" s="21">
        <f>EXP(-LN(2)/2)*DH103+(1-EXP(-LN(2)/2))/(LN(2)/2)*DB104*DE104*VLOOKUP('Données projet'!$B$13,Paramètres!$A$1:$I$89,3,0)*0.475*44/12</f>
        <v>2.2146766178720352E-10</v>
      </c>
      <c r="DI104" s="22">
        <f t="shared" si="69"/>
        <v>1.4361296690181076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-4.5474735088646412E-13</v>
      </c>
      <c r="DP104" s="17">
        <f>DO104*VLOOKUP('Données projet'!$B$14,Paramètres!$A$1:$I$89,3,0)*VLOOKUP('Données projet'!$B$14,Paramètres!$A$1:$I$89,5,0)</f>
        <v>-2.7193891583010558E-13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216.94426559495264</v>
      </c>
      <c r="DU104" s="59">
        <f t="shared" si="98"/>
        <v>225.33715877618704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1.7945396125228066</v>
      </c>
      <c r="EC104" s="21">
        <f>EXP(-LN(2)/2)*EC103+(1-EXP(-LN(2)/2))/(LN(2)/2)*DW104*DZ104*VLOOKUP('Données projet'!$B$14,Paramètres!$A$1:$I$89,3,0)*0.475*44/12</f>
        <v>4.883387382140311E-10</v>
      </c>
      <c r="ED104" s="22">
        <f t="shared" si="72"/>
        <v>1.7945396130111453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6.8212102632969618E-13</v>
      </c>
      <c r="EK104" s="17">
        <f>EJ104*VLOOKUP('Données projet'!$B$15,Paramètres!$A$1:$I$89,3,0)*VLOOKUP('Données projet'!$B$15,Paramètres!$A$1:$I$89,5,0)</f>
        <v>3.2810021366458383E-13</v>
      </c>
      <c r="EL104" s="13">
        <f t="shared" si="99"/>
        <v>4.2923528923937213E-12</v>
      </c>
      <c r="EM104" s="20">
        <f t="shared" si="73"/>
        <v>8.0472891597182151E-12</v>
      </c>
      <c r="EN104" s="59">
        <f t="shared" si="74"/>
        <v>293.33333333334139</v>
      </c>
      <c r="EO104" s="59">
        <f ca="1">AVERAGE(OFFSET($EN$3,0,0,'Données projet'!$E$15+1,1))-AVERAGE(OFFSET($H$3,0,0,'Données projet'!$E$15+1,1))</f>
        <v>292.1792787220852</v>
      </c>
      <c r="EP104" s="59">
        <f t="shared" si="100"/>
        <v>273.69206144662144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1.6514921079891494</v>
      </c>
      <c r="EW104" s="21">
        <f>EXP(-LN(2)/25)*EW103+(1-EXP(-LN(2)/25))/(LN(2)/25)*Calculateur!ER104*Calculateur!ET104*VLOOKUP('Données projet'!$B$15,Paramètres!$A$1:$I$89,3,0)*0.475*44/12</f>
        <v>1.8746871426958134</v>
      </c>
      <c r="EX104" s="21">
        <f>EXP(-LN(2)/2)*EX103+(1-EXP(-LN(2)/2))/(LN(2)/2)*ER104*EU104*VLOOKUP('Données projet'!$B$15,Paramètres!$A$1:$I$89,3,0)*0.475*44/12</f>
        <v>4.3037495854046116E-10</v>
      </c>
      <c r="EY104" s="22">
        <f t="shared" si="75"/>
        <v>3.5261792511153374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215.23235148064941</v>
      </c>
      <c r="T105" s="59">
        <f t="shared" si="88"/>
        <v>184.07239726900434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0.75321311754076214</v>
      </c>
      <c r="AA105" s="21">
        <f>EXP(-LN(2)/25)*AA104+(1-EXP(-LN(2)/25))/(LN(2)/25)*Calculateur!V105*Calculateur!X105*VLOOKUP('Données projet'!$B$9,Paramètres!$A$1:$I$89,3,0)*0.475*44/12</f>
        <v>1.0671008718518975</v>
      </c>
      <c r="AB105" s="21">
        <f>EXP(-LN(2)/2)*AB104+(1-EXP(-LN(2)/2))/(LN(2)/2)*V105*Y105*VLOOKUP('Données projet'!$B$9,Paramètres!$A$1:$I$89,3,0)*0.475*44/12</f>
        <v>1.4307699865160964E-10</v>
      </c>
      <c r="AC105" s="22">
        <f t="shared" si="57"/>
        <v>1.8203139895357368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-8.5265128291212022E-14</v>
      </c>
      <c r="AJ105" s="13">
        <f>AI105*VLOOKUP('Données projet'!$B$10,Paramètres!$A$1:$I$89,3,0)*VLOOKUP('Données projet'!$B$10,Paramètres!$A$1:$I$89,5,0)</f>
        <v>-7.7147888077888636E-14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225.28075317732998</v>
      </c>
      <c r="AO105" s="59">
        <f t="shared" si="90"/>
        <v>358.43407531256207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0.53909962639282694</v>
      </c>
      <c r="AV105" s="21">
        <f>EXP(-LN(2)/25)*AV104+(1-EXP(-LN(2)/25))/(LN(2)/25)*Calculateur!AQ105*Calculateur!AS105*VLOOKUP('Données projet'!$B$10,Paramètres!$A$1:$I$89,3,0)*0.475*44/12</f>
        <v>1.1236915473767624</v>
      </c>
      <c r="AW105" s="21">
        <f>EXP(-LN(2)/2)*AW104+(1-EXP(-LN(2)/2))/(LN(2)/2)*AQ105*AT105*VLOOKUP('Données projet'!$B$10,Paramètres!$A$1:$I$89,3,0)*0.475*44/12</f>
        <v>6.4232461081257842E-11</v>
      </c>
      <c r="AX105" s="21">
        <f t="shared" si="60"/>
        <v>1.6627911738338217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-5.6843418860808015E-13</v>
      </c>
      <c r="BE105" s="13">
        <f>BD105*VLOOKUP('Données projet'!$B$11,Paramètres!$A$1:$I$89,3,0)*VLOOKUP('Données projet'!$B$11,Paramètres!$A$1:$I$89,5,0)</f>
        <v>-3.177547114319168E-13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326.31232746914907</v>
      </c>
      <c r="BJ105" s="59">
        <f t="shared" si="92"/>
        <v>330.17137761430297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1.0976380943101891</v>
      </c>
      <c r="BQ105" s="21">
        <f>EXP(-LN(2)/25)*BQ104+(1-EXP(-LN(2)/25))/(LN(2)/25)*Calculateur!BL105*Calculateur!BN105*VLOOKUP('Données projet'!$B$11,Paramètres!$A$1:$I$89,3,0)*0.475*44/12</f>
        <v>4.0987493485766278</v>
      </c>
      <c r="BR105" s="21">
        <f>EXP(-LN(2)/2)*BR104+(1-EXP(-LN(2)/2))/(LN(2)/2)*BL105*BO105*VLOOKUP('Données projet'!$B$11,Paramètres!$A$1:$I$89,3,0)*0.475*44/12</f>
        <v>4.7325867301602909E-10</v>
      </c>
      <c r="BS105" s="22">
        <f t="shared" si="63"/>
        <v>5.1963874433600754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210.04871822652808</v>
      </c>
      <c r="CE105" s="59">
        <f t="shared" si="94"/>
        <v>250.17540614049324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1.7543644805465155</v>
      </c>
      <c r="CL105" s="21">
        <f>EXP(-LN(2)/25)*CL104+(1-EXP(-LN(2)/25))/(LN(2)/25)*Calculateur!CG105*Calculateur!CI105*VLOOKUP('Données projet'!$B$12,Paramètres!$A$1:$I$89,3,0)*0.475*44/12</f>
        <v>3.7805758376101761</v>
      </c>
      <c r="CM105" s="21">
        <f>EXP(-LN(2)/2)*CM104+(1-EXP(-LN(2)/2))/(LN(2)/2)*CG105*CJ105*VLOOKUP('Données projet'!$B$12,Paramètres!$A$1:$I$89,3,0)*0.475*44/12</f>
        <v>3.1365036174759301E-10</v>
      </c>
      <c r="CN105" s="22">
        <f t="shared" si="66"/>
        <v>5.5349403184703423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4.5224624045658861E-14</v>
      </c>
      <c r="CV105" s="13">
        <f t="shared" si="95"/>
        <v>7.4514601661523691E-13</v>
      </c>
      <c r="CW105" s="20">
        <f t="shared" si="67"/>
        <v>1.3765621991510601E-12</v>
      </c>
      <c r="CX105" s="59">
        <f t="shared" si="68"/>
        <v>293.33333333333468</v>
      </c>
      <c r="CY105" s="59">
        <f ca="1">AVERAGE(OFFSET($CX$3,0,0,'Données projet'!$E$13+1,1))-AVERAGE(OFFSET($H$3,0,0,'Données projet'!$E$13+1,1))</f>
        <v>199.58763537752952</v>
      </c>
      <c r="CZ105" s="59">
        <f t="shared" si="96"/>
        <v>242.62852778451929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1.3968586274806187</v>
      </c>
      <c r="DH105" s="21">
        <f>EXP(-LN(2)/2)*DH104+(1-EXP(-LN(2)/2))/(LN(2)/2)*DB105*DE105*VLOOKUP('Données projet'!$B$13,Paramètres!$A$1:$I$89,3,0)*0.475*44/12</f>
        <v>1.5660128546326043E-10</v>
      </c>
      <c r="DI105" s="22">
        <f t="shared" si="69"/>
        <v>1.3968586276372199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-4.5474735088646412E-13</v>
      </c>
      <c r="DP105" s="17">
        <f>DO105*VLOOKUP('Données projet'!$B$14,Paramètres!$A$1:$I$89,3,0)*VLOOKUP('Données projet'!$B$14,Paramètres!$A$1:$I$89,5,0)</f>
        <v>-2.7193891583010558E-13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216.94426559495264</v>
      </c>
      <c r="DU105" s="59">
        <f t="shared" si="98"/>
        <v>225.33715877618704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1.7454678324476336</v>
      </c>
      <c r="EC105" s="21">
        <f>EXP(-LN(2)/2)*EC104+(1-EXP(-LN(2)/2))/(LN(2)/2)*DW105*DZ105*VLOOKUP('Données projet'!$B$14,Paramètres!$A$1:$I$89,3,0)*0.475*44/12</f>
        <v>3.4530763330722361E-10</v>
      </c>
      <c r="ED105" s="22">
        <f t="shared" si="72"/>
        <v>1.7454678327929412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6.8212102632969618E-13</v>
      </c>
      <c r="EK105" s="17">
        <f>EJ105*VLOOKUP('Données projet'!$B$15,Paramètres!$A$1:$I$89,3,0)*VLOOKUP('Données projet'!$B$15,Paramètres!$A$1:$I$89,5,0)</f>
        <v>3.2810021366458383E-13</v>
      </c>
      <c r="EL105" s="13">
        <f t="shared" si="99"/>
        <v>4.2923528923937213E-12</v>
      </c>
      <c r="EM105" s="20">
        <f t="shared" si="73"/>
        <v>8.0472891597182151E-12</v>
      </c>
      <c r="EN105" s="59">
        <f t="shared" si="74"/>
        <v>293.33333333334139</v>
      </c>
      <c r="EO105" s="59">
        <f ca="1">AVERAGE(OFFSET($EN$3,0,0,'Données projet'!$E$15+1,1))-AVERAGE(OFFSET($H$3,0,0,'Données projet'!$E$15+1,1))</f>
        <v>292.1792787220852</v>
      </c>
      <c r="EP105" s="59">
        <f t="shared" si="100"/>
        <v>273.69206144662144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1.6191073550622044</v>
      </c>
      <c r="EW105" s="21">
        <f>EXP(-LN(2)/25)*EW104+(1-EXP(-LN(2)/25))/(LN(2)/25)*Calculateur!ER105*Calculateur!ET105*VLOOKUP('Données projet'!$B$15,Paramètres!$A$1:$I$89,3,0)*0.475*44/12</f>
        <v>1.8234237241932842</v>
      </c>
      <c r="EX105" s="21">
        <f>EXP(-LN(2)/2)*EX104+(1-EXP(-LN(2)/2))/(LN(2)/2)*ER105*EU105*VLOOKUP('Données projet'!$B$15,Paramètres!$A$1:$I$89,3,0)*0.475*44/12</f>
        <v>3.0432105163683933E-10</v>
      </c>
      <c r="EY105" s="22">
        <f t="shared" si="75"/>
        <v>3.4425310795598096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215.23235148064941</v>
      </c>
      <c r="T106" s="59">
        <f t="shared" si="88"/>
        <v>184.07239726900434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0.73844306772042612</v>
      </c>
      <c r="AA106" s="21">
        <f>EXP(-LN(2)/25)*AA105+(1-EXP(-LN(2)/25))/(LN(2)/25)*Calculateur!V106*Calculateur!X106*VLOOKUP('Données projet'!$B$9,Paramètres!$A$1:$I$89,3,0)*0.475*44/12</f>
        <v>1.0379209423947113</v>
      </c>
      <c r="AB106" s="21">
        <f>EXP(-LN(2)/2)*AB105+(1-EXP(-LN(2)/2))/(LN(2)/2)*V106*Y106*VLOOKUP('Données projet'!$B$9,Paramètres!$A$1:$I$89,3,0)*0.475*44/12</f>
        <v>1.0117071597837169E-10</v>
      </c>
      <c r="AC106" s="22">
        <f t="shared" si="57"/>
        <v>1.7763640102163081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-8.5265128291212022E-14</v>
      </c>
      <c r="AJ106" s="13">
        <f>AI106*VLOOKUP('Données projet'!$B$10,Paramètres!$A$1:$I$89,3,0)*VLOOKUP('Données projet'!$B$10,Paramètres!$A$1:$I$89,5,0)</f>
        <v>-7.7147888077888636E-14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225.28075317732998</v>
      </c>
      <c r="AO106" s="59">
        <f t="shared" si="90"/>
        <v>358.43407531256207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0.52852821153756757</v>
      </c>
      <c r="AV106" s="21">
        <f>EXP(-LN(2)/25)*AV105+(1-EXP(-LN(2)/25))/(LN(2)/25)*Calculateur!AQ106*Calculateur!AS106*VLOOKUP('Données projet'!$B$10,Paramètres!$A$1:$I$89,3,0)*0.475*44/12</f>
        <v>1.0929641429213746</v>
      </c>
      <c r="AW106" s="21">
        <f>EXP(-LN(2)/2)*AW105+(1-EXP(-LN(2)/2))/(LN(2)/2)*AQ106*AT106*VLOOKUP('Données projet'!$B$10,Paramètres!$A$1:$I$89,3,0)*0.475*44/12</f>
        <v>4.5419208802858418E-11</v>
      </c>
      <c r="AX106" s="21">
        <f t="shared" si="60"/>
        <v>1.6214923545043614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-5.6843418860808015E-13</v>
      </c>
      <c r="BE106" s="13">
        <f>BD106*VLOOKUP('Données projet'!$B$11,Paramètres!$A$1:$I$89,3,0)*VLOOKUP('Données projet'!$B$11,Paramètres!$A$1:$I$89,5,0)</f>
        <v>-3.177547114319168E-13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326.31232746914907</v>
      </c>
      <c r="BJ106" s="59">
        <f t="shared" si="92"/>
        <v>330.17137761430297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1.0761140807738969</v>
      </c>
      <c r="BQ106" s="21">
        <f>EXP(-LN(2)/25)*BQ105+(1-EXP(-LN(2)/25))/(LN(2)/25)*Calculateur!BL106*Calculateur!BN106*VLOOKUP('Données projet'!$B$11,Paramètres!$A$1:$I$89,3,0)*0.475*44/12</f>
        <v>3.9866688320959396</v>
      </c>
      <c r="BR106" s="21">
        <f>EXP(-LN(2)/2)*BR105+(1-EXP(-LN(2)/2))/(LN(2)/2)*BL106*BO106*VLOOKUP('Données projet'!$B$11,Paramètres!$A$1:$I$89,3,0)*0.475*44/12</f>
        <v>3.3464441694498112E-10</v>
      </c>
      <c r="BS106" s="22">
        <f t="shared" si="63"/>
        <v>5.0627829132044813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210.04871822652808</v>
      </c>
      <c r="CE106" s="59">
        <f t="shared" si="94"/>
        <v>250.17540614049324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1.7199624631396722</v>
      </c>
      <c r="CL106" s="21">
        <f>EXP(-LN(2)/25)*CL105+(1-EXP(-LN(2)/25))/(LN(2)/25)*Calculateur!CG106*Calculateur!CI106*VLOOKUP('Données projet'!$B$12,Paramètres!$A$1:$I$89,3,0)*0.475*44/12</f>
        <v>3.6771957925188832</v>
      </c>
      <c r="CM106" s="21">
        <f>EXP(-LN(2)/2)*CM105+(1-EXP(-LN(2)/2))/(LN(2)/2)*CG106*CJ106*VLOOKUP('Données projet'!$B$12,Paramètres!$A$1:$I$89,3,0)*0.475*44/12</f>
        <v>2.2178429771333673E-10</v>
      </c>
      <c r="CN106" s="22">
        <f t="shared" si="66"/>
        <v>5.3971582558803393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4.5224624045658861E-14</v>
      </c>
      <c r="CV106" s="13">
        <f t="shared" si="95"/>
        <v>7.4514601661523691E-13</v>
      </c>
      <c r="CW106" s="20">
        <f t="shared" si="67"/>
        <v>1.3765621991510601E-12</v>
      </c>
      <c r="CX106" s="59">
        <f t="shared" si="68"/>
        <v>293.33333333333468</v>
      </c>
      <c r="CY106" s="59">
        <f ca="1">AVERAGE(OFFSET($CX$3,0,0,'Données projet'!$E$13+1,1))-AVERAGE(OFFSET($H$3,0,0,'Données projet'!$E$13+1,1))</f>
        <v>199.58763537752952</v>
      </c>
      <c r="CZ106" s="59">
        <f t="shared" si="96"/>
        <v>242.62852778451929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1.3586614548545586</v>
      </c>
      <c r="DH106" s="21">
        <f>EXP(-LN(2)/2)*DH105+(1-EXP(-LN(2)/2))/(LN(2)/2)*DB106*DE106*VLOOKUP('Données projet'!$B$13,Paramètres!$A$1:$I$89,3,0)*0.475*44/12</f>
        <v>1.1073383089360176E-10</v>
      </c>
      <c r="DI106" s="22">
        <f t="shared" si="69"/>
        <v>1.3586614549652924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-4.5474735088646412E-13</v>
      </c>
      <c r="DP106" s="17">
        <f>DO106*VLOOKUP('Données projet'!$B$14,Paramètres!$A$1:$I$89,3,0)*VLOOKUP('Données projet'!$B$14,Paramètres!$A$1:$I$89,5,0)</f>
        <v>-2.7193891583010558E-13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216.94426559495264</v>
      </c>
      <c r="DU106" s="59">
        <f t="shared" si="98"/>
        <v>225.33715877618704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1.6977379227791891</v>
      </c>
      <c r="EC106" s="21">
        <f>EXP(-LN(2)/2)*EC105+(1-EXP(-LN(2)/2))/(LN(2)/2)*DW106*DZ106*VLOOKUP('Données projet'!$B$14,Paramètres!$A$1:$I$89,3,0)*0.475*44/12</f>
        <v>2.4416936910701555E-10</v>
      </c>
      <c r="ED106" s="22">
        <f t="shared" si="72"/>
        <v>1.6977379230233585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6.8212102632969618E-13</v>
      </c>
      <c r="EK106" s="17">
        <f>EJ106*VLOOKUP('Données projet'!$B$15,Paramètres!$A$1:$I$89,3,0)*VLOOKUP('Données projet'!$B$15,Paramètres!$A$1:$I$89,5,0)</f>
        <v>3.2810021366458383E-13</v>
      </c>
      <c r="EL106" s="13">
        <f t="shared" si="99"/>
        <v>4.2923528923937213E-12</v>
      </c>
      <c r="EM106" s="20">
        <f t="shared" si="73"/>
        <v>8.0472891597182151E-12</v>
      </c>
      <c r="EN106" s="59">
        <f t="shared" si="74"/>
        <v>293.33333333334139</v>
      </c>
      <c r="EO106" s="59">
        <f ca="1">AVERAGE(OFFSET($EN$3,0,0,'Données projet'!$E$15+1,1))-AVERAGE(OFFSET($H$3,0,0,'Données projet'!$E$15+1,1))</f>
        <v>292.1792787220852</v>
      </c>
      <c r="EP106" s="59">
        <f t="shared" si="100"/>
        <v>273.69206144662144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1.5873576473874078</v>
      </c>
      <c r="EW106" s="21">
        <f>EXP(-LN(2)/25)*EW105+(1-EXP(-LN(2)/25))/(LN(2)/25)*Calculateur!ER106*Calculateur!ET106*VLOOKUP('Données projet'!$B$15,Paramètres!$A$1:$I$89,3,0)*0.475*44/12</f>
        <v>1.7735621065655327</v>
      </c>
      <c r="EX106" s="21">
        <f>EXP(-LN(2)/2)*EX105+(1-EXP(-LN(2)/2))/(LN(2)/2)*ER106*EU106*VLOOKUP('Données projet'!$B$15,Paramètres!$A$1:$I$89,3,0)*0.475*44/12</f>
        <v>2.1518747927023058E-10</v>
      </c>
      <c r="EY106" s="22">
        <f t="shared" si="75"/>
        <v>3.3609197541681279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215.23235148064941</v>
      </c>
      <c r="T107" s="59">
        <f t="shared" si="88"/>
        <v>184.07239726900434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0.72396264956822598</v>
      </c>
      <c r="AA107" s="21">
        <f>EXP(-LN(2)/25)*AA106+(1-EXP(-LN(2)/25))/(LN(2)/25)*Calculateur!V107*Calculateur!X107*VLOOKUP('Données projet'!$B$9,Paramètres!$A$1:$I$89,3,0)*0.475*44/12</f>
        <v>1.0095389396430379</v>
      </c>
      <c r="AB107" s="21">
        <f>EXP(-LN(2)/2)*AB106+(1-EXP(-LN(2)/2))/(LN(2)/2)*V107*Y107*VLOOKUP('Données projet'!$B$9,Paramètres!$A$1:$I$89,3,0)*0.475*44/12</f>
        <v>7.1538499325804819E-11</v>
      </c>
      <c r="AC107" s="22">
        <f t="shared" si="57"/>
        <v>1.7335015892828023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-8.5265128291212022E-14</v>
      </c>
      <c r="AJ107" s="13">
        <f>AI107*VLOOKUP('Données projet'!$B$10,Paramètres!$A$1:$I$89,3,0)*VLOOKUP('Données projet'!$B$10,Paramètres!$A$1:$I$89,5,0)</f>
        <v>-7.7147888077888636E-14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225.28075317732998</v>
      </c>
      <c r="AO107" s="59">
        <f t="shared" si="90"/>
        <v>358.43407531256207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0.51816409567969346</v>
      </c>
      <c r="AV107" s="21">
        <f>EXP(-LN(2)/25)*AV106+(1-EXP(-LN(2)/25))/(LN(2)/25)*Calculateur!AQ107*Calculateur!AS107*VLOOKUP('Données projet'!$B$10,Paramètres!$A$1:$I$89,3,0)*0.475*44/12</f>
        <v>1.0630769809567033</v>
      </c>
      <c r="AW107" s="21">
        <f>EXP(-LN(2)/2)*AW106+(1-EXP(-LN(2)/2))/(LN(2)/2)*AQ107*AT107*VLOOKUP('Données projet'!$B$10,Paramètres!$A$1:$I$89,3,0)*0.475*44/12</f>
        <v>3.2116230540628921E-11</v>
      </c>
      <c r="AX107" s="21">
        <f t="shared" si="60"/>
        <v>1.581241076668513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-5.6843418860808015E-13</v>
      </c>
      <c r="BE107" s="13">
        <f>BD107*VLOOKUP('Données projet'!$B$11,Paramètres!$A$1:$I$89,3,0)*VLOOKUP('Données projet'!$B$11,Paramètres!$A$1:$I$89,5,0)</f>
        <v>-3.177547114319168E-13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326.31232746914907</v>
      </c>
      <c r="BJ107" s="59">
        <f t="shared" si="92"/>
        <v>330.17137761430297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1.0550121400146995</v>
      </c>
      <c r="BQ107" s="21">
        <f>EXP(-LN(2)/25)*BQ106+(1-EXP(-LN(2)/25))/(LN(2)/25)*Calculateur!BL107*Calculateur!BN107*VLOOKUP('Données projet'!$B$11,Paramètres!$A$1:$I$89,3,0)*0.475*44/12</f>
        <v>3.8776531632324738</v>
      </c>
      <c r="BR107" s="21">
        <f>EXP(-LN(2)/2)*BR106+(1-EXP(-LN(2)/2))/(LN(2)/2)*BL107*BO107*VLOOKUP('Données projet'!$B$11,Paramètres!$A$1:$I$89,3,0)*0.475*44/12</f>
        <v>2.3662933650801454E-10</v>
      </c>
      <c r="BS107" s="22">
        <f t="shared" si="63"/>
        <v>4.9326653034838026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210.04871822652808</v>
      </c>
      <c r="CE107" s="59">
        <f t="shared" si="94"/>
        <v>250.17540614049324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1.6862350483110182</v>
      </c>
      <c r="CL107" s="21">
        <f>EXP(-LN(2)/25)*CL106+(1-EXP(-LN(2)/25))/(LN(2)/25)*Calculateur!CG107*Calculateur!CI107*VLOOKUP('Données projet'!$B$12,Paramètres!$A$1:$I$89,3,0)*0.475*44/12</f>
        <v>3.5766426801971321</v>
      </c>
      <c r="CM107" s="21">
        <f>EXP(-LN(2)/2)*CM106+(1-EXP(-LN(2)/2))/(LN(2)/2)*CG107*CJ107*VLOOKUP('Données projet'!$B$12,Paramètres!$A$1:$I$89,3,0)*0.475*44/12</f>
        <v>1.568251808737965E-10</v>
      </c>
      <c r="CN107" s="22">
        <f t="shared" si="66"/>
        <v>5.2628777286649751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4.5224624045658861E-14</v>
      </c>
      <c r="CV107" s="13">
        <f t="shared" si="95"/>
        <v>7.4514601661523691E-13</v>
      </c>
      <c r="CW107" s="20">
        <f t="shared" si="67"/>
        <v>1.3765621991510601E-12</v>
      </c>
      <c r="CX107" s="59">
        <f t="shared" si="68"/>
        <v>293.33333333333468</v>
      </c>
      <c r="CY107" s="59">
        <f ca="1">AVERAGE(OFFSET($CX$3,0,0,'Données projet'!$E$13+1,1))-AVERAGE(OFFSET($H$3,0,0,'Données projet'!$E$13+1,1))</f>
        <v>199.58763537752952</v>
      </c>
      <c r="CZ107" s="59">
        <f t="shared" si="96"/>
        <v>242.62852778451929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1.32150878592266</v>
      </c>
      <c r="DH107" s="21">
        <f>EXP(-LN(2)/2)*DH106+(1-EXP(-LN(2)/2))/(LN(2)/2)*DB107*DE107*VLOOKUP('Données projet'!$B$13,Paramètres!$A$1:$I$89,3,0)*0.475*44/12</f>
        <v>7.8300642731630214E-11</v>
      </c>
      <c r="DI107" s="22">
        <f t="shared" si="69"/>
        <v>1.3215087860009607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-4.5474735088646412E-13</v>
      </c>
      <c r="DP107" s="17">
        <f>DO107*VLOOKUP('Données projet'!$B$14,Paramètres!$A$1:$I$89,3,0)*VLOOKUP('Données projet'!$B$14,Paramètres!$A$1:$I$89,5,0)</f>
        <v>-2.7193891583010558E-13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216.94426559495264</v>
      </c>
      <c r="DU107" s="59">
        <f t="shared" si="98"/>
        <v>225.33715877618704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1.651313190000635</v>
      </c>
      <c r="EC107" s="21">
        <f>EXP(-LN(2)/2)*EC106+(1-EXP(-LN(2)/2))/(LN(2)/2)*DW107*DZ107*VLOOKUP('Données projet'!$B$14,Paramètres!$A$1:$I$89,3,0)*0.475*44/12</f>
        <v>1.726538166536118E-10</v>
      </c>
      <c r="ED107" s="22">
        <f t="shared" si="72"/>
        <v>1.6513131901732889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6.8212102632969618E-13</v>
      </c>
      <c r="EK107" s="17">
        <f>EJ107*VLOOKUP('Données projet'!$B$15,Paramètres!$A$1:$I$89,3,0)*VLOOKUP('Données projet'!$B$15,Paramètres!$A$1:$I$89,5,0)</f>
        <v>3.2810021366458383E-13</v>
      </c>
      <c r="EL107" s="13">
        <f t="shared" si="99"/>
        <v>4.2923528923937213E-12</v>
      </c>
      <c r="EM107" s="20">
        <f t="shared" si="73"/>
        <v>8.0472891597182151E-12</v>
      </c>
      <c r="EN107" s="59">
        <f t="shared" si="74"/>
        <v>293.33333333334139</v>
      </c>
      <c r="EO107" s="59">
        <f ca="1">AVERAGE(OFFSET($EN$3,0,0,'Données projet'!$E$15+1,1))-AVERAGE(OFFSET($H$3,0,0,'Données projet'!$E$15+1,1))</f>
        <v>292.1792787220852</v>
      </c>
      <c r="EP107" s="59">
        <f t="shared" si="100"/>
        <v>273.69206144662144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1.5562305321147045</v>
      </c>
      <c r="EW107" s="21">
        <f>EXP(-LN(2)/25)*EW106+(1-EXP(-LN(2)/25))/(LN(2)/25)*Calculateur!ER107*Calculateur!ET107*VLOOKUP('Données projet'!$B$15,Paramètres!$A$1:$I$89,3,0)*0.475*44/12</f>
        <v>1.7250639574939206</v>
      </c>
      <c r="EX107" s="21">
        <f>EXP(-LN(2)/2)*EX106+(1-EXP(-LN(2)/2))/(LN(2)/2)*ER107*EU107*VLOOKUP('Données projet'!$B$15,Paramètres!$A$1:$I$89,3,0)*0.475*44/12</f>
        <v>1.5216052581841967E-10</v>
      </c>
      <c r="EY107" s="22">
        <f t="shared" si="75"/>
        <v>3.2812944897607856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215.23235148064941</v>
      </c>
      <c r="T108" s="59">
        <f t="shared" si="88"/>
        <v>184.07239726900434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0.7097661835838075</v>
      </c>
      <c r="AA108" s="21">
        <f>EXP(-LN(2)/25)*AA107+(1-EXP(-LN(2)/25))/(LN(2)/25)*Calculateur!V108*Calculateur!X108*VLOOKUP('Données projet'!$B$9,Paramètres!$A$1:$I$89,3,0)*0.475*44/12</f>
        <v>0.98193304424915351</v>
      </c>
      <c r="AB108" s="21">
        <f>EXP(-LN(2)/2)*AB107+(1-EXP(-LN(2)/2))/(LN(2)/2)*V108*Y108*VLOOKUP('Données projet'!$B$9,Paramètres!$A$1:$I$89,3,0)*0.475*44/12</f>
        <v>5.0585357989185847E-11</v>
      </c>
      <c r="AC108" s="22">
        <f t="shared" si="57"/>
        <v>1.6916992278835463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-8.5265128291212022E-14</v>
      </c>
      <c r="AJ108" s="13">
        <f>AI108*VLOOKUP('Données projet'!$B$10,Paramètres!$A$1:$I$89,3,0)*VLOOKUP('Données projet'!$B$10,Paramètres!$A$1:$I$89,5,0)</f>
        <v>-7.7147888077888636E-14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225.28075317732998</v>
      </c>
      <c r="AO108" s="59">
        <f t="shared" si="90"/>
        <v>358.43407531256207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0.50800321381230584</v>
      </c>
      <c r="AV108" s="21">
        <f>EXP(-LN(2)/25)*AV107+(1-EXP(-LN(2)/25))/(LN(2)/25)*Calculateur!AQ108*Calculateur!AS108*VLOOKUP('Données projet'!$B$10,Paramètres!$A$1:$I$89,3,0)*0.475*44/12</f>
        <v>1.0340070850076535</v>
      </c>
      <c r="AW108" s="21">
        <f>EXP(-LN(2)/2)*AW107+(1-EXP(-LN(2)/2))/(LN(2)/2)*AQ108*AT108*VLOOKUP('Données projet'!$B$10,Paramètres!$A$1:$I$89,3,0)*0.475*44/12</f>
        <v>2.2709604401429209E-11</v>
      </c>
      <c r="AX108" s="21">
        <f t="shared" si="60"/>
        <v>1.5420102988426689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-5.6843418860808015E-13</v>
      </c>
      <c r="BE108" s="13">
        <f>BD108*VLOOKUP('Données projet'!$B$11,Paramètres!$A$1:$I$89,3,0)*VLOOKUP('Données projet'!$B$11,Paramètres!$A$1:$I$89,5,0)</f>
        <v>-3.177547114319168E-13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326.31232746914907</v>
      </c>
      <c r="BJ108" s="59">
        <f t="shared" si="92"/>
        <v>330.17137761430297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1.0343239954428769</v>
      </c>
      <c r="BQ108" s="21">
        <f>EXP(-LN(2)/25)*BQ107+(1-EXP(-LN(2)/25))/(LN(2)/25)*Calculateur!BL108*Calculateur!BN108*VLOOKUP('Données projet'!$B$11,Paramètres!$A$1:$I$89,3,0)*0.475*44/12</f>
        <v>3.7716185335669645</v>
      </c>
      <c r="BR108" s="21">
        <f>EXP(-LN(2)/2)*BR107+(1-EXP(-LN(2)/2))/(LN(2)/2)*BL108*BO108*VLOOKUP('Données projet'!$B$11,Paramètres!$A$1:$I$89,3,0)*0.475*44/12</f>
        <v>1.6732220847249056E-10</v>
      </c>
      <c r="BS108" s="22">
        <f t="shared" si="63"/>
        <v>4.8059425291771634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210.04871822652808</v>
      </c>
      <c r="CE108" s="59">
        <f t="shared" si="94"/>
        <v>250.17540614049324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1.6531690075154626</v>
      </c>
      <c r="CL108" s="21">
        <f>EXP(-LN(2)/25)*CL107+(1-EXP(-LN(2)/25))/(LN(2)/25)*Calculateur!CG108*Calculateur!CI108*VLOOKUP('Données projet'!$B$12,Paramètres!$A$1:$I$89,3,0)*0.475*44/12</f>
        <v>3.4788391980196773</v>
      </c>
      <c r="CM108" s="21">
        <f>EXP(-LN(2)/2)*CM107+(1-EXP(-LN(2)/2))/(LN(2)/2)*CG108*CJ108*VLOOKUP('Données projet'!$B$12,Paramètres!$A$1:$I$89,3,0)*0.475*44/12</f>
        <v>1.1089214885666836E-10</v>
      </c>
      <c r="CN108" s="22">
        <f t="shared" si="66"/>
        <v>5.1320082056460317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4.5224624045658861E-14</v>
      </c>
      <c r="CV108" s="13">
        <f t="shared" si="95"/>
        <v>7.4514601661523691E-13</v>
      </c>
      <c r="CW108" s="20">
        <f t="shared" si="67"/>
        <v>1.3765621991510601E-12</v>
      </c>
      <c r="CX108" s="59">
        <f t="shared" si="68"/>
        <v>293.33333333333468</v>
      </c>
      <c r="CY108" s="59">
        <f ca="1">AVERAGE(OFFSET($CX$3,0,0,'Données projet'!$E$13+1,1))-AVERAGE(OFFSET($H$3,0,0,'Données projet'!$E$13+1,1))</f>
        <v>199.58763537752952</v>
      </c>
      <c r="CZ108" s="59">
        <f t="shared" si="96"/>
        <v>242.62852778451929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1.2853720586764781</v>
      </c>
      <c r="DH108" s="21">
        <f>EXP(-LN(2)/2)*DH107+(1-EXP(-LN(2)/2))/(LN(2)/2)*DB108*DE108*VLOOKUP('Données projet'!$B$13,Paramètres!$A$1:$I$89,3,0)*0.475*44/12</f>
        <v>5.5366915446800879E-11</v>
      </c>
      <c r="DI108" s="22">
        <f t="shared" si="69"/>
        <v>1.2853720587318449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-4.5474735088646412E-13</v>
      </c>
      <c r="DP108" s="17">
        <f>DO108*VLOOKUP('Données projet'!$B$14,Paramètres!$A$1:$I$89,3,0)*VLOOKUP('Données projet'!$B$14,Paramètres!$A$1:$I$89,5,0)</f>
        <v>-2.7193891583010558E-13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216.94426559495264</v>
      </c>
      <c r="DU108" s="59">
        <f t="shared" si="98"/>
        <v>225.33715877618704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1.6061579439812812</v>
      </c>
      <c r="EC108" s="21">
        <f>EXP(-LN(2)/2)*EC107+(1-EXP(-LN(2)/2))/(LN(2)/2)*DW108*DZ108*VLOOKUP('Données projet'!$B$14,Paramètres!$A$1:$I$89,3,0)*0.475*44/12</f>
        <v>1.2208468455350777E-10</v>
      </c>
      <c r="ED108" s="22">
        <f t="shared" si="72"/>
        <v>1.606157944103366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6.8212102632969618E-13</v>
      </c>
      <c r="EK108" s="17">
        <f>EJ108*VLOOKUP('Données projet'!$B$15,Paramètres!$A$1:$I$89,3,0)*VLOOKUP('Données projet'!$B$15,Paramètres!$A$1:$I$89,5,0)</f>
        <v>3.2810021366458383E-13</v>
      </c>
      <c r="EL108" s="13">
        <f t="shared" si="99"/>
        <v>4.2923528923937213E-12</v>
      </c>
      <c r="EM108" s="20">
        <f t="shared" si="73"/>
        <v>8.0472891597182151E-12</v>
      </c>
      <c r="EN108" s="59">
        <f t="shared" si="74"/>
        <v>293.33333333334139</v>
      </c>
      <c r="EO108" s="59">
        <f ca="1">AVERAGE(OFFSET($EN$3,0,0,'Données projet'!$E$15+1,1))-AVERAGE(OFFSET($H$3,0,0,'Données projet'!$E$15+1,1))</f>
        <v>292.1792787220852</v>
      </c>
      <c r="EP108" s="59">
        <f t="shared" si="100"/>
        <v>273.69206144662144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1.5257138005868334</v>
      </c>
      <c r="EW108" s="21">
        <f>EXP(-LN(2)/25)*EW107+(1-EXP(-LN(2)/25))/(LN(2)/25)*Calculateur!ER108*Calculateur!ET108*VLOOKUP('Données projet'!$B$15,Paramètres!$A$1:$I$89,3,0)*0.475*44/12</f>
        <v>1.6778919928590785</v>
      </c>
      <c r="EX108" s="21">
        <f>EXP(-LN(2)/2)*EX107+(1-EXP(-LN(2)/2))/(LN(2)/2)*ER108*EU108*VLOOKUP('Données projet'!$B$15,Paramètres!$A$1:$I$89,3,0)*0.475*44/12</f>
        <v>1.0759373963511529E-10</v>
      </c>
      <c r="EY108" s="22">
        <f t="shared" si="75"/>
        <v>3.2036057935535061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215.23235148064941</v>
      </c>
      <c r="T109" s="59">
        <f t="shared" si="88"/>
        <v>184.07239726900434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0.6958481016383542</v>
      </c>
      <c r="AA109" s="21">
        <f>EXP(-LN(2)/25)*AA108+(1-EXP(-LN(2)/25))/(LN(2)/25)*Calculateur!V109*Calculateur!X109*VLOOKUP('Données projet'!$B$9,Paramètres!$A$1:$I$89,3,0)*0.475*44/12</f>
        <v>0.95508203351654586</v>
      </c>
      <c r="AB109" s="21">
        <f>EXP(-LN(2)/2)*AB108+(1-EXP(-LN(2)/2))/(LN(2)/2)*V109*Y109*VLOOKUP('Données projet'!$B$9,Paramètres!$A$1:$I$89,3,0)*0.475*44/12</f>
        <v>3.576924966290241E-11</v>
      </c>
      <c r="AC109" s="22">
        <f t="shared" si="57"/>
        <v>1.6509301351906691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-8.5265128291212022E-14</v>
      </c>
      <c r="AJ109" s="13">
        <f>AI109*VLOOKUP('Données projet'!$B$10,Paramètres!$A$1:$I$89,3,0)*VLOOKUP('Données projet'!$B$10,Paramètres!$A$1:$I$89,5,0)</f>
        <v>-7.7147888077888636E-14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225.28075317732998</v>
      </c>
      <c r="AO109" s="59">
        <f t="shared" si="90"/>
        <v>358.43407531256207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0.49804158064081167</v>
      </c>
      <c r="AV109" s="21">
        <f>EXP(-LN(2)/25)*AV108+(1-EXP(-LN(2)/25))/(LN(2)/25)*Calculateur!AQ109*Calculateur!AS109*VLOOKUP('Données projet'!$B$10,Paramètres!$A$1:$I$89,3,0)*0.475*44/12</f>
        <v>1.0057321068920499</v>
      </c>
      <c r="AW109" s="21">
        <f>EXP(-LN(2)/2)*AW108+(1-EXP(-LN(2)/2))/(LN(2)/2)*AQ109*AT109*VLOOKUP('Données projet'!$B$10,Paramètres!$A$1:$I$89,3,0)*0.475*44/12</f>
        <v>1.605811527031446E-11</v>
      </c>
      <c r="AX109" s="21">
        <f t="shared" si="60"/>
        <v>1.5037736875489196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-5.6843418860808015E-13</v>
      </c>
      <c r="BE109" s="13">
        <f>BD109*VLOOKUP('Données projet'!$B$11,Paramètres!$A$1:$I$89,3,0)*VLOOKUP('Données projet'!$B$11,Paramètres!$A$1:$I$89,5,0)</f>
        <v>-3.177547114319168E-13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326.31232746914907</v>
      </c>
      <c r="BJ109" s="59">
        <f t="shared" si="92"/>
        <v>330.17137761430297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1.0140415327675856</v>
      </c>
      <c r="BQ109" s="21">
        <f>EXP(-LN(2)/25)*BQ108+(1-EXP(-LN(2)/25))/(LN(2)/25)*Calculateur!BL109*Calculateur!BN109*VLOOKUP('Données projet'!$B$11,Paramètres!$A$1:$I$89,3,0)*0.475*44/12</f>
        <v>3.6684834264257775</v>
      </c>
      <c r="BR109" s="21">
        <f>EXP(-LN(2)/2)*BR108+(1-EXP(-LN(2)/2))/(LN(2)/2)*BL109*BO109*VLOOKUP('Données projet'!$B$11,Paramètres!$A$1:$I$89,3,0)*0.475*44/12</f>
        <v>1.1831466825400727E-10</v>
      </c>
      <c r="BS109" s="22">
        <f t="shared" si="63"/>
        <v>4.6825249593116771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210.04871822652808</v>
      </c>
      <c r="CE109" s="59">
        <f t="shared" si="94"/>
        <v>250.17540614049324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1.6207513716116142</v>
      </c>
      <c r="CL109" s="21">
        <f>EXP(-LN(2)/25)*CL108+(1-EXP(-LN(2)/25))/(LN(2)/25)*Calculateur!CG109*Calculateur!CI109*VLOOKUP('Données projet'!$B$12,Paramètres!$A$1:$I$89,3,0)*0.475*44/12</f>
        <v>3.383710157205627</v>
      </c>
      <c r="CM109" s="21">
        <f>EXP(-LN(2)/2)*CM108+(1-EXP(-LN(2)/2))/(LN(2)/2)*CG109*CJ109*VLOOKUP('Données projet'!$B$12,Paramètres!$A$1:$I$89,3,0)*0.475*44/12</f>
        <v>7.8412590436898252E-11</v>
      </c>
      <c r="CN109" s="22">
        <f t="shared" si="66"/>
        <v>5.0044615288956544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4.5224624045658861E-14</v>
      </c>
      <c r="CV109" s="13">
        <f t="shared" si="95"/>
        <v>7.4514601661523691E-13</v>
      </c>
      <c r="CW109" s="20">
        <f t="shared" si="67"/>
        <v>1.3765621991510601E-12</v>
      </c>
      <c r="CX109" s="59">
        <f t="shared" si="68"/>
        <v>293.33333333333468</v>
      </c>
      <c r="CY109" s="59">
        <f ca="1">AVERAGE(OFFSET($CX$3,0,0,'Données projet'!$E$13+1,1))-AVERAGE(OFFSET($H$3,0,0,'Données projet'!$E$13+1,1))</f>
        <v>199.58763537752952</v>
      </c>
      <c r="CZ109" s="59">
        <f t="shared" si="96"/>
        <v>242.62852778451929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1.2502234921371911</v>
      </c>
      <c r="DH109" s="21">
        <f>EXP(-LN(2)/2)*DH108+(1-EXP(-LN(2)/2))/(LN(2)/2)*DB109*DE109*VLOOKUP('Données projet'!$B$13,Paramètres!$A$1:$I$89,3,0)*0.475*44/12</f>
        <v>3.9150321365815107E-11</v>
      </c>
      <c r="DI109" s="22">
        <f t="shared" si="69"/>
        <v>1.2502234921763413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-4.5474735088646412E-13</v>
      </c>
      <c r="DP109" s="17">
        <f>DO109*VLOOKUP('Données projet'!$B$14,Paramètres!$A$1:$I$89,3,0)*VLOOKUP('Données projet'!$B$14,Paramètres!$A$1:$I$89,5,0)</f>
        <v>-2.7193891583010558E-13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216.94426559495264</v>
      </c>
      <c r="DU109" s="59">
        <f t="shared" si="98"/>
        <v>225.33715877618704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1.5622374705389377</v>
      </c>
      <c r="EC109" s="21">
        <f>EXP(-LN(2)/2)*EC108+(1-EXP(-LN(2)/2))/(LN(2)/2)*DW109*DZ109*VLOOKUP('Données projet'!$B$14,Paramètres!$A$1:$I$89,3,0)*0.475*44/12</f>
        <v>8.6326908326805902E-11</v>
      </c>
      <c r="ED109" s="22">
        <f t="shared" si="72"/>
        <v>1.5622374706252646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6.8212102632969618E-13</v>
      </c>
      <c r="EK109" s="17">
        <f>EJ109*VLOOKUP('Données projet'!$B$15,Paramètres!$A$1:$I$89,3,0)*VLOOKUP('Données projet'!$B$15,Paramètres!$A$1:$I$89,5,0)</f>
        <v>3.2810021366458383E-13</v>
      </c>
      <c r="EL109" s="13">
        <f t="shared" si="99"/>
        <v>4.2923528923937213E-12</v>
      </c>
      <c r="EM109" s="20">
        <f t="shared" si="73"/>
        <v>8.0472891597182151E-12</v>
      </c>
      <c r="EN109" s="59">
        <f t="shared" si="74"/>
        <v>293.33333333334139</v>
      </c>
      <c r="EO109" s="59">
        <f ca="1">AVERAGE(OFFSET($EN$3,0,0,'Données projet'!$E$15+1,1))-AVERAGE(OFFSET($H$3,0,0,'Données projet'!$E$15+1,1))</f>
        <v>292.1792787220852</v>
      </c>
      <c r="EP109" s="59">
        <f t="shared" si="100"/>
        <v>273.69206144662144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1.4957954835508553</v>
      </c>
      <c r="EW109" s="21">
        <f>EXP(-LN(2)/25)*EW108+(1-EXP(-LN(2)/25))/(LN(2)/25)*Calculateur!ER109*Calculateur!ET109*VLOOKUP('Données projet'!$B$15,Paramètres!$A$1:$I$89,3,0)*0.475*44/12</f>
        <v>1.6320099480778421</v>
      </c>
      <c r="EX109" s="21">
        <f>EXP(-LN(2)/2)*EX108+(1-EXP(-LN(2)/2))/(LN(2)/2)*ER109*EU109*VLOOKUP('Données projet'!$B$15,Paramètres!$A$1:$I$89,3,0)*0.475*44/12</f>
        <v>7.6080262909209833E-11</v>
      </c>
      <c r="EY109" s="22">
        <f t="shared" si="75"/>
        <v>3.1278054317047781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215.23235148064941</v>
      </c>
      <c r="T110" s="59">
        <f t="shared" si="88"/>
        <v>184.07239726900434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0.68220294479065957</v>
      </c>
      <c r="AA110" s="21">
        <f>EXP(-LN(2)/25)*AA109+(1-EXP(-LN(2)/25))/(LN(2)/25)*Calculateur!V110*Calculateur!X110*VLOOKUP('Données projet'!$B$9,Paramètres!$A$1:$I$89,3,0)*0.475*44/12</f>
        <v>0.92896526508445465</v>
      </c>
      <c r="AB110" s="21">
        <f>EXP(-LN(2)/2)*AB109+(1-EXP(-LN(2)/2))/(LN(2)/2)*V110*Y110*VLOOKUP('Données projet'!$B$9,Paramètres!$A$1:$I$89,3,0)*0.475*44/12</f>
        <v>2.5292678994592923E-11</v>
      </c>
      <c r="AC110" s="22">
        <f t="shared" si="57"/>
        <v>1.611168209900407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-8.5265128291212022E-14</v>
      </c>
      <c r="AJ110" s="13">
        <f>AI110*VLOOKUP('Données projet'!$B$10,Paramètres!$A$1:$I$89,3,0)*VLOOKUP('Données projet'!$B$10,Paramètres!$A$1:$I$89,5,0)</f>
        <v>-7.7147888077888636E-14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225.28075317732998</v>
      </c>
      <c r="AO110" s="59">
        <f t="shared" si="90"/>
        <v>358.43407531256207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0.48827528901981421</v>
      </c>
      <c r="AV110" s="21">
        <f>EXP(-LN(2)/25)*AV109+(1-EXP(-LN(2)/25))/(LN(2)/25)*Calculateur!AQ110*Calculateur!AS110*VLOOKUP('Données projet'!$B$10,Paramètres!$A$1:$I$89,3,0)*0.475*44/12</f>
        <v>0.97823030953993395</v>
      </c>
      <c r="AW110" s="21">
        <f>EXP(-LN(2)/2)*AW109+(1-EXP(-LN(2)/2))/(LN(2)/2)*AQ110*AT110*VLOOKUP('Données projet'!$B$10,Paramètres!$A$1:$I$89,3,0)*0.475*44/12</f>
        <v>1.1354802200714605E-11</v>
      </c>
      <c r="AX110" s="21">
        <f t="shared" si="60"/>
        <v>1.4665055985711029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-5.6843418860808015E-13</v>
      </c>
      <c r="BE110" s="13">
        <f>BD110*VLOOKUP('Données projet'!$B$11,Paramètres!$A$1:$I$89,3,0)*VLOOKUP('Données projet'!$B$11,Paramètres!$A$1:$I$89,5,0)</f>
        <v>-3.177547114319168E-13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326.31232746914907</v>
      </c>
      <c r="BJ110" s="59">
        <f t="shared" si="92"/>
        <v>330.17137761430297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0.99415679681427593</v>
      </c>
      <c r="BQ110" s="21">
        <f>EXP(-LN(2)/25)*BQ109+(1-EXP(-LN(2)/25))/(LN(2)/25)*Calculateur!BL110*Calculateur!BN110*VLOOKUP('Données projet'!$B$11,Paramètres!$A$1:$I$89,3,0)*0.475*44/12</f>
        <v>3.5681685542130057</v>
      </c>
      <c r="BR110" s="21">
        <f>EXP(-LN(2)/2)*BR109+(1-EXP(-LN(2)/2))/(LN(2)/2)*BL110*BO110*VLOOKUP('Données projet'!$B$11,Paramètres!$A$1:$I$89,3,0)*0.475*44/12</f>
        <v>8.366110423624528E-11</v>
      </c>
      <c r="BS110" s="22">
        <f t="shared" si="63"/>
        <v>4.5623253511109425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210.04871822652808</v>
      </c>
      <c r="CE110" s="59">
        <f t="shared" si="94"/>
        <v>250.17540614049324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1.5889694257750349</v>
      </c>
      <c r="CL110" s="21">
        <f>EXP(-LN(2)/25)*CL109+(1-EXP(-LN(2)/25))/(LN(2)/25)*Calculateur!CG110*Calculateur!CI110*VLOOKUP('Données projet'!$B$12,Paramètres!$A$1:$I$89,3,0)*0.475*44/12</f>
        <v>3.2911824250152555</v>
      </c>
      <c r="CM110" s="21">
        <f>EXP(-LN(2)/2)*CM109+(1-EXP(-LN(2)/2))/(LN(2)/2)*CG110*CJ110*VLOOKUP('Données projet'!$B$12,Paramètres!$A$1:$I$89,3,0)*0.475*44/12</f>
        <v>5.5446074428334182E-11</v>
      </c>
      <c r="CN110" s="22">
        <f t="shared" si="66"/>
        <v>4.8801518508457367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4.5224624045658861E-14</v>
      </c>
      <c r="CV110" s="13">
        <f t="shared" si="95"/>
        <v>7.4514601661523691E-13</v>
      </c>
      <c r="CW110" s="20">
        <f t="shared" si="67"/>
        <v>1.3765621991510601E-12</v>
      </c>
      <c r="CX110" s="59">
        <f t="shared" si="68"/>
        <v>293.33333333333468</v>
      </c>
      <c r="CY110" s="59">
        <f ca="1">AVERAGE(OFFSET($CX$3,0,0,'Données projet'!$E$13+1,1))-AVERAGE(OFFSET($H$3,0,0,'Données projet'!$E$13+1,1))</f>
        <v>199.58763537752952</v>
      </c>
      <c r="CZ110" s="59">
        <f t="shared" si="96"/>
        <v>242.62852778451929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1.2160360649983035</v>
      </c>
      <c r="DH110" s="21">
        <f>EXP(-LN(2)/2)*DH109+(1-EXP(-LN(2)/2))/(LN(2)/2)*DB110*DE110*VLOOKUP('Données projet'!$B$13,Paramètres!$A$1:$I$89,3,0)*0.475*44/12</f>
        <v>2.7683457723400439E-11</v>
      </c>
      <c r="DI110" s="22">
        <f t="shared" si="69"/>
        <v>1.2160360650259869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-4.5474735088646412E-13</v>
      </c>
      <c r="DP110" s="17">
        <f>DO110*VLOOKUP('Données projet'!$B$14,Paramètres!$A$1:$I$89,3,0)*VLOOKUP('Données projet'!$B$14,Paramètres!$A$1:$I$89,5,0)</f>
        <v>-2.7193891583010558E-13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216.94426559495264</v>
      </c>
      <c r="DU110" s="59">
        <f t="shared" si="98"/>
        <v>225.33715877618704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1.5195180047525525</v>
      </c>
      <c r="EC110" s="21">
        <f>EXP(-LN(2)/2)*EC109+(1-EXP(-LN(2)/2))/(LN(2)/2)*DW110*DZ110*VLOOKUP('Données projet'!$B$14,Paramètres!$A$1:$I$89,3,0)*0.475*44/12</f>
        <v>6.1042342276753887E-11</v>
      </c>
      <c r="ED110" s="22">
        <f t="shared" si="72"/>
        <v>1.5195180048135948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6.8212102632969618E-13</v>
      </c>
      <c r="EK110" s="17">
        <f>EJ110*VLOOKUP('Données projet'!$B$15,Paramètres!$A$1:$I$89,3,0)*VLOOKUP('Données projet'!$B$15,Paramètres!$A$1:$I$89,5,0)</f>
        <v>3.2810021366458383E-13</v>
      </c>
      <c r="EL110" s="13">
        <f t="shared" si="99"/>
        <v>4.2923528923937213E-12</v>
      </c>
      <c r="EM110" s="20">
        <f t="shared" si="73"/>
        <v>8.0472891597182151E-12</v>
      </c>
      <c r="EN110" s="59">
        <f t="shared" si="74"/>
        <v>293.33333333334139</v>
      </c>
      <c r="EO110" s="59">
        <f ca="1">AVERAGE(OFFSET($EN$3,0,0,'Données projet'!$E$15+1,1))-AVERAGE(OFFSET($H$3,0,0,'Données projet'!$E$15+1,1))</f>
        <v>292.1792787220852</v>
      </c>
      <c r="EP110" s="59">
        <f t="shared" si="100"/>
        <v>273.69206144662144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1.4664638464635815</v>
      </c>
      <c r="EW110" s="21">
        <f>EXP(-LN(2)/25)*EW109+(1-EXP(-LN(2)/25))/(LN(2)/25)*Calculateur!ER110*Calculateur!ET110*VLOOKUP('Données projet'!$B$15,Paramètres!$A$1:$I$89,3,0)*0.475*44/12</f>
        <v>1.5873825502239802</v>
      </c>
      <c r="EX110" s="21">
        <f>EXP(-LN(2)/2)*EX109+(1-EXP(-LN(2)/2))/(LN(2)/2)*ER110*EU110*VLOOKUP('Données projet'!$B$15,Paramètres!$A$1:$I$89,3,0)*0.475*44/12</f>
        <v>5.3796869817557645E-11</v>
      </c>
      <c r="EY110" s="22">
        <f t="shared" si="75"/>
        <v>3.0538463967413589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215.23235148064941</v>
      </c>
      <c r="T111" s="59">
        <f t="shared" si="88"/>
        <v>184.07239726900434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0.66882536114602431</v>
      </c>
      <c r="AA111" s="21">
        <f>EXP(-LN(2)/25)*AA110+(1-EXP(-LN(2)/25))/(LN(2)/25)*Calculateur!V111*Calculateur!X111*VLOOKUP('Données projet'!$B$9,Paramètres!$A$1:$I$89,3,0)*0.475*44/12</f>
        <v>0.90356266105856009</v>
      </c>
      <c r="AB111" s="21">
        <f>EXP(-LN(2)/2)*AB110+(1-EXP(-LN(2)/2))/(LN(2)/2)*V111*Y111*VLOOKUP('Données projet'!$B$9,Paramètres!$A$1:$I$89,3,0)*0.475*44/12</f>
        <v>1.7884624831451205E-11</v>
      </c>
      <c r="AC111" s="22">
        <f t="shared" si="57"/>
        <v>1.5723880222224691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-8.5265128291212022E-14</v>
      </c>
      <c r="AJ111" s="13">
        <f>AI111*VLOOKUP('Données projet'!$B$10,Paramètres!$A$1:$I$89,3,0)*VLOOKUP('Données projet'!$B$10,Paramètres!$A$1:$I$89,5,0)</f>
        <v>-7.7147888077888636E-14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225.28075317732998</v>
      </c>
      <c r="AO111" s="59">
        <f t="shared" si="90"/>
        <v>358.43407531256207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0.47870050842065481</v>
      </c>
      <c r="AV111" s="21">
        <f>EXP(-LN(2)/25)*AV110+(1-EXP(-LN(2)/25))/(LN(2)/25)*Calculateur!AQ111*Calculateur!AS111*VLOOKUP('Données projet'!$B$10,Paramètres!$A$1:$I$89,3,0)*0.475*44/12</f>
        <v>0.9514805502826682</v>
      </c>
      <c r="AW111" s="21">
        <f>EXP(-LN(2)/2)*AW110+(1-EXP(-LN(2)/2))/(LN(2)/2)*AQ111*AT111*VLOOKUP('Données projet'!$B$10,Paramètres!$A$1:$I$89,3,0)*0.475*44/12</f>
        <v>8.0290576351572302E-12</v>
      </c>
      <c r="AX111" s="21">
        <f t="shared" si="60"/>
        <v>1.4301810587113521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-5.6843418860808015E-13</v>
      </c>
      <c r="BE111" s="13">
        <f>BD111*VLOOKUP('Données projet'!$B$11,Paramètres!$A$1:$I$89,3,0)*VLOOKUP('Données projet'!$B$11,Paramètres!$A$1:$I$89,5,0)</f>
        <v>-3.177547114319168E-13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326.31232746914907</v>
      </c>
      <c r="BJ111" s="59">
        <f t="shared" si="92"/>
        <v>330.17137761430297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0.97466198840451945</v>
      </c>
      <c r="BQ111" s="21">
        <f>EXP(-LN(2)/25)*BQ110+(1-EXP(-LN(2)/25))/(LN(2)/25)*Calculateur!BL111*Calculateur!BN111*VLOOKUP('Données projet'!$B$11,Paramètres!$A$1:$I$89,3,0)*0.475*44/12</f>
        <v>3.470596797456222</v>
      </c>
      <c r="BR111" s="21">
        <f>EXP(-LN(2)/2)*BR110+(1-EXP(-LN(2)/2))/(LN(2)/2)*BL111*BO111*VLOOKUP('Données projet'!$B$11,Paramètres!$A$1:$I$89,3,0)*0.475*44/12</f>
        <v>5.9157334127003636E-11</v>
      </c>
      <c r="BS111" s="22">
        <f t="shared" si="63"/>
        <v>4.4452587859198989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210.04871822652808</v>
      </c>
      <c r="CE111" s="59">
        <f t="shared" si="94"/>
        <v>250.17540614049324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1.5578107045112379</v>
      </c>
      <c r="CL111" s="21">
        <f>EXP(-LN(2)/25)*CL110+(1-EXP(-LN(2)/25))/(LN(2)/25)*Calculateur!CG111*Calculateur!CI111*VLOOKUP('Données projet'!$B$12,Paramètres!$A$1:$I$89,3,0)*0.475*44/12</f>
        <v>3.2011848685274518</v>
      </c>
      <c r="CM111" s="21">
        <f>EXP(-LN(2)/2)*CM110+(1-EXP(-LN(2)/2))/(LN(2)/2)*CG111*CJ111*VLOOKUP('Données projet'!$B$12,Paramètres!$A$1:$I$89,3,0)*0.475*44/12</f>
        <v>3.9206295218449126E-11</v>
      </c>
      <c r="CN111" s="22">
        <f t="shared" si="66"/>
        <v>4.7589955730778959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4.5224624045658861E-14</v>
      </c>
      <c r="CV111" s="13">
        <f t="shared" si="95"/>
        <v>7.4514601661523691E-13</v>
      </c>
      <c r="CW111" s="20">
        <f t="shared" si="67"/>
        <v>1.3765621991510601E-12</v>
      </c>
      <c r="CX111" s="59">
        <f t="shared" si="68"/>
        <v>293.33333333333468</v>
      </c>
      <c r="CY111" s="59">
        <f ca="1">AVERAGE(OFFSET($CX$3,0,0,'Données projet'!$E$13+1,1))-AVERAGE(OFFSET($H$3,0,0,'Données projet'!$E$13+1,1))</f>
        <v>199.58763537752952</v>
      </c>
      <c r="CZ111" s="59">
        <f t="shared" si="96"/>
        <v>242.62852778451929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1.1827834948523674</v>
      </c>
      <c r="DH111" s="21">
        <f>EXP(-LN(2)/2)*DH110+(1-EXP(-LN(2)/2))/(LN(2)/2)*DB111*DE111*VLOOKUP('Données projet'!$B$13,Paramètres!$A$1:$I$89,3,0)*0.475*44/12</f>
        <v>1.9575160682907553E-11</v>
      </c>
      <c r="DI111" s="22">
        <f t="shared" si="69"/>
        <v>1.1827834948719427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-4.5474735088646412E-13</v>
      </c>
      <c r="DP111" s="17">
        <f>DO111*VLOOKUP('Données projet'!$B$14,Paramètres!$A$1:$I$89,3,0)*VLOOKUP('Données projet'!$B$14,Paramètres!$A$1:$I$89,5,0)</f>
        <v>-2.7193891583010558E-13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216.94426559495264</v>
      </c>
      <c r="DU111" s="59">
        <f t="shared" si="98"/>
        <v>225.33715877618704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1.477966705004615</v>
      </c>
      <c r="EC111" s="21">
        <f>EXP(-LN(2)/2)*EC110+(1-EXP(-LN(2)/2))/(LN(2)/2)*DW111*DZ111*VLOOKUP('Données projet'!$B$14,Paramètres!$A$1:$I$89,3,0)*0.475*44/12</f>
        <v>4.3163454163402951E-11</v>
      </c>
      <c r="ED111" s="22">
        <f t="shared" si="72"/>
        <v>1.4779667050477785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6.8212102632969618E-13</v>
      </c>
      <c r="EK111" s="17">
        <f>EJ111*VLOOKUP('Données projet'!$B$15,Paramètres!$A$1:$I$89,3,0)*VLOOKUP('Données projet'!$B$15,Paramètres!$A$1:$I$89,5,0)</f>
        <v>3.2810021366458383E-13</v>
      </c>
      <c r="EL111" s="13">
        <f t="shared" si="99"/>
        <v>4.2923528923937213E-12</v>
      </c>
      <c r="EM111" s="20">
        <f t="shared" si="73"/>
        <v>8.0472891597182151E-12</v>
      </c>
      <c r="EN111" s="59">
        <f t="shared" si="74"/>
        <v>293.33333333334139</v>
      </c>
      <c r="EO111" s="59">
        <f ca="1">AVERAGE(OFFSET($EN$3,0,0,'Données projet'!$E$15+1,1))-AVERAGE(OFFSET($H$3,0,0,'Données projet'!$E$15+1,1))</f>
        <v>292.1792787220852</v>
      </c>
      <c r="EP111" s="59">
        <f t="shared" si="100"/>
        <v>273.69206144662144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1.4377073848890569</v>
      </c>
      <c r="EW111" s="21">
        <f>EXP(-LN(2)/25)*EW110+(1-EXP(-LN(2)/25))/(LN(2)/25)*Calculateur!ER111*Calculateur!ET111*VLOOKUP('Données projet'!$B$15,Paramètres!$A$1:$I$89,3,0)*0.475*44/12</f>
        <v>1.5439754909112853</v>
      </c>
      <c r="EX111" s="21">
        <f>EXP(-LN(2)/2)*EX110+(1-EXP(-LN(2)/2))/(LN(2)/2)*ER111*EU111*VLOOKUP('Données projet'!$B$15,Paramètres!$A$1:$I$89,3,0)*0.475*44/12</f>
        <v>3.8040131454604916E-11</v>
      </c>
      <c r="EY111" s="22">
        <f t="shared" si="75"/>
        <v>2.9816828758383824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215.23235148064941</v>
      </c>
      <c r="T112" s="59">
        <f t="shared" si="88"/>
        <v>184.07239726900434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0.65571010375714001</v>
      </c>
      <c r="AA112" s="21">
        <f>EXP(-LN(2)/25)*AA111+(1-EXP(-LN(2)/25))/(LN(2)/25)*Calculateur!V112*Calculateur!X112*VLOOKUP('Données projet'!$B$9,Paramètres!$A$1:$I$89,3,0)*0.475*44/12</f>
        <v>0.87885469257561855</v>
      </c>
      <c r="AB112" s="21">
        <f>EXP(-LN(2)/2)*AB111+(1-EXP(-LN(2)/2))/(LN(2)/2)*V112*Y112*VLOOKUP('Données projet'!$B$9,Paramètres!$A$1:$I$89,3,0)*0.475*44/12</f>
        <v>1.2646339497296462E-11</v>
      </c>
      <c r="AC112" s="22">
        <f t="shared" si="57"/>
        <v>1.5345647963454048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-8.5265128291212022E-14</v>
      </c>
      <c r="AJ112" s="13">
        <f>AI112*VLOOKUP('Données projet'!$B$10,Paramètres!$A$1:$I$89,3,0)*VLOOKUP('Données projet'!$B$10,Paramètres!$A$1:$I$89,5,0)</f>
        <v>-7.7147888077888636E-14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225.28075317732998</v>
      </c>
      <c r="AO112" s="59">
        <f t="shared" si="90"/>
        <v>358.43407531256207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0.46931348342900542</v>
      </c>
      <c r="AV112" s="21">
        <f>EXP(-LN(2)/25)*AV111+(1-EXP(-LN(2)/25))/(LN(2)/25)*Calculateur!AQ112*Calculateur!AS112*VLOOKUP('Données projet'!$B$10,Paramètres!$A$1:$I$89,3,0)*0.475*44/12</f>
        <v>0.92546226459900116</v>
      </c>
      <c r="AW112" s="21">
        <f>EXP(-LN(2)/2)*AW111+(1-EXP(-LN(2)/2))/(LN(2)/2)*AQ112*AT112*VLOOKUP('Données projet'!$B$10,Paramètres!$A$1:$I$89,3,0)*0.475*44/12</f>
        <v>5.6774011003573023E-12</v>
      </c>
      <c r="AX112" s="21">
        <f t="shared" si="60"/>
        <v>1.394775748033684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-5.6843418860808015E-13</v>
      </c>
      <c r="BE112" s="13">
        <f>BD112*VLOOKUP('Données projet'!$B$11,Paramètres!$A$1:$I$89,3,0)*VLOOKUP('Données projet'!$B$11,Paramètres!$A$1:$I$89,5,0)</f>
        <v>-3.177547114319168E-13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326.31232746914907</v>
      </c>
      <c r="BJ112" s="59">
        <f t="shared" si="92"/>
        <v>330.17137761430297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0.95554946129701923</v>
      </c>
      <c r="BQ112" s="21">
        <f>EXP(-LN(2)/25)*BQ111+(1-EXP(-LN(2)/25))/(LN(2)/25)*Calculateur!BL112*Calculateur!BN112*VLOOKUP('Données projet'!$B$11,Paramètres!$A$1:$I$89,3,0)*0.475*44/12</f>
        <v>3.375693145519028</v>
      </c>
      <c r="BR112" s="21">
        <f>EXP(-LN(2)/2)*BR111+(1-EXP(-LN(2)/2))/(LN(2)/2)*BL112*BO112*VLOOKUP('Données projet'!$B$11,Paramètres!$A$1:$I$89,3,0)*0.475*44/12</f>
        <v>4.183055211812264E-11</v>
      </c>
      <c r="BS112" s="22">
        <f t="shared" si="63"/>
        <v>4.3312426068578782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210.04871822652808</v>
      </c>
      <c r="CE112" s="59">
        <f t="shared" si="94"/>
        <v>250.17540614049324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1.5272629867664806</v>
      </c>
      <c r="CL112" s="21">
        <f>EXP(-LN(2)/25)*CL111+(1-EXP(-LN(2)/25))/(LN(2)/25)*Calculateur!CG112*Calculateur!CI112*VLOOKUP('Données projet'!$B$12,Paramètres!$A$1:$I$89,3,0)*0.475*44/12</f>
        <v>3.1136482999545727</v>
      </c>
      <c r="CM112" s="21">
        <f>EXP(-LN(2)/2)*CM111+(1-EXP(-LN(2)/2))/(LN(2)/2)*CG112*CJ112*VLOOKUP('Données projet'!$B$12,Paramètres!$A$1:$I$89,3,0)*0.475*44/12</f>
        <v>2.7723037214167091E-11</v>
      </c>
      <c r="CN112" s="22">
        <f t="shared" si="66"/>
        <v>4.6409112867487758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4.5224624045658861E-14</v>
      </c>
      <c r="CV112" s="13">
        <f t="shared" si="95"/>
        <v>7.4514601661523691E-13</v>
      </c>
      <c r="CW112" s="20">
        <f t="shared" si="67"/>
        <v>1.3765621991510601E-12</v>
      </c>
      <c r="CX112" s="59">
        <f t="shared" si="68"/>
        <v>293.33333333333468</v>
      </c>
      <c r="CY112" s="59">
        <f ca="1">AVERAGE(OFFSET($CX$3,0,0,'Données projet'!$E$13+1,1))-AVERAGE(OFFSET($H$3,0,0,'Données projet'!$E$13+1,1))</f>
        <v>199.58763537752952</v>
      </c>
      <c r="CZ112" s="59">
        <f t="shared" si="96"/>
        <v>242.62852778451929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1.1504402179857487</v>
      </c>
      <c r="DH112" s="21">
        <f>EXP(-LN(2)/2)*DH111+(1-EXP(-LN(2)/2))/(LN(2)/2)*DB112*DE112*VLOOKUP('Données projet'!$B$13,Paramètres!$A$1:$I$89,3,0)*0.475*44/12</f>
        <v>1.384172886170022E-11</v>
      </c>
      <c r="DI112" s="22">
        <f t="shared" si="69"/>
        <v>1.1504402179995905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-4.5474735088646412E-13</v>
      </c>
      <c r="DP112" s="17">
        <f>DO112*VLOOKUP('Données projet'!$B$14,Paramètres!$A$1:$I$89,3,0)*VLOOKUP('Données projet'!$B$14,Paramètres!$A$1:$I$89,5,0)</f>
        <v>-2.7193891583010558E-13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216.94426559495264</v>
      </c>
      <c r="DU112" s="59">
        <f t="shared" si="98"/>
        <v>225.33715877618704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1.4375516277333726</v>
      </c>
      <c r="EC112" s="21">
        <f>EXP(-LN(2)/2)*EC111+(1-EXP(-LN(2)/2))/(LN(2)/2)*DW112*DZ112*VLOOKUP('Données projet'!$B$14,Paramètres!$A$1:$I$89,3,0)*0.475*44/12</f>
        <v>3.0521171138376943E-11</v>
      </c>
      <c r="ED112" s="22">
        <f t="shared" si="72"/>
        <v>1.4375516277638938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6.8212102632969618E-13</v>
      </c>
      <c r="EK112" s="17">
        <f>EJ112*VLOOKUP('Données projet'!$B$15,Paramètres!$A$1:$I$89,3,0)*VLOOKUP('Données projet'!$B$15,Paramètres!$A$1:$I$89,5,0)</f>
        <v>3.2810021366458383E-13</v>
      </c>
      <c r="EL112" s="13">
        <f t="shared" si="99"/>
        <v>4.2923528923937213E-12</v>
      </c>
      <c r="EM112" s="20">
        <f t="shared" si="73"/>
        <v>8.0472891597182151E-12</v>
      </c>
      <c r="EN112" s="59">
        <f t="shared" si="74"/>
        <v>293.33333333334139</v>
      </c>
      <c r="EO112" s="59">
        <f ca="1">AVERAGE(OFFSET($EN$3,0,0,'Données projet'!$E$15+1,1))-AVERAGE(OFFSET($H$3,0,0,'Données projet'!$E$15+1,1))</f>
        <v>292.1792787220852</v>
      </c>
      <c r="EP112" s="59">
        <f t="shared" si="100"/>
        <v>273.69206144662144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1.4095148199862992</v>
      </c>
      <c r="EW112" s="21">
        <f>EXP(-LN(2)/25)*EW111+(1-EXP(-LN(2)/25))/(LN(2)/25)*Calculateur!ER112*Calculateur!ET112*VLOOKUP('Données projet'!$B$15,Paramètres!$A$1:$I$89,3,0)*0.475*44/12</f>
        <v>1.5017553999181739</v>
      </c>
      <c r="EX112" s="21">
        <f>EXP(-LN(2)/2)*EX111+(1-EXP(-LN(2)/2))/(LN(2)/2)*ER112*EU112*VLOOKUP('Données projet'!$B$15,Paramètres!$A$1:$I$89,3,0)*0.475*44/12</f>
        <v>2.6898434908778823E-11</v>
      </c>
      <c r="EY112" s="22">
        <f t="shared" si="75"/>
        <v>2.9112702199313718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215.23235148064941</v>
      </c>
      <c r="T113" s="59">
        <f t="shared" si="88"/>
        <v>184.07239726900434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0.64285202856613466</v>
      </c>
      <c r="AA113" s="21">
        <f>EXP(-LN(2)/25)*AA112+(1-EXP(-LN(2)/25))/(LN(2)/25)*Calculateur!V113*Calculateur!X113*VLOOKUP('Données projet'!$B$9,Paramètres!$A$1:$I$89,3,0)*0.475*44/12</f>
        <v>0.85482236479017859</v>
      </c>
      <c r="AB113" s="21">
        <f>EXP(-LN(2)/2)*AB112+(1-EXP(-LN(2)/2))/(LN(2)/2)*V113*Y113*VLOOKUP('Données projet'!$B$9,Paramètres!$A$1:$I$89,3,0)*0.475*44/12</f>
        <v>8.9423124157256024E-12</v>
      </c>
      <c r="AC113" s="22">
        <f t="shared" si="57"/>
        <v>1.4976743933652557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-8.5265128291212022E-14</v>
      </c>
      <c r="AJ113" s="13">
        <f>AI113*VLOOKUP('Données projet'!$B$10,Paramètres!$A$1:$I$89,3,0)*VLOOKUP('Données projet'!$B$10,Paramètres!$A$1:$I$89,5,0)</f>
        <v>-7.7147888077888636E-14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225.28075317732998</v>
      </c>
      <c r="AO113" s="59">
        <f t="shared" si="90"/>
        <v>358.43407531256207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0.46011053227192239</v>
      </c>
      <c r="AV113" s="21">
        <f>EXP(-LN(2)/25)*AV112+(1-EXP(-LN(2)/25))/(LN(2)/25)*Calculateur!AQ113*Calculateur!AS113*VLOOKUP('Données projet'!$B$10,Paramètres!$A$1:$I$89,3,0)*0.475*44/12</f>
        <v>0.90015545030559618</v>
      </c>
      <c r="AW113" s="21">
        <f>EXP(-LN(2)/2)*AW112+(1-EXP(-LN(2)/2))/(LN(2)/2)*AQ113*AT113*VLOOKUP('Données projet'!$B$10,Paramètres!$A$1:$I$89,3,0)*0.475*44/12</f>
        <v>4.0145288175786151E-12</v>
      </c>
      <c r="AX113" s="21">
        <f t="shared" si="60"/>
        <v>1.3602659825815331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-5.6843418860808015E-13</v>
      </c>
      <c r="BE113" s="13">
        <f>BD113*VLOOKUP('Données projet'!$B$11,Paramètres!$A$1:$I$89,3,0)*VLOOKUP('Données projet'!$B$11,Paramètres!$A$1:$I$89,5,0)</f>
        <v>-3.177547114319168E-13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326.31232746914907</v>
      </c>
      <c r="BJ113" s="59">
        <f t="shared" si="92"/>
        <v>330.17137761430297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0.93681171918860662</v>
      </c>
      <c r="BQ113" s="21">
        <f>EXP(-LN(2)/25)*BQ112+(1-EXP(-LN(2)/25))/(LN(2)/25)*Calculateur!BL113*Calculateur!BN113*VLOOKUP('Données projet'!$B$11,Paramètres!$A$1:$I$89,3,0)*0.475*44/12</f>
        <v>3.2833846389348227</v>
      </c>
      <c r="BR113" s="21">
        <f>EXP(-LN(2)/2)*BR112+(1-EXP(-LN(2)/2))/(LN(2)/2)*BL113*BO113*VLOOKUP('Données projet'!$B$11,Paramètres!$A$1:$I$89,3,0)*0.475*44/12</f>
        <v>2.9578667063501818E-11</v>
      </c>
      <c r="BS113" s="22">
        <f t="shared" si="63"/>
        <v>4.2201963581530082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210.04871822652808</v>
      </c>
      <c r="CE113" s="59">
        <f t="shared" si="94"/>
        <v>250.17540614049324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1.4973142911344302</v>
      </c>
      <c r="CL113" s="21">
        <f>EXP(-LN(2)/25)*CL112+(1-EXP(-LN(2)/25))/(LN(2)/25)*Calculateur!CG113*Calculateur!CI113*VLOOKUP('Données projet'!$B$12,Paramètres!$A$1:$I$89,3,0)*0.475*44/12</f>
        <v>3.0285054234526672</v>
      </c>
      <c r="CM113" s="21">
        <f>EXP(-LN(2)/2)*CM112+(1-EXP(-LN(2)/2))/(LN(2)/2)*CG113*CJ113*VLOOKUP('Données projet'!$B$12,Paramètres!$A$1:$I$89,3,0)*0.475*44/12</f>
        <v>1.9603147609224563E-11</v>
      </c>
      <c r="CN113" s="22">
        <f t="shared" si="66"/>
        <v>4.5258197146067003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4.5224624045658861E-14</v>
      </c>
      <c r="CV113" s="13">
        <f t="shared" si="95"/>
        <v>7.4514601661523691E-13</v>
      </c>
      <c r="CW113" s="20">
        <f t="shared" si="67"/>
        <v>1.3765621991510601E-12</v>
      </c>
      <c r="CX113" s="59">
        <f t="shared" si="68"/>
        <v>293.33333333333468</v>
      </c>
      <c r="CY113" s="59">
        <f ca="1">AVERAGE(OFFSET($CX$3,0,0,'Données projet'!$E$13+1,1))-AVERAGE(OFFSET($H$3,0,0,'Données projet'!$E$13+1,1))</f>
        <v>199.58763537752952</v>
      </c>
      <c r="CZ113" s="59">
        <f t="shared" si="96"/>
        <v>242.62852778451929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1.1189813697259068</v>
      </c>
      <c r="DH113" s="21">
        <f>EXP(-LN(2)/2)*DH112+(1-EXP(-LN(2)/2))/(LN(2)/2)*DB113*DE113*VLOOKUP('Données projet'!$B$13,Paramètres!$A$1:$I$89,3,0)*0.475*44/12</f>
        <v>9.7875803414537767E-12</v>
      </c>
      <c r="DI113" s="22">
        <f t="shared" si="69"/>
        <v>1.1189813697356943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-4.5474735088646412E-13</v>
      </c>
      <c r="DP113" s="17">
        <f>DO113*VLOOKUP('Données projet'!$B$14,Paramètres!$A$1:$I$89,3,0)*VLOOKUP('Données projet'!$B$14,Paramètres!$A$1:$I$89,5,0)</f>
        <v>-2.7193891583010558E-13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216.94426559495264</v>
      </c>
      <c r="DU113" s="59">
        <f t="shared" si="98"/>
        <v>225.33715877618704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1.398241702875449</v>
      </c>
      <c r="EC113" s="21">
        <f>EXP(-LN(2)/2)*EC112+(1-EXP(-LN(2)/2))/(LN(2)/2)*DW113*DZ113*VLOOKUP('Données projet'!$B$14,Paramètres!$A$1:$I$89,3,0)*0.475*44/12</f>
        <v>2.1581727081701476E-11</v>
      </c>
      <c r="ED113" s="22">
        <f t="shared" si="72"/>
        <v>1.3982417028970306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6.8212102632969618E-13</v>
      </c>
      <c r="EK113" s="17">
        <f>EJ113*VLOOKUP('Données projet'!$B$15,Paramètres!$A$1:$I$89,3,0)*VLOOKUP('Données projet'!$B$15,Paramètres!$A$1:$I$89,5,0)</f>
        <v>3.2810021366458383E-13</v>
      </c>
      <c r="EL113" s="13">
        <f t="shared" si="99"/>
        <v>4.2923528923937213E-12</v>
      </c>
      <c r="EM113" s="20">
        <f t="shared" si="73"/>
        <v>8.0472891597182151E-12</v>
      </c>
      <c r="EN113" s="59">
        <f t="shared" si="74"/>
        <v>293.33333333334139</v>
      </c>
      <c r="EO113" s="59">
        <f ca="1">AVERAGE(OFFSET($EN$3,0,0,'Données projet'!$E$15+1,1))-AVERAGE(OFFSET($H$3,0,0,'Données projet'!$E$15+1,1))</f>
        <v>292.1792787220852</v>
      </c>
      <c r="EP113" s="59">
        <f t="shared" si="100"/>
        <v>273.69206144662144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1.3818750940855178</v>
      </c>
      <c r="EW113" s="21">
        <f>EXP(-LN(2)/25)*EW112+(1-EXP(-LN(2)/25))/(LN(2)/25)*Calculateur!ER113*Calculateur!ET113*VLOOKUP('Données projet'!$B$15,Paramètres!$A$1:$I$89,3,0)*0.475*44/12</f>
        <v>1.4606898195335272</v>
      </c>
      <c r="EX113" s="21">
        <f>EXP(-LN(2)/2)*EX112+(1-EXP(-LN(2)/2))/(LN(2)/2)*ER113*EU113*VLOOKUP('Données projet'!$B$15,Paramètres!$A$1:$I$89,3,0)*0.475*44/12</f>
        <v>1.9020065727302458E-11</v>
      </c>
      <c r="EY113" s="22">
        <f t="shared" si="75"/>
        <v>2.8425649136380646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215.23235148064941</v>
      </c>
      <c r="T114" s="59">
        <f t="shared" si="88"/>
        <v>184.07239726900434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0.63024609238697338</v>
      </c>
      <c r="AA114" s="21">
        <f>EXP(-LN(2)/25)*AA113+(1-EXP(-LN(2)/25))/(LN(2)/25)*Calculateur!V114*Calculateur!X114*VLOOKUP('Données projet'!$B$9,Paramètres!$A$1:$I$89,3,0)*0.475*44/12</f>
        <v>0.83144720227183666</v>
      </c>
      <c r="AB114" s="21">
        <f>EXP(-LN(2)/2)*AB113+(1-EXP(-LN(2)/2))/(LN(2)/2)*V114*Y114*VLOOKUP('Données projet'!$B$9,Paramètres!$A$1:$I$89,3,0)*0.475*44/12</f>
        <v>6.3231697486482308E-12</v>
      </c>
      <c r="AC114" s="22">
        <f t="shared" si="57"/>
        <v>1.4616932946651333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-8.5265128291212022E-14</v>
      </c>
      <c r="AJ114" s="13">
        <f>AI114*VLOOKUP('Données projet'!$B$10,Paramètres!$A$1:$I$89,3,0)*VLOOKUP('Données projet'!$B$10,Paramètres!$A$1:$I$89,5,0)</f>
        <v>-7.7147888077888636E-14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225.28075317732998</v>
      </c>
      <c r="AO114" s="59">
        <f t="shared" si="90"/>
        <v>358.43407531256207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0.45108804537378383</v>
      </c>
      <c r="AV114" s="21">
        <f>EXP(-LN(2)/25)*AV113+(1-EXP(-LN(2)/25))/(LN(2)/25)*Calculateur!AQ114*Calculateur!AS114*VLOOKUP('Données projet'!$B$10,Paramètres!$A$1:$I$89,3,0)*0.475*44/12</f>
        <v>0.87554065217987187</v>
      </c>
      <c r="AW114" s="21">
        <f>EXP(-LN(2)/2)*AW113+(1-EXP(-LN(2)/2))/(LN(2)/2)*AQ114*AT114*VLOOKUP('Données projet'!$B$10,Paramètres!$A$1:$I$89,3,0)*0.475*44/12</f>
        <v>2.8387005501786511E-12</v>
      </c>
      <c r="AX114" s="21">
        <f t="shared" si="60"/>
        <v>1.3266286975564943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-5.6843418860808015E-13</v>
      </c>
      <c r="BE114" s="13">
        <f>BD114*VLOOKUP('Données projet'!$B$11,Paramètres!$A$1:$I$89,3,0)*VLOOKUP('Données projet'!$B$11,Paramètres!$A$1:$I$89,5,0)</f>
        <v>-3.177547114319168E-13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326.31232746914907</v>
      </c>
      <c r="BJ114" s="59">
        <f t="shared" si="92"/>
        <v>330.17137761430297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0.91844141277404578</v>
      </c>
      <c r="BQ114" s="21">
        <f>EXP(-LN(2)/25)*BQ113+(1-EXP(-LN(2)/25))/(LN(2)/25)*Calculateur!BL114*Calculateur!BN114*VLOOKUP('Données projet'!$B$11,Paramètres!$A$1:$I$89,3,0)*0.475*44/12</f>
        <v>3.193600313317456</v>
      </c>
      <c r="BR114" s="21">
        <f>EXP(-LN(2)/2)*BR113+(1-EXP(-LN(2)/2))/(LN(2)/2)*BL114*BO114*VLOOKUP('Données projet'!$B$11,Paramètres!$A$1:$I$89,3,0)*0.475*44/12</f>
        <v>2.091527605906132E-11</v>
      </c>
      <c r="BS114" s="22">
        <f t="shared" si="63"/>
        <v>4.1120417261124178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210.04871822652808</v>
      </c>
      <c r="CE114" s="59">
        <f t="shared" si="94"/>
        <v>250.17540614049324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1.4679528711568235</v>
      </c>
      <c r="CL114" s="21">
        <f>EXP(-LN(2)/25)*CL113+(1-EXP(-LN(2)/25))/(LN(2)/25)*Calculateur!CG114*Calculateur!CI114*VLOOKUP('Données projet'!$B$12,Paramètres!$A$1:$I$89,3,0)*0.475*44/12</f>
        <v>2.9456907833861754</v>
      </c>
      <c r="CM114" s="21">
        <f>EXP(-LN(2)/2)*CM113+(1-EXP(-LN(2)/2))/(LN(2)/2)*CG114*CJ114*VLOOKUP('Données projet'!$B$12,Paramètres!$A$1:$I$89,3,0)*0.475*44/12</f>
        <v>1.3861518607083546E-11</v>
      </c>
      <c r="CN114" s="22">
        <f t="shared" si="66"/>
        <v>4.4136436545568607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4.5224624045658861E-14</v>
      </c>
      <c r="CV114" s="13">
        <f t="shared" si="95"/>
        <v>7.4514601661523691E-13</v>
      </c>
      <c r="CW114" s="20">
        <f t="shared" si="67"/>
        <v>1.3765621991510601E-12</v>
      </c>
      <c r="CX114" s="59">
        <f t="shared" si="68"/>
        <v>293.33333333333468</v>
      </c>
      <c r="CY114" s="59">
        <f ca="1">AVERAGE(OFFSET($CX$3,0,0,'Données projet'!$E$13+1,1))-AVERAGE(OFFSET($H$3,0,0,'Données projet'!$E$13+1,1))</f>
        <v>199.58763537752952</v>
      </c>
      <c r="CZ114" s="59">
        <f t="shared" si="96"/>
        <v>242.62852778451929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1.0883827653260791</v>
      </c>
      <c r="DH114" s="21">
        <f>EXP(-LN(2)/2)*DH113+(1-EXP(-LN(2)/2))/(LN(2)/2)*DB114*DE114*VLOOKUP('Données projet'!$B$13,Paramètres!$A$1:$I$89,3,0)*0.475*44/12</f>
        <v>6.9208644308501099E-12</v>
      </c>
      <c r="DI114" s="22">
        <f t="shared" si="69"/>
        <v>1.088382765333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-4.5474735088646412E-13</v>
      </c>
      <c r="DP114" s="17">
        <f>DO114*VLOOKUP('Données projet'!$B$14,Paramètres!$A$1:$I$89,3,0)*VLOOKUP('Données projet'!$B$14,Paramètres!$A$1:$I$89,5,0)</f>
        <v>-2.7193891583010558E-13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216.94426559495264</v>
      </c>
      <c r="DU114" s="59">
        <f t="shared" si="98"/>
        <v>225.33715877618704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1.3600067099799844</v>
      </c>
      <c r="EC114" s="21">
        <f>EXP(-LN(2)/2)*EC113+(1-EXP(-LN(2)/2))/(LN(2)/2)*DW114*DZ114*VLOOKUP('Données projet'!$B$14,Paramètres!$A$1:$I$89,3,0)*0.475*44/12</f>
        <v>1.5260585569188472E-11</v>
      </c>
      <c r="ED114" s="22">
        <f t="shared" si="72"/>
        <v>1.3600067099952451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6.8212102632969618E-13</v>
      </c>
      <c r="EK114" s="17">
        <f>EJ114*VLOOKUP('Données projet'!$B$15,Paramètres!$A$1:$I$89,3,0)*VLOOKUP('Données projet'!$B$15,Paramètres!$A$1:$I$89,5,0)</f>
        <v>3.2810021366458383E-13</v>
      </c>
      <c r="EL114" s="13">
        <f t="shared" si="99"/>
        <v>4.2923528923937213E-12</v>
      </c>
      <c r="EM114" s="20">
        <f t="shared" si="73"/>
        <v>8.0472891597182151E-12</v>
      </c>
      <c r="EN114" s="59">
        <f t="shared" si="74"/>
        <v>293.33333333334139</v>
      </c>
      <c r="EO114" s="59">
        <f ca="1">AVERAGE(OFFSET($EN$3,0,0,'Données projet'!$E$15+1,1))-AVERAGE(OFFSET($H$3,0,0,'Données projet'!$E$15+1,1))</f>
        <v>292.1792787220852</v>
      </c>
      <c r="EP114" s="59">
        <f t="shared" si="100"/>
        <v>273.69206144662144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1.3547773663510827</v>
      </c>
      <c r="EW114" s="21">
        <f>EXP(-LN(2)/25)*EW113+(1-EXP(-LN(2)/25))/(LN(2)/25)*Calculateur!ER114*Calculateur!ET114*VLOOKUP('Données projet'!$B$15,Paramètres!$A$1:$I$89,3,0)*0.475*44/12</f>
        <v>1.4207471796040436</v>
      </c>
      <c r="EX114" s="21">
        <f>EXP(-LN(2)/2)*EX113+(1-EXP(-LN(2)/2))/(LN(2)/2)*ER114*EU114*VLOOKUP('Données projet'!$B$15,Paramètres!$A$1:$I$89,3,0)*0.475*44/12</f>
        <v>1.3449217454389411E-11</v>
      </c>
      <c r="EY114" s="22">
        <f t="shared" si="75"/>
        <v>2.7755245459685756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215.23235148064941</v>
      </c>
      <c r="T115" s="59">
        <f t="shared" si="88"/>
        <v>184.07239726900434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0.61788735092742364</v>
      </c>
      <c r="AA115" s="21">
        <f>EXP(-LN(2)/25)*AA114+(1-EXP(-LN(2)/25))/(LN(2)/25)*Calculateur!V115*Calculateur!X115*VLOOKUP('Données projet'!$B$9,Paramètres!$A$1:$I$89,3,0)*0.475*44/12</f>
        <v>0.80871123480180518</v>
      </c>
      <c r="AB115" s="21">
        <f>EXP(-LN(2)/2)*AB114+(1-EXP(-LN(2)/2))/(LN(2)/2)*V115*Y115*VLOOKUP('Données projet'!$B$9,Paramètres!$A$1:$I$89,3,0)*0.475*44/12</f>
        <v>4.4711562078628012E-12</v>
      </c>
      <c r="AC115" s="22">
        <f t="shared" si="57"/>
        <v>1.4265985857337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-8.5265128291212022E-14</v>
      </c>
      <c r="AJ115" s="13">
        <f>AI115*VLOOKUP('Données projet'!$B$10,Paramètres!$A$1:$I$89,3,0)*VLOOKUP('Données projet'!$B$10,Paramètres!$A$1:$I$89,5,0)</f>
        <v>-7.7147888077888636E-14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225.28075317732998</v>
      </c>
      <c r="AO115" s="59">
        <f t="shared" si="90"/>
        <v>358.43407531256207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0.44224248394054411</v>
      </c>
      <c r="AV115" s="21">
        <f>EXP(-LN(2)/25)*AV114+(1-EXP(-LN(2)/25))/(LN(2)/25)*Calculateur!AQ115*Calculateur!AS115*VLOOKUP('Données projet'!$B$10,Paramètres!$A$1:$I$89,3,0)*0.475*44/12</f>
        <v>0.8515989470033315</v>
      </c>
      <c r="AW115" s="21">
        <f>EXP(-LN(2)/2)*AW114+(1-EXP(-LN(2)/2))/(LN(2)/2)*AQ115*AT115*VLOOKUP('Données projet'!$B$10,Paramètres!$A$1:$I$89,3,0)*0.475*44/12</f>
        <v>2.0072644087893075E-12</v>
      </c>
      <c r="AX115" s="21">
        <f t="shared" si="60"/>
        <v>1.293841430945883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-5.6843418860808015E-13</v>
      </c>
      <c r="BE115" s="13">
        <f>BD115*VLOOKUP('Données projet'!$B$11,Paramètres!$A$1:$I$89,3,0)*VLOOKUP('Données projet'!$B$11,Paramètres!$A$1:$I$89,5,0)</f>
        <v>-3.177547114319168E-13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326.31232746914907</v>
      </c>
      <c r="BJ115" s="59">
        <f t="shared" si="92"/>
        <v>330.17137761430297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0.90043133686349397</v>
      </c>
      <c r="BQ115" s="21">
        <f>EXP(-LN(2)/25)*BQ114+(1-EXP(-LN(2)/25))/(LN(2)/25)*Calculateur!BL115*Calculateur!BN115*VLOOKUP('Données projet'!$B$11,Paramètres!$A$1:$I$89,3,0)*0.475*44/12</f>
        <v>3.1062711448056488</v>
      </c>
      <c r="BR115" s="21">
        <f>EXP(-LN(2)/2)*BR114+(1-EXP(-LN(2)/2))/(LN(2)/2)*BL115*BO115*VLOOKUP('Données projet'!$B$11,Paramètres!$A$1:$I$89,3,0)*0.475*44/12</f>
        <v>1.4789333531750909E-11</v>
      </c>
      <c r="BS115" s="22">
        <f t="shared" si="63"/>
        <v>4.0067024816839316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210.04871822652808</v>
      </c>
      <c r="CE115" s="59">
        <f t="shared" si="94"/>
        <v>250.17540614049324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1.4391672107162798</v>
      </c>
      <c r="CL115" s="21">
        <f>EXP(-LN(2)/25)*CL114+(1-EXP(-LN(2)/25))/(LN(2)/25)*Calculateur!CG115*Calculateur!CI115*VLOOKUP('Données projet'!$B$12,Paramètres!$A$1:$I$89,3,0)*0.475*44/12</f>
        <v>2.8651407140073344</v>
      </c>
      <c r="CM115" s="21">
        <f>EXP(-LN(2)/2)*CM114+(1-EXP(-LN(2)/2))/(LN(2)/2)*CG115*CJ115*VLOOKUP('Données projet'!$B$12,Paramètres!$A$1:$I$89,3,0)*0.475*44/12</f>
        <v>9.8015738046122815E-12</v>
      </c>
      <c r="CN115" s="22">
        <f t="shared" si="66"/>
        <v>4.3043079247334166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4.5224624045658861E-14</v>
      </c>
      <c r="CV115" s="13">
        <f t="shared" si="95"/>
        <v>7.4514601661523691E-13</v>
      </c>
      <c r="CW115" s="20">
        <f t="shared" si="67"/>
        <v>1.3765621991510601E-12</v>
      </c>
      <c r="CX115" s="59">
        <f t="shared" si="68"/>
        <v>293.33333333333468</v>
      </c>
      <c r="CY115" s="59">
        <f ca="1">AVERAGE(OFFSET($CX$3,0,0,'Données projet'!$E$13+1,1))-AVERAGE(OFFSET($H$3,0,0,'Données projet'!$E$13+1,1))</f>
        <v>199.58763537752952</v>
      </c>
      <c r="CZ115" s="59">
        <f t="shared" si="96"/>
        <v>242.62852778451929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1.0586208813726754</v>
      </c>
      <c r="DH115" s="21">
        <f>EXP(-LN(2)/2)*DH114+(1-EXP(-LN(2)/2))/(LN(2)/2)*DB115*DE115*VLOOKUP('Données projet'!$B$13,Paramètres!$A$1:$I$89,3,0)*0.475*44/12</f>
        <v>4.8937901707268883E-12</v>
      </c>
      <c r="DI115" s="22">
        <f t="shared" si="69"/>
        <v>1.0586208813775693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-4.5474735088646412E-13</v>
      </c>
      <c r="DP115" s="17">
        <f>DO115*VLOOKUP('Données projet'!$B$14,Paramètres!$A$1:$I$89,3,0)*VLOOKUP('Données projet'!$B$14,Paramètres!$A$1:$I$89,5,0)</f>
        <v>-2.7193891583010558E-13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216.94426559495264</v>
      </c>
      <c r="DU115" s="59">
        <f t="shared" si="98"/>
        <v>225.33715877618704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1.3228172549759372</v>
      </c>
      <c r="EC115" s="21">
        <f>EXP(-LN(2)/2)*EC114+(1-EXP(-LN(2)/2))/(LN(2)/2)*DW115*DZ115*VLOOKUP('Données projet'!$B$14,Paramètres!$A$1:$I$89,3,0)*0.475*44/12</f>
        <v>1.0790863540850738E-11</v>
      </c>
      <c r="ED115" s="22">
        <f t="shared" si="72"/>
        <v>1.3228172549867281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6.8212102632969618E-13</v>
      </c>
      <c r="EK115" s="17">
        <f>EJ115*VLOOKUP('Données projet'!$B$15,Paramètres!$A$1:$I$89,3,0)*VLOOKUP('Données projet'!$B$15,Paramètres!$A$1:$I$89,5,0)</f>
        <v>3.2810021366458383E-13</v>
      </c>
      <c r="EL115" s="13">
        <f t="shared" si="99"/>
        <v>4.2923528923937213E-12</v>
      </c>
      <c r="EM115" s="20">
        <f t="shared" si="73"/>
        <v>8.0472891597182151E-12</v>
      </c>
      <c r="EN115" s="59">
        <f t="shared" si="74"/>
        <v>293.33333333334139</v>
      </c>
      <c r="EO115" s="59">
        <f ca="1">AVERAGE(OFFSET($EN$3,0,0,'Données projet'!$E$15+1,1))-AVERAGE(OFFSET($H$3,0,0,'Données projet'!$E$15+1,1))</f>
        <v>292.1792787220852</v>
      </c>
      <c r="EP115" s="59">
        <f t="shared" si="100"/>
        <v>273.69206144662144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1.3282110085295378</v>
      </c>
      <c r="EW115" s="21">
        <f>EXP(-LN(2)/25)*EW114+(1-EXP(-LN(2)/25))/(LN(2)/25)*Calculateur!ER115*Calculateur!ET115*VLOOKUP('Données projet'!$B$15,Paramètres!$A$1:$I$89,3,0)*0.475*44/12</f>
        <v>1.381896773263924</v>
      </c>
      <c r="EX115" s="21">
        <f>EXP(-LN(2)/2)*EX114+(1-EXP(-LN(2)/2))/(LN(2)/2)*ER115*EU115*VLOOKUP('Données projet'!$B$15,Paramètres!$A$1:$I$89,3,0)*0.475*44/12</f>
        <v>9.5100328636512291E-12</v>
      </c>
      <c r="EY115" s="22">
        <f t="shared" si="75"/>
        <v>2.710107781802972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215.23235148064941</v>
      </c>
      <c r="T116" s="59">
        <f t="shared" si="88"/>
        <v>184.07239726900434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0.60577095684980775</v>
      </c>
      <c r="AA116" s="21">
        <f>EXP(-LN(2)/25)*AA115+(1-EXP(-LN(2)/25))/(LN(2)/25)*Calculateur!V116*Calculateur!X116*VLOOKUP('Données projet'!$B$9,Paramètres!$A$1:$I$89,3,0)*0.475*44/12</f>
        <v>0.78659698355787433</v>
      </c>
      <c r="AB116" s="21">
        <f>EXP(-LN(2)/2)*AB115+(1-EXP(-LN(2)/2))/(LN(2)/2)*V116*Y116*VLOOKUP('Données projet'!$B$9,Paramètres!$A$1:$I$89,3,0)*0.475*44/12</f>
        <v>3.1615848743241154E-12</v>
      </c>
      <c r="AC116" s="22">
        <f t="shared" si="57"/>
        <v>1.3923679404108438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-8.5265128291212022E-14</v>
      </c>
      <c r="AJ116" s="13">
        <f>AI116*VLOOKUP('Données projet'!$B$10,Paramètres!$A$1:$I$89,3,0)*VLOOKUP('Données projet'!$B$10,Paramètres!$A$1:$I$89,5,0)</f>
        <v>-7.7147888077888636E-14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225.28075317732998</v>
      </c>
      <c r="AO116" s="59">
        <f t="shared" si="90"/>
        <v>358.43407531256207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0.43357037857175051</v>
      </c>
      <c r="AV116" s="21">
        <f>EXP(-LN(2)/25)*AV115+(1-EXP(-LN(2)/25))/(LN(2)/25)*Calculateur!AQ116*Calculateur!AS116*VLOOKUP('Données projet'!$B$10,Paramètres!$A$1:$I$89,3,0)*0.475*44/12</f>
        <v>0.82831192901388317</v>
      </c>
      <c r="AW116" s="21">
        <f>EXP(-LN(2)/2)*AW115+(1-EXP(-LN(2)/2))/(LN(2)/2)*AQ116*AT116*VLOOKUP('Données projet'!$B$10,Paramètres!$A$1:$I$89,3,0)*0.475*44/12</f>
        <v>1.4193502750893256E-12</v>
      </c>
      <c r="AX116" s="21">
        <f t="shared" si="60"/>
        <v>1.2618823075870531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-5.6843418860808015E-13</v>
      </c>
      <c r="BE116" s="13">
        <f>BD116*VLOOKUP('Données projet'!$B$11,Paramètres!$A$1:$I$89,3,0)*VLOOKUP('Données projet'!$B$11,Paramètres!$A$1:$I$89,5,0)</f>
        <v>-3.177547114319168E-13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326.31232746914907</v>
      </c>
      <c r="BJ116" s="59">
        <f t="shared" si="92"/>
        <v>330.17137761430297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0.8827744275564865</v>
      </c>
      <c r="BQ116" s="21">
        <f>EXP(-LN(2)/25)*BQ115+(1-EXP(-LN(2)/25))/(LN(2)/25)*Calculateur!BL116*Calculateur!BN116*VLOOKUP('Données projet'!$B$11,Paramètres!$A$1:$I$89,3,0)*0.475*44/12</f>
        <v>3.0213299969992384</v>
      </c>
      <c r="BR116" s="21">
        <f>EXP(-LN(2)/2)*BR115+(1-EXP(-LN(2)/2))/(LN(2)/2)*BL116*BO116*VLOOKUP('Données projet'!$B$11,Paramètres!$A$1:$I$89,3,0)*0.475*44/12</f>
        <v>1.045763802953066E-11</v>
      </c>
      <c r="BS116" s="22">
        <f t="shared" si="63"/>
        <v>3.9041044245661829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210.04871822652808</v>
      </c>
      <c r="CE116" s="59">
        <f t="shared" si="94"/>
        <v>250.17540614049324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1.4109460195194561</v>
      </c>
      <c r="CL116" s="21">
        <f>EXP(-LN(2)/25)*CL115+(1-EXP(-LN(2)/25))/(LN(2)/25)*Calculateur!CG116*Calculateur!CI116*VLOOKUP('Données projet'!$B$12,Paramètres!$A$1:$I$89,3,0)*0.475*44/12</f>
        <v>2.7867932905116022</v>
      </c>
      <c r="CM116" s="21">
        <f>EXP(-LN(2)/2)*CM115+(1-EXP(-LN(2)/2))/(LN(2)/2)*CG116*CJ116*VLOOKUP('Données projet'!$B$12,Paramètres!$A$1:$I$89,3,0)*0.475*44/12</f>
        <v>6.9307593035417728E-12</v>
      </c>
      <c r="CN116" s="22">
        <f t="shared" si="66"/>
        <v>4.1977393100379885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4.5224624045658861E-14</v>
      </c>
      <c r="CV116" s="13">
        <f t="shared" si="95"/>
        <v>7.4514601661523691E-13</v>
      </c>
      <c r="CW116" s="20">
        <f t="shared" si="67"/>
        <v>1.3765621991510601E-12</v>
      </c>
      <c r="CX116" s="59">
        <f t="shared" si="68"/>
        <v>293.33333333333468</v>
      </c>
      <c r="CY116" s="59">
        <f ca="1">AVERAGE(OFFSET($CX$3,0,0,'Données projet'!$E$13+1,1))-AVERAGE(OFFSET($H$3,0,0,'Données projet'!$E$13+1,1))</f>
        <v>199.58763537752952</v>
      </c>
      <c r="CZ116" s="59">
        <f t="shared" si="96"/>
        <v>242.62852778451929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1.0296728377010869</v>
      </c>
      <c r="DH116" s="21">
        <f>EXP(-LN(2)/2)*DH115+(1-EXP(-LN(2)/2))/(LN(2)/2)*DB116*DE116*VLOOKUP('Données projet'!$B$13,Paramètres!$A$1:$I$89,3,0)*0.475*44/12</f>
        <v>3.4604322154250549E-12</v>
      </c>
      <c r="DI116" s="22">
        <f t="shared" si="69"/>
        <v>1.0296728377045472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-4.5474735088646412E-13</v>
      </c>
      <c r="DP116" s="17">
        <f>DO116*VLOOKUP('Données projet'!$B$14,Paramètres!$A$1:$I$89,3,0)*VLOOKUP('Données projet'!$B$14,Paramètres!$A$1:$I$89,5,0)</f>
        <v>-2.7193891583010558E-13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216.94426559495264</v>
      </c>
      <c r="DU116" s="59">
        <f t="shared" si="98"/>
        <v>225.33715877618704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1.2866447475746841</v>
      </c>
      <c r="EC116" s="21">
        <f>EXP(-LN(2)/2)*EC115+(1-EXP(-LN(2)/2))/(LN(2)/2)*DW116*DZ116*VLOOKUP('Données projet'!$B$14,Paramètres!$A$1:$I$89,3,0)*0.475*44/12</f>
        <v>7.6302927845942359E-12</v>
      </c>
      <c r="ED116" s="22">
        <f t="shared" si="72"/>
        <v>1.2866447475823144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6.8212102632969618E-13</v>
      </c>
      <c r="EK116" s="17">
        <f>EJ116*VLOOKUP('Données projet'!$B$15,Paramètres!$A$1:$I$89,3,0)*VLOOKUP('Données projet'!$B$15,Paramètres!$A$1:$I$89,5,0)</f>
        <v>3.2810021366458383E-13</v>
      </c>
      <c r="EL116" s="13">
        <f t="shared" si="99"/>
        <v>4.2923528923937213E-12</v>
      </c>
      <c r="EM116" s="20">
        <f t="shared" si="73"/>
        <v>8.0472891597182151E-12</v>
      </c>
      <c r="EN116" s="59">
        <f t="shared" si="74"/>
        <v>293.33333333334139</v>
      </c>
      <c r="EO116" s="59">
        <f ca="1">AVERAGE(OFFSET($EN$3,0,0,'Données projet'!$E$15+1,1))-AVERAGE(OFFSET($H$3,0,0,'Données projet'!$E$15+1,1))</f>
        <v>292.1792787220852</v>
      </c>
      <c r="EP116" s="59">
        <f t="shared" si="100"/>
        <v>273.69206144662144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1.3021656007809952</v>
      </c>
      <c r="EW116" s="21">
        <f>EXP(-LN(2)/25)*EW115+(1-EXP(-LN(2)/25))/(LN(2)/25)*Calculateur!ER116*Calculateur!ET116*VLOOKUP('Données projet'!$B$15,Paramètres!$A$1:$I$89,3,0)*0.475*44/12</f>
        <v>1.3441087333282291</v>
      </c>
      <c r="EX116" s="21">
        <f>EXP(-LN(2)/2)*EX115+(1-EXP(-LN(2)/2))/(LN(2)/2)*ER116*EU116*VLOOKUP('Données projet'!$B$15,Paramètres!$A$1:$I$89,3,0)*0.475*44/12</f>
        <v>6.7246087271947057E-12</v>
      </c>
      <c r="EY116" s="22">
        <f t="shared" si="75"/>
        <v>2.6462743341159487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215.23235148064941</v>
      </c>
      <c r="T117" s="59">
        <f t="shared" si="88"/>
        <v>184.07239726900434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0.59389215786978322</v>
      </c>
      <c r="AA117" s="21">
        <f>EXP(-LN(2)/25)*AA116+(1-EXP(-LN(2)/25))/(LN(2)/25)*Calculateur!V117*Calculateur!X117*VLOOKUP('Données projet'!$B$9,Paramètres!$A$1:$I$89,3,0)*0.475*44/12</f>
        <v>0.76508744767714665</v>
      </c>
      <c r="AB117" s="21">
        <f>EXP(-LN(2)/2)*AB116+(1-EXP(-LN(2)/2))/(LN(2)/2)*V117*Y117*VLOOKUP('Données projet'!$B$9,Paramètres!$A$1:$I$89,3,0)*0.475*44/12</f>
        <v>2.2355781039314006E-12</v>
      </c>
      <c r="AC117" s="22">
        <f t="shared" si="57"/>
        <v>1.3589796055491654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-8.5265128291212022E-14</v>
      </c>
      <c r="AJ117" s="13">
        <f>AI117*VLOOKUP('Données projet'!$B$10,Paramètres!$A$1:$I$89,3,0)*VLOOKUP('Données projet'!$B$10,Paramètres!$A$1:$I$89,5,0)</f>
        <v>-7.7147888077888636E-14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225.28075317732998</v>
      </c>
      <c r="AO117" s="59">
        <f t="shared" si="90"/>
        <v>358.43407531256207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0.42506832789977694</v>
      </c>
      <c r="AV117" s="21">
        <f>EXP(-LN(2)/25)*AV116+(1-EXP(-LN(2)/25))/(LN(2)/25)*Calculateur!AQ117*Calculateur!AS117*VLOOKUP('Données projet'!$B$10,Paramètres!$A$1:$I$89,3,0)*0.475*44/12</f>
        <v>0.80566169575596736</v>
      </c>
      <c r="AW117" s="21">
        <f>EXP(-LN(2)/2)*AW116+(1-EXP(-LN(2)/2))/(LN(2)/2)*AQ117*AT117*VLOOKUP('Données projet'!$B$10,Paramètres!$A$1:$I$89,3,0)*0.475*44/12</f>
        <v>1.0036322043946538E-12</v>
      </c>
      <c r="AX117" s="21">
        <f t="shared" si="60"/>
        <v>1.230730023656748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-5.6843418860808015E-13</v>
      </c>
      <c r="BE117" s="13">
        <f>BD117*VLOOKUP('Données projet'!$B$11,Paramètres!$A$1:$I$89,3,0)*VLOOKUP('Données projet'!$B$11,Paramètres!$A$1:$I$89,5,0)</f>
        <v>-3.177547114319168E-13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326.31232746914907</v>
      </c>
      <c r="BJ117" s="59">
        <f t="shared" si="92"/>
        <v>330.17137761430297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0.86546375947133813</v>
      </c>
      <c r="BQ117" s="21">
        <f>EXP(-LN(2)/25)*BQ116+(1-EXP(-LN(2)/25))/(LN(2)/25)*Calculateur!BL117*Calculateur!BN117*VLOOKUP('Données projet'!$B$11,Paramètres!$A$1:$I$89,3,0)*0.475*44/12</f>
        <v>2.9387115693464549</v>
      </c>
      <c r="BR117" s="21">
        <f>EXP(-LN(2)/2)*BR116+(1-EXP(-LN(2)/2))/(LN(2)/2)*BL117*BO117*VLOOKUP('Données projet'!$B$11,Paramètres!$A$1:$I$89,3,0)*0.475*44/12</f>
        <v>7.3946667658754545E-12</v>
      </c>
      <c r="BS117" s="22">
        <f t="shared" si="63"/>
        <v>3.8041753288251878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210.04871822652808</v>
      </c>
      <c r="CE117" s="59">
        <f t="shared" si="94"/>
        <v>250.17540614049324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1.383278228668775</v>
      </c>
      <c r="CL117" s="21">
        <f>EXP(-LN(2)/25)*CL116+(1-EXP(-LN(2)/25))/(LN(2)/25)*Calculateur!CG117*Calculateur!CI117*VLOOKUP('Données projet'!$B$12,Paramètres!$A$1:$I$89,3,0)*0.475*44/12</f>
        <v>2.7105882814314728</v>
      </c>
      <c r="CM117" s="21">
        <f>EXP(-LN(2)/2)*CM116+(1-EXP(-LN(2)/2))/(LN(2)/2)*CG117*CJ117*VLOOKUP('Données projet'!$B$12,Paramètres!$A$1:$I$89,3,0)*0.475*44/12</f>
        <v>4.9007869023061408E-12</v>
      </c>
      <c r="CN117" s="22">
        <f t="shared" si="66"/>
        <v>4.0938665101051486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4.5224624045658861E-14</v>
      </c>
      <c r="CV117" s="13">
        <f t="shared" si="95"/>
        <v>7.4514601661523691E-13</v>
      </c>
      <c r="CW117" s="20">
        <f t="shared" si="67"/>
        <v>1.3765621991510601E-12</v>
      </c>
      <c r="CX117" s="59">
        <f t="shared" si="68"/>
        <v>293.33333333333468</v>
      </c>
      <c r="CY117" s="59">
        <f ca="1">AVERAGE(OFFSET($CX$3,0,0,'Données projet'!$E$13+1,1))-AVERAGE(OFFSET($H$3,0,0,'Données projet'!$E$13+1,1))</f>
        <v>199.58763537752952</v>
      </c>
      <c r="CZ117" s="59">
        <f t="shared" si="96"/>
        <v>242.62852778451929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1.0015163798060094</v>
      </c>
      <c r="DH117" s="21">
        <f>EXP(-LN(2)/2)*DH116+(1-EXP(-LN(2)/2))/(LN(2)/2)*DB117*DE117*VLOOKUP('Données projet'!$B$13,Paramètres!$A$1:$I$89,3,0)*0.475*44/12</f>
        <v>2.4468950853634442E-12</v>
      </c>
      <c r="DI117" s="22">
        <f t="shared" si="69"/>
        <v>1.0015163798084563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-4.5474735088646412E-13</v>
      </c>
      <c r="DP117" s="17">
        <f>DO117*VLOOKUP('Données projet'!$B$14,Paramètres!$A$1:$I$89,3,0)*VLOOKUP('Données projet'!$B$14,Paramètres!$A$1:$I$89,5,0)</f>
        <v>-2.7193891583010558E-13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216.94426559495264</v>
      </c>
      <c r="DU117" s="59">
        <f t="shared" si="98"/>
        <v>225.33715877618704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1.2514613792905478</v>
      </c>
      <c r="EC117" s="21">
        <f>EXP(-LN(2)/2)*EC116+(1-EXP(-LN(2)/2))/(LN(2)/2)*DW117*DZ117*VLOOKUP('Données projet'!$B$14,Paramètres!$A$1:$I$89,3,0)*0.475*44/12</f>
        <v>5.3954317704253689E-12</v>
      </c>
      <c r="ED117" s="22">
        <f t="shared" si="72"/>
        <v>1.2514613792959433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6.8212102632969618E-13</v>
      </c>
      <c r="EK117" s="17">
        <f>EJ117*VLOOKUP('Données projet'!$B$15,Paramètres!$A$1:$I$89,3,0)*VLOOKUP('Données projet'!$B$15,Paramètres!$A$1:$I$89,5,0)</f>
        <v>3.2810021366458383E-13</v>
      </c>
      <c r="EL117" s="13">
        <f t="shared" si="99"/>
        <v>4.2923528923937213E-12</v>
      </c>
      <c r="EM117" s="20">
        <f t="shared" si="73"/>
        <v>8.0472891597182151E-12</v>
      </c>
      <c r="EN117" s="59">
        <f t="shared" si="74"/>
        <v>293.33333333334139</v>
      </c>
      <c r="EO117" s="59">
        <f ca="1">AVERAGE(OFFSET($EN$3,0,0,'Données projet'!$E$15+1,1))-AVERAGE(OFFSET($H$3,0,0,'Données projet'!$E$15+1,1))</f>
        <v>292.1792787220852</v>
      </c>
      <c r="EP117" s="59">
        <f t="shared" si="100"/>
        <v>273.69206144662144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1.2766309275922714</v>
      </c>
      <c r="EW117" s="21">
        <f>EXP(-LN(2)/25)*EW116+(1-EXP(-LN(2)/25))/(LN(2)/25)*Calculateur!ER117*Calculateur!ET117*VLOOKUP('Données projet'!$B$15,Paramètres!$A$1:$I$89,3,0)*0.475*44/12</f>
        <v>1.3073540093317624</v>
      </c>
      <c r="EX117" s="21">
        <f>EXP(-LN(2)/2)*EX116+(1-EXP(-LN(2)/2))/(LN(2)/2)*ER117*EU117*VLOOKUP('Données projet'!$B$15,Paramètres!$A$1:$I$89,3,0)*0.475*44/12</f>
        <v>4.7550164318256145E-12</v>
      </c>
      <c r="EY117" s="22">
        <f t="shared" si="75"/>
        <v>2.5839849369287884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215.23235148064941</v>
      </c>
      <c r="T118" s="59">
        <f t="shared" si="88"/>
        <v>184.07239726900434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0.58224629489240498</v>
      </c>
      <c r="AA118" s="21">
        <f>EXP(-LN(2)/25)*AA117+(1-EXP(-LN(2)/25))/(LN(2)/25)*Calculateur!V118*Calculateur!X118*VLOOKUP('Données projet'!$B$9,Paramètres!$A$1:$I$89,3,0)*0.475*44/12</f>
        <v>0.7441660911862148</v>
      </c>
      <c r="AB118" s="21">
        <f>EXP(-LN(2)/2)*AB117+(1-EXP(-LN(2)/2))/(LN(2)/2)*V118*Y118*VLOOKUP('Données projet'!$B$9,Paramètres!$A$1:$I$89,3,0)*0.475*44/12</f>
        <v>1.5807924371620577E-12</v>
      </c>
      <c r="AC118" s="22">
        <f t="shared" si="57"/>
        <v>1.3264123860802004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-8.5265128291212022E-14</v>
      </c>
      <c r="AJ118" s="13">
        <f>AI118*VLOOKUP('Données projet'!$B$10,Paramètres!$A$1:$I$89,3,0)*VLOOKUP('Données projet'!$B$10,Paramètres!$A$1:$I$89,5,0)</f>
        <v>-7.7147888077888636E-14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225.28075317732998</v>
      </c>
      <c r="AO118" s="59">
        <f t="shared" si="90"/>
        <v>358.43407531256207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0.41673299725574192</v>
      </c>
      <c r="AV118" s="21">
        <f>EXP(-LN(2)/25)*AV117+(1-EXP(-LN(2)/25))/(LN(2)/25)*Calculateur!AQ118*Calculateur!AS118*VLOOKUP('Données projet'!$B$10,Paramètres!$A$1:$I$89,3,0)*0.475*44/12</f>
        <v>0.78363083431761327</v>
      </c>
      <c r="AW118" s="21">
        <f>EXP(-LN(2)/2)*AW117+(1-EXP(-LN(2)/2))/(LN(2)/2)*AQ118*AT118*VLOOKUP('Données projet'!$B$10,Paramètres!$A$1:$I$89,3,0)*0.475*44/12</f>
        <v>7.0967513754466279E-13</v>
      </c>
      <c r="AX118" s="21">
        <f t="shared" si="60"/>
        <v>1.2003638315740648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-5.6843418860808015E-13</v>
      </c>
      <c r="BE118" s="13">
        <f>BD118*VLOOKUP('Données projet'!$B$11,Paramètres!$A$1:$I$89,3,0)*VLOOKUP('Données projet'!$B$11,Paramètres!$A$1:$I$89,5,0)</f>
        <v>-3.177547114319168E-13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326.31232746914907</v>
      </c>
      <c r="BJ118" s="59">
        <f t="shared" si="92"/>
        <v>330.17137761430297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0.84849254302887456</v>
      </c>
      <c r="BQ118" s="21">
        <f>EXP(-LN(2)/25)*BQ117+(1-EXP(-LN(2)/25))/(LN(2)/25)*Calculateur!BL118*Calculateur!BN118*VLOOKUP('Données projet'!$B$11,Paramètres!$A$1:$I$89,3,0)*0.475*44/12</f>
        <v>2.8583523469425511</v>
      </c>
      <c r="BR118" s="21">
        <f>EXP(-LN(2)/2)*BR117+(1-EXP(-LN(2)/2))/(LN(2)/2)*BL118*BO118*VLOOKUP('Données projet'!$B$11,Paramètres!$A$1:$I$89,3,0)*0.475*44/12</f>
        <v>5.22881901476533E-12</v>
      </c>
      <c r="BS118" s="22">
        <f t="shared" si="63"/>
        <v>3.7068448899766544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210.04871822652808</v>
      </c>
      <c r="CE118" s="59">
        <f t="shared" si="94"/>
        <v>250.17540614049324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1.3561529863209898</v>
      </c>
      <c r="CL118" s="21">
        <f>EXP(-LN(2)/25)*CL117+(1-EXP(-LN(2)/25))/(LN(2)/25)*Calculateur!CG118*Calculateur!CI118*VLOOKUP('Données projet'!$B$12,Paramètres!$A$1:$I$89,3,0)*0.475*44/12</f>
        <v>2.6364671023320865</v>
      </c>
      <c r="CM118" s="21">
        <f>EXP(-LN(2)/2)*CM117+(1-EXP(-LN(2)/2))/(LN(2)/2)*CG118*CJ118*VLOOKUP('Données projet'!$B$12,Paramètres!$A$1:$I$89,3,0)*0.475*44/12</f>
        <v>3.4653796517708864E-12</v>
      </c>
      <c r="CN118" s="22">
        <f t="shared" si="66"/>
        <v>3.9926200886565417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4.5224624045658861E-14</v>
      </c>
      <c r="CV118" s="13">
        <f t="shared" si="95"/>
        <v>7.4514601661523691E-13</v>
      </c>
      <c r="CW118" s="20">
        <f t="shared" si="67"/>
        <v>1.3765621991510601E-12</v>
      </c>
      <c r="CX118" s="59">
        <f t="shared" si="68"/>
        <v>293.33333333333468</v>
      </c>
      <c r="CY118" s="59">
        <f ca="1">AVERAGE(OFFSET($CX$3,0,0,'Données projet'!$E$13+1,1))-AVERAGE(OFFSET($H$3,0,0,'Données projet'!$E$13+1,1))</f>
        <v>199.58763537752952</v>
      </c>
      <c r="CZ118" s="59">
        <f t="shared" si="96"/>
        <v>242.62852778451929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0.97412986173275662</v>
      </c>
      <c r="DH118" s="21">
        <f>EXP(-LN(2)/2)*DH117+(1-EXP(-LN(2)/2))/(LN(2)/2)*DB118*DE118*VLOOKUP('Données projet'!$B$13,Paramètres!$A$1:$I$89,3,0)*0.475*44/12</f>
        <v>1.7302161077125275E-12</v>
      </c>
      <c r="DI118" s="22">
        <f t="shared" si="69"/>
        <v>0.97412986173448679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-4.5474735088646412E-13</v>
      </c>
      <c r="DP118" s="17">
        <f>DO118*VLOOKUP('Données projet'!$B$14,Paramètres!$A$1:$I$89,3,0)*VLOOKUP('Données projet'!$B$14,Paramètres!$A$1:$I$89,5,0)</f>
        <v>-2.7193891583010558E-13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216.94426559495264</v>
      </c>
      <c r="DU118" s="59">
        <f t="shared" si="98"/>
        <v>225.33715877618704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1.217240102062354</v>
      </c>
      <c r="EC118" s="21">
        <f>EXP(-LN(2)/2)*EC117+(1-EXP(-LN(2)/2))/(LN(2)/2)*DW118*DZ118*VLOOKUP('Données projet'!$B$14,Paramètres!$A$1:$I$89,3,0)*0.475*44/12</f>
        <v>3.8151463922971179E-12</v>
      </c>
      <c r="ED118" s="22">
        <f t="shared" si="72"/>
        <v>1.2172401020661692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6.8212102632969618E-13</v>
      </c>
      <c r="EK118" s="17">
        <f>EJ118*VLOOKUP('Données projet'!$B$15,Paramètres!$A$1:$I$89,3,0)*VLOOKUP('Données projet'!$B$15,Paramètres!$A$1:$I$89,5,0)</f>
        <v>3.2810021366458383E-13</v>
      </c>
      <c r="EL118" s="13">
        <f t="shared" si="99"/>
        <v>4.2923528923937213E-12</v>
      </c>
      <c r="EM118" s="20">
        <f t="shared" si="73"/>
        <v>8.0472891597182151E-12</v>
      </c>
      <c r="EN118" s="59">
        <f t="shared" si="74"/>
        <v>293.33333333334139</v>
      </c>
      <c r="EO118" s="59">
        <f ca="1">AVERAGE(OFFSET($EN$3,0,0,'Données projet'!$E$15+1,1))-AVERAGE(OFFSET($H$3,0,0,'Données projet'!$E$15+1,1))</f>
        <v>292.1792787220852</v>
      </c>
      <c r="EP118" s="59">
        <f t="shared" si="100"/>
        <v>273.69206144662144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1.2515969737701658</v>
      </c>
      <c r="EW118" s="21">
        <f>EXP(-LN(2)/25)*EW117+(1-EXP(-LN(2)/25))/(LN(2)/25)*Calculateur!ER118*Calculateur!ET118*VLOOKUP('Données projet'!$B$15,Paramètres!$A$1:$I$89,3,0)*0.475*44/12</f>
        <v>1.2716043451958259</v>
      </c>
      <c r="EX118" s="21">
        <f>EXP(-LN(2)/2)*EX117+(1-EXP(-LN(2)/2))/(LN(2)/2)*ER118*EU118*VLOOKUP('Données projet'!$B$15,Paramètres!$A$1:$I$89,3,0)*0.475*44/12</f>
        <v>3.3623043635973528E-12</v>
      </c>
      <c r="EY118" s="22">
        <f t="shared" si="75"/>
        <v>2.5232013189693538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215.23235148064941</v>
      </c>
      <c r="T119" s="59">
        <f t="shared" si="88"/>
        <v>184.07239726900434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0.57082880018473814</v>
      </c>
      <c r="AA119" s="21">
        <f>EXP(-LN(2)/25)*AA118+(1-EXP(-LN(2)/25))/(LN(2)/25)*Calculateur!V119*Calculateur!X119*VLOOKUP('Données projet'!$B$9,Paramètres!$A$1:$I$89,3,0)*0.475*44/12</f>
        <v>0.72381683028873378</v>
      </c>
      <c r="AB119" s="21">
        <f>EXP(-LN(2)/2)*AB118+(1-EXP(-LN(2)/2))/(LN(2)/2)*V119*Y119*VLOOKUP('Données projet'!$B$9,Paramètres!$A$1:$I$89,3,0)*0.475*44/12</f>
        <v>1.1177890519657003E-12</v>
      </c>
      <c r="AC119" s="22">
        <f t="shared" si="57"/>
        <v>1.2946456304745897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-8.5265128291212022E-14</v>
      </c>
      <c r="AJ119" s="13">
        <f>AI119*VLOOKUP('Données projet'!$B$10,Paramètres!$A$1:$I$89,3,0)*VLOOKUP('Données projet'!$B$10,Paramètres!$A$1:$I$89,5,0)</f>
        <v>-7.7147888077888636E-14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225.28075317732998</v>
      </c>
      <c r="AO119" s="59">
        <f t="shared" si="90"/>
        <v>358.43407531256207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0.40856111736158673</v>
      </c>
      <c r="AV119" s="21">
        <f>EXP(-LN(2)/25)*AV118+(1-EXP(-LN(2)/25))/(LN(2)/25)*Calculateur!AQ119*Calculateur!AS119*VLOOKUP('Données projet'!$B$10,Paramètres!$A$1:$I$89,3,0)*0.475*44/12</f>
        <v>0.76220240794384353</v>
      </c>
      <c r="AW119" s="21">
        <f>EXP(-LN(2)/2)*AW118+(1-EXP(-LN(2)/2))/(LN(2)/2)*AQ119*AT119*VLOOKUP('Données projet'!$B$10,Paramètres!$A$1:$I$89,3,0)*0.475*44/12</f>
        <v>5.0181610219732689E-13</v>
      </c>
      <c r="AX119" s="21">
        <f t="shared" si="60"/>
        <v>1.1707635253059321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-5.6843418860808015E-13</v>
      </c>
      <c r="BE119" s="13">
        <f>BD119*VLOOKUP('Données projet'!$B$11,Paramètres!$A$1:$I$89,3,0)*VLOOKUP('Données projet'!$B$11,Paramètres!$A$1:$I$89,5,0)</f>
        <v>-3.177547114319168E-13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326.31232746914907</v>
      </c>
      <c r="BJ119" s="59">
        <f t="shared" si="92"/>
        <v>330.17137761430297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0.83185412178942775</v>
      </c>
      <c r="BQ119" s="21">
        <f>EXP(-LN(2)/25)*BQ118+(1-EXP(-LN(2)/25))/(LN(2)/25)*Calculateur!BL119*Calculateur!BN119*VLOOKUP('Données projet'!$B$11,Paramètres!$A$1:$I$89,3,0)*0.475*44/12</f>
        <v>2.7801905517011898</v>
      </c>
      <c r="BR119" s="21">
        <f>EXP(-LN(2)/2)*BR118+(1-EXP(-LN(2)/2))/(LN(2)/2)*BL119*BO119*VLOOKUP('Données projet'!$B$11,Paramètres!$A$1:$I$89,3,0)*0.475*44/12</f>
        <v>3.6973333829377272E-12</v>
      </c>
      <c r="BS119" s="22">
        <f t="shared" si="63"/>
        <v>3.612044673494315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210.04871822652808</v>
      </c>
      <c r="CE119" s="59">
        <f t="shared" si="94"/>
        <v>250.17540614049324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1.3295596534308805</v>
      </c>
      <c r="CL119" s="21">
        <f>EXP(-LN(2)/25)*CL118+(1-EXP(-LN(2)/25))/(LN(2)/25)*Calculateur!CG119*Calculateur!CI119*VLOOKUP('Données projet'!$B$12,Paramètres!$A$1:$I$89,3,0)*0.475*44/12</f>
        <v>2.5643727707730366</v>
      </c>
      <c r="CM119" s="21">
        <f>EXP(-LN(2)/2)*CM118+(1-EXP(-LN(2)/2))/(LN(2)/2)*CG119*CJ119*VLOOKUP('Données projet'!$B$12,Paramètres!$A$1:$I$89,3,0)*0.475*44/12</f>
        <v>2.4503934511530704E-12</v>
      </c>
      <c r="CN119" s="22">
        <f t="shared" si="66"/>
        <v>3.8939324242063673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4.5224624045658861E-14</v>
      </c>
      <c r="CV119" s="13">
        <f t="shared" si="95"/>
        <v>7.4514601661523691E-13</v>
      </c>
      <c r="CW119" s="20">
        <f t="shared" si="67"/>
        <v>1.3765621991510601E-12</v>
      </c>
      <c r="CX119" s="59">
        <f t="shared" si="68"/>
        <v>293.33333333333468</v>
      </c>
      <c r="CY119" s="59">
        <f ca="1">AVERAGE(OFFSET($CX$3,0,0,'Données projet'!$E$13+1,1))-AVERAGE(OFFSET($H$3,0,0,'Données projet'!$E$13+1,1))</f>
        <v>199.58763537752952</v>
      </c>
      <c r="CZ119" s="59">
        <f t="shared" si="96"/>
        <v>242.62852778451929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0.94749222943641132</v>
      </c>
      <c r="DH119" s="21">
        <f>EXP(-LN(2)/2)*DH118+(1-EXP(-LN(2)/2))/(LN(2)/2)*DB119*DE119*VLOOKUP('Données projet'!$B$13,Paramètres!$A$1:$I$89,3,0)*0.475*44/12</f>
        <v>1.2234475426817221E-12</v>
      </c>
      <c r="DI119" s="22">
        <f t="shared" si="69"/>
        <v>0.94749222943763478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-4.5474735088646412E-13</v>
      </c>
      <c r="DP119" s="17">
        <f>DO119*VLOOKUP('Données projet'!$B$14,Paramètres!$A$1:$I$89,3,0)*VLOOKUP('Données projet'!$B$14,Paramètres!$A$1:$I$89,5,0)</f>
        <v>-2.7193891583010558E-13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216.94426559495264</v>
      </c>
      <c r="DU119" s="59">
        <f t="shared" si="98"/>
        <v>225.33715877618704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1.1839546074595839</v>
      </c>
      <c r="EC119" s="21">
        <f>EXP(-LN(2)/2)*EC118+(1-EXP(-LN(2)/2))/(LN(2)/2)*DW119*DZ119*VLOOKUP('Données projet'!$B$14,Paramètres!$A$1:$I$89,3,0)*0.475*44/12</f>
        <v>2.6977158852126844E-12</v>
      </c>
      <c r="ED119" s="22">
        <f t="shared" si="72"/>
        <v>1.1839546074622815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6.8212102632969618E-13</v>
      </c>
      <c r="EK119" s="17">
        <f>EJ119*VLOOKUP('Données projet'!$B$15,Paramètres!$A$1:$I$89,3,0)*VLOOKUP('Données projet'!$B$15,Paramètres!$A$1:$I$89,5,0)</f>
        <v>3.2810021366458383E-13</v>
      </c>
      <c r="EL119" s="13">
        <f t="shared" si="99"/>
        <v>4.2923528923937213E-12</v>
      </c>
      <c r="EM119" s="20">
        <f t="shared" si="73"/>
        <v>8.0472891597182151E-12</v>
      </c>
      <c r="EN119" s="59">
        <f t="shared" si="74"/>
        <v>293.33333333334139</v>
      </c>
      <c r="EO119" s="59">
        <f ca="1">AVERAGE(OFFSET($EN$3,0,0,'Données projet'!$E$15+1,1))-AVERAGE(OFFSET($H$3,0,0,'Données projet'!$E$15+1,1))</f>
        <v>292.1792787220852</v>
      </c>
      <c r="EP119" s="59">
        <f t="shared" si="100"/>
        <v>273.69206144662144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1.2270539205133075</v>
      </c>
      <c r="EW119" s="21">
        <f>EXP(-LN(2)/25)*EW118+(1-EXP(-LN(2)/25))/(LN(2)/25)*Calculateur!ER119*Calculateur!ET119*VLOOKUP('Données projet'!$B$15,Paramètres!$A$1:$I$89,3,0)*0.475*44/12</f>
        <v>1.2368322575056798</v>
      </c>
      <c r="EX119" s="21">
        <f>EXP(-LN(2)/2)*EX118+(1-EXP(-LN(2)/2))/(LN(2)/2)*ER119*EU119*VLOOKUP('Données projet'!$B$15,Paramètres!$A$1:$I$89,3,0)*0.475*44/12</f>
        <v>2.3775082159128073E-12</v>
      </c>
      <c r="EY119" s="22">
        <f t="shared" si="75"/>
        <v>2.4638861780213652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215.23235148064941</v>
      </c>
      <c r="T120" s="59">
        <f t="shared" si="88"/>
        <v>184.07239726900434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0.55963519558430452</v>
      </c>
      <c r="AA120" s="21">
        <f>EXP(-LN(2)/25)*AA119+(1-EXP(-LN(2)/25))/(LN(2)/25)*Calculateur!V120*Calculateur!X120*VLOOKUP('Données projet'!$B$9,Paramètres!$A$1:$I$89,3,0)*0.475*44/12</f>
        <v>0.70402402100061556</v>
      </c>
      <c r="AB120" s="21">
        <f>EXP(-LN(2)/2)*AB119+(1-EXP(-LN(2)/2))/(LN(2)/2)*V120*Y120*VLOOKUP('Données projet'!$B$9,Paramètres!$A$1:$I$89,3,0)*0.475*44/12</f>
        <v>7.9039621858102885E-13</v>
      </c>
      <c r="AC120" s="22">
        <f t="shared" si="57"/>
        <v>1.2636592165857106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-8.5265128291212022E-14</v>
      </c>
      <c r="AJ120" s="13">
        <f>AI120*VLOOKUP('Données projet'!$B$10,Paramètres!$A$1:$I$89,3,0)*VLOOKUP('Données projet'!$B$10,Paramètres!$A$1:$I$89,5,0)</f>
        <v>-7.7147888077888636E-14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225.28075317732998</v>
      </c>
      <c r="AO120" s="59">
        <f t="shared" si="90"/>
        <v>358.43407531256207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0.40054948304780136</v>
      </c>
      <c r="AV120" s="21">
        <f>EXP(-LN(2)/25)*AV119+(1-EXP(-LN(2)/25))/(LN(2)/25)*Calculateur!AQ120*Calculateur!AS120*VLOOKUP('Données projet'!$B$10,Paramètres!$A$1:$I$89,3,0)*0.475*44/12</f>
        <v>0.7413599430161365</v>
      </c>
      <c r="AW120" s="21">
        <f>EXP(-LN(2)/2)*AW119+(1-EXP(-LN(2)/2))/(LN(2)/2)*AQ120*AT120*VLOOKUP('Données projet'!$B$10,Paramètres!$A$1:$I$89,3,0)*0.475*44/12</f>
        <v>3.5483756877233139E-13</v>
      </c>
      <c r="AX120" s="21">
        <f t="shared" si="60"/>
        <v>1.1419094260642928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-5.6843418860808015E-13</v>
      </c>
      <c r="BE120" s="13">
        <f>BD120*VLOOKUP('Données projet'!$B$11,Paramètres!$A$1:$I$89,3,0)*VLOOKUP('Données projet'!$B$11,Paramètres!$A$1:$I$89,5,0)</f>
        <v>-3.177547114319168E-13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326.31232746914907</v>
      </c>
      <c r="BJ120" s="59">
        <f t="shared" si="92"/>
        <v>330.17137761430297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0.81554196984205163</v>
      </c>
      <c r="BQ120" s="21">
        <f>EXP(-LN(2)/25)*BQ119+(1-EXP(-LN(2)/25))/(LN(2)/25)*Calculateur!BL120*Calculateur!BN120*VLOOKUP('Données projet'!$B$11,Paramètres!$A$1:$I$89,3,0)*0.475*44/12</f>
        <v>2.704166094861054</v>
      </c>
      <c r="BR120" s="21">
        <f>EXP(-LN(2)/2)*BR119+(1-EXP(-LN(2)/2))/(LN(2)/2)*BL120*BO120*VLOOKUP('Données projet'!$B$11,Paramètres!$A$1:$I$89,3,0)*0.475*44/12</f>
        <v>2.614409507382665E-12</v>
      </c>
      <c r="BS120" s="22">
        <f t="shared" si="63"/>
        <v>3.51970806470572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210.04871822652808</v>
      </c>
      <c r="CE120" s="59">
        <f t="shared" si="94"/>
        <v>250.17540614049324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1.3034877995784147</v>
      </c>
      <c r="CL120" s="21">
        <f>EXP(-LN(2)/25)*CL119+(1-EXP(-LN(2)/25))/(LN(2)/25)*Calculateur!CG120*Calculateur!CI120*VLOOKUP('Données projet'!$B$12,Paramètres!$A$1:$I$89,3,0)*0.475*44/12</f>
        <v>2.4942498625017451</v>
      </c>
      <c r="CM120" s="21">
        <f>EXP(-LN(2)/2)*CM119+(1-EXP(-LN(2)/2))/(LN(2)/2)*CG120*CJ120*VLOOKUP('Données projet'!$B$12,Paramètres!$A$1:$I$89,3,0)*0.475*44/12</f>
        <v>1.7326898258854432E-12</v>
      </c>
      <c r="CN120" s="22">
        <f t="shared" si="66"/>
        <v>3.7977376620818926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4.5224624045658861E-14</v>
      </c>
      <c r="CV120" s="13">
        <f t="shared" si="95"/>
        <v>7.4514601661523691E-13</v>
      </c>
      <c r="CW120" s="20">
        <f t="shared" si="67"/>
        <v>1.3765621991510601E-12</v>
      </c>
      <c r="CX120" s="59">
        <f t="shared" si="68"/>
        <v>293.33333333333468</v>
      </c>
      <c r="CY120" s="59">
        <f ca="1">AVERAGE(OFFSET($CX$3,0,0,'Données projet'!$E$13+1,1))-AVERAGE(OFFSET($H$3,0,0,'Données projet'!$E$13+1,1))</f>
        <v>199.58763537752952</v>
      </c>
      <c r="CZ120" s="59">
        <f t="shared" si="96"/>
        <v>242.62852778451929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0.92158300459602183</v>
      </c>
      <c r="DH120" s="21">
        <f>EXP(-LN(2)/2)*DH119+(1-EXP(-LN(2)/2))/(LN(2)/2)*DB120*DE120*VLOOKUP('Données projet'!$B$13,Paramètres!$A$1:$I$89,3,0)*0.475*44/12</f>
        <v>8.6510805385626373E-13</v>
      </c>
      <c r="DI120" s="22">
        <f t="shared" si="69"/>
        <v>0.92158300459688691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-4.5474735088646412E-13</v>
      </c>
      <c r="DP120" s="17">
        <f>DO120*VLOOKUP('Données projet'!$B$14,Paramètres!$A$1:$I$89,3,0)*VLOOKUP('Données projet'!$B$14,Paramètres!$A$1:$I$89,5,0)</f>
        <v>-2.7193891583010558E-13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216.94426559495264</v>
      </c>
      <c r="DU120" s="59">
        <f t="shared" si="98"/>
        <v>225.33715877618704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1.1515793064571347</v>
      </c>
      <c r="EC120" s="21">
        <f>EXP(-LN(2)/2)*EC119+(1-EXP(-LN(2)/2))/(LN(2)/2)*DW120*DZ120*VLOOKUP('Données projet'!$B$14,Paramètres!$A$1:$I$89,3,0)*0.475*44/12</f>
        <v>1.907573196148559E-12</v>
      </c>
      <c r="ED120" s="22">
        <f t="shared" si="72"/>
        <v>1.1515793064590423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6.8212102632969618E-13</v>
      </c>
      <c r="EK120" s="17">
        <f>EJ120*VLOOKUP('Données projet'!$B$15,Paramètres!$A$1:$I$89,3,0)*VLOOKUP('Données projet'!$B$15,Paramètres!$A$1:$I$89,5,0)</f>
        <v>3.2810021366458383E-13</v>
      </c>
      <c r="EL120" s="13">
        <f t="shared" si="99"/>
        <v>4.2923528923937213E-12</v>
      </c>
      <c r="EM120" s="20">
        <f t="shared" si="73"/>
        <v>8.0472891597182151E-12</v>
      </c>
      <c r="EN120" s="59">
        <f t="shared" si="74"/>
        <v>293.33333333334139</v>
      </c>
      <c r="EO120" s="59">
        <f ca="1">AVERAGE(OFFSET($EN$3,0,0,'Données projet'!$E$15+1,1))-AVERAGE(OFFSET($H$3,0,0,'Données projet'!$E$15+1,1))</f>
        <v>292.1792787220852</v>
      </c>
      <c r="EP120" s="59">
        <f t="shared" si="100"/>
        <v>273.69206144662144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1.2029921415610318</v>
      </c>
      <c r="EW120" s="21">
        <f>EXP(-LN(2)/25)*EW119+(1-EXP(-LN(2)/25))/(LN(2)/25)*Calculateur!ER120*Calculateur!ET120*VLOOKUP('Données projet'!$B$15,Paramètres!$A$1:$I$89,3,0)*0.475*44/12</f>
        <v>1.2030110143820054</v>
      </c>
      <c r="EX120" s="21">
        <f>EXP(-LN(2)/2)*EX119+(1-EXP(-LN(2)/2))/(LN(2)/2)*ER120*EU120*VLOOKUP('Données projet'!$B$15,Paramètres!$A$1:$I$89,3,0)*0.475*44/12</f>
        <v>1.6811521817986764E-12</v>
      </c>
      <c r="EY120" s="22">
        <f t="shared" si="75"/>
        <v>2.4060031559447186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215.23235148064941</v>
      </c>
      <c r="T121" s="59">
        <f t="shared" si="88"/>
        <v>184.07239726900434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0.54866109074266067</v>
      </c>
      <c r="AA121" s="21">
        <f>EXP(-LN(2)/25)*AA120+(1-EXP(-LN(2)/25))/(LN(2)/25)*Calculateur!V121*Calculateur!X121*VLOOKUP('Données projet'!$B$9,Paramètres!$A$1:$I$89,3,0)*0.475*44/12</f>
        <v>0.68477244712333951</v>
      </c>
      <c r="AB121" s="21">
        <f>EXP(-LN(2)/2)*AB120+(1-EXP(-LN(2)/2))/(LN(2)/2)*V121*Y121*VLOOKUP('Données projet'!$B$9,Paramètres!$A$1:$I$89,3,0)*0.475*44/12</f>
        <v>5.5889452598285015E-13</v>
      </c>
      <c r="AC121" s="22">
        <f t="shared" si="57"/>
        <v>1.2334335378665591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-8.5265128291212022E-14</v>
      </c>
      <c r="AJ121" s="13">
        <f>AI121*VLOOKUP('Données projet'!$B$10,Paramètres!$A$1:$I$89,3,0)*VLOOKUP('Données projet'!$B$10,Paramètres!$A$1:$I$89,5,0)</f>
        <v>-7.7147888077888636E-14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225.28075317732998</v>
      </c>
      <c r="AO121" s="59">
        <f t="shared" si="90"/>
        <v>358.43407531256207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0.39269495199629489</v>
      </c>
      <c r="AV121" s="21">
        <f>EXP(-LN(2)/25)*AV120+(1-EXP(-LN(2)/25))/(LN(2)/25)*Calculateur!AQ121*Calculateur!AS121*VLOOKUP('Données projet'!$B$10,Paramètres!$A$1:$I$89,3,0)*0.475*44/12</f>
        <v>0.72108741638793528</v>
      </c>
      <c r="AW121" s="21">
        <f>EXP(-LN(2)/2)*AW120+(1-EXP(-LN(2)/2))/(LN(2)/2)*AQ121*AT121*VLOOKUP('Données projet'!$B$10,Paramètres!$A$1:$I$89,3,0)*0.475*44/12</f>
        <v>2.5090805109866344E-13</v>
      </c>
      <c r="AX121" s="21">
        <f t="shared" si="60"/>
        <v>1.1137823683844812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-5.6843418860808015E-13</v>
      </c>
      <c r="BE121" s="13">
        <f>BD121*VLOOKUP('Données projet'!$B$11,Paramètres!$A$1:$I$89,3,0)*VLOOKUP('Données projet'!$B$11,Paramètres!$A$1:$I$89,5,0)</f>
        <v>-3.177547114319168E-13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326.31232746914907</v>
      </c>
      <c r="BJ121" s="59">
        <f t="shared" si="92"/>
        <v>330.17137761430297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0.7995496892449333</v>
      </c>
      <c r="BQ121" s="21">
        <f>EXP(-LN(2)/25)*BQ120+(1-EXP(-LN(2)/25))/(LN(2)/25)*Calculateur!BL121*Calculateur!BN121*VLOOKUP('Données projet'!$B$11,Paramètres!$A$1:$I$89,3,0)*0.475*44/12</f>
        <v>2.6302205307911639</v>
      </c>
      <c r="BR121" s="21">
        <f>EXP(-LN(2)/2)*BR120+(1-EXP(-LN(2)/2))/(LN(2)/2)*BL121*BO121*VLOOKUP('Données projet'!$B$11,Paramètres!$A$1:$I$89,3,0)*0.475*44/12</f>
        <v>1.8486666914688636E-12</v>
      </c>
      <c r="BS121" s="22">
        <f t="shared" si="63"/>
        <v>3.4297702200379461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210.04871822652808</v>
      </c>
      <c r="CE121" s="59">
        <f t="shared" si="94"/>
        <v>250.17540614049324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1.2779271988777352</v>
      </c>
      <c r="CL121" s="21">
        <f>EXP(-LN(2)/25)*CL120+(1-EXP(-LN(2)/25))/(LN(2)/25)*Calculateur!CG121*Calculateur!CI121*VLOOKUP('Données projet'!$B$12,Paramètres!$A$1:$I$89,3,0)*0.475*44/12</f>
        <v>2.4260444688447351</v>
      </c>
      <c r="CM121" s="21">
        <f>EXP(-LN(2)/2)*CM120+(1-EXP(-LN(2)/2))/(LN(2)/2)*CG121*CJ121*VLOOKUP('Données projet'!$B$12,Paramètres!$A$1:$I$89,3,0)*0.475*44/12</f>
        <v>1.2251967255765352E-12</v>
      </c>
      <c r="CN121" s="22">
        <f t="shared" si="66"/>
        <v>3.7039716677236956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4.5224624045658861E-14</v>
      </c>
      <c r="CV121" s="13">
        <f t="shared" si="95"/>
        <v>7.4514601661523691E-13</v>
      </c>
      <c r="CW121" s="20">
        <f t="shared" si="67"/>
        <v>1.3765621991510601E-12</v>
      </c>
      <c r="CX121" s="59">
        <f t="shared" si="68"/>
        <v>293.33333333333468</v>
      </c>
      <c r="CY121" s="59">
        <f ca="1">AVERAGE(OFFSET($CX$3,0,0,'Données projet'!$E$13+1,1))-AVERAGE(OFFSET($H$3,0,0,'Données projet'!$E$13+1,1))</f>
        <v>199.58763537752952</v>
      </c>
      <c r="CZ121" s="59">
        <f t="shared" si="96"/>
        <v>242.62852778451929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0.89638226887139971</v>
      </c>
      <c r="DH121" s="21">
        <f>EXP(-LN(2)/2)*DH120+(1-EXP(-LN(2)/2))/(LN(2)/2)*DB121*DE121*VLOOKUP('Données projet'!$B$13,Paramètres!$A$1:$I$89,3,0)*0.475*44/12</f>
        <v>6.1172377134086104E-13</v>
      </c>
      <c r="DI121" s="22">
        <f t="shared" si="69"/>
        <v>0.89638226887201145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-4.5474735088646412E-13</v>
      </c>
      <c r="DP121" s="17">
        <f>DO121*VLOOKUP('Données projet'!$B$14,Paramètres!$A$1:$I$89,3,0)*VLOOKUP('Données projet'!$B$14,Paramètres!$A$1:$I$89,5,0)</f>
        <v>-2.7193891583010558E-13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216.94426559495264</v>
      </c>
      <c r="DU121" s="59">
        <f t="shared" si="98"/>
        <v>225.33715877618704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1.1200893097631406</v>
      </c>
      <c r="EC121" s="21">
        <f>EXP(-LN(2)/2)*EC120+(1-EXP(-LN(2)/2))/(LN(2)/2)*DW121*DZ121*VLOOKUP('Données projet'!$B$14,Paramètres!$A$1:$I$89,3,0)*0.475*44/12</f>
        <v>1.3488579426063422E-12</v>
      </c>
      <c r="ED121" s="22">
        <f t="shared" si="72"/>
        <v>1.1200893097644895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6.8212102632969618E-13</v>
      </c>
      <c r="EK121" s="17">
        <f>EJ121*VLOOKUP('Données projet'!$B$15,Paramètres!$A$1:$I$89,3,0)*VLOOKUP('Données projet'!$B$15,Paramètres!$A$1:$I$89,5,0)</f>
        <v>3.2810021366458383E-13</v>
      </c>
      <c r="EL121" s="13">
        <f t="shared" si="99"/>
        <v>4.2923528923937213E-12</v>
      </c>
      <c r="EM121" s="20">
        <f t="shared" si="73"/>
        <v>8.0472891597182151E-12</v>
      </c>
      <c r="EN121" s="59">
        <f t="shared" si="74"/>
        <v>293.33333333334139</v>
      </c>
      <c r="EO121" s="59">
        <f ca="1">AVERAGE(OFFSET($EN$3,0,0,'Données projet'!$E$15+1,1))-AVERAGE(OFFSET($H$3,0,0,'Données projet'!$E$15+1,1))</f>
        <v>292.1792787220852</v>
      </c>
      <c r="EP121" s="59">
        <f t="shared" si="100"/>
        <v>273.69206144662144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1.1794021994177744</v>
      </c>
      <c r="EW121" s="21">
        <f>EXP(-LN(2)/25)*EW120+(1-EXP(-LN(2)/25))/(LN(2)/25)*Calculateur!ER121*Calculateur!ET121*VLOOKUP('Données projet'!$B$15,Paramètres!$A$1:$I$89,3,0)*0.475*44/12</f>
        <v>1.1701146149301298</v>
      </c>
      <c r="EX121" s="21">
        <f>EXP(-LN(2)/2)*EX120+(1-EXP(-LN(2)/2))/(LN(2)/2)*ER121*EU121*VLOOKUP('Données projet'!$B$15,Paramètres!$A$1:$I$89,3,0)*0.475*44/12</f>
        <v>1.1887541079564036E-12</v>
      </c>
      <c r="EY121" s="22">
        <f t="shared" si="75"/>
        <v>2.349516814349093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215.23235148064941</v>
      </c>
      <c r="T122" s="59">
        <f t="shared" si="88"/>
        <v>184.07239726900434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0.5379021814034185</v>
      </c>
      <c r="AA122" s="21">
        <f>EXP(-LN(2)/25)*AA121+(1-EXP(-LN(2)/25))/(LN(2)/25)*Calculateur!V122*Calculateur!X122*VLOOKUP('Données projet'!$B$9,Paramètres!$A$1:$I$89,3,0)*0.475*44/12</f>
        <v>0.66604730854613392</v>
      </c>
      <c r="AB122" s="21">
        <f>EXP(-LN(2)/2)*AB121+(1-EXP(-LN(2)/2))/(LN(2)/2)*V122*Y122*VLOOKUP('Données projet'!$B$9,Paramètres!$A$1:$I$89,3,0)*0.475*44/12</f>
        <v>3.9519810929051443E-13</v>
      </c>
      <c r="AC122" s="22">
        <f t="shared" si="57"/>
        <v>1.2039494899499477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-8.5265128291212022E-14</v>
      </c>
      <c r="AJ122" s="13">
        <f>AI122*VLOOKUP('Données projet'!$B$10,Paramètres!$A$1:$I$89,3,0)*VLOOKUP('Données projet'!$B$10,Paramètres!$A$1:$I$89,5,0)</f>
        <v>-7.7147888077888636E-14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225.28075317732998</v>
      </c>
      <c r="AO122" s="59">
        <f t="shared" si="90"/>
        <v>358.43407531256207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0.38499444350791762</v>
      </c>
      <c r="AV122" s="21">
        <f>EXP(-LN(2)/25)*AV121+(1-EXP(-LN(2)/25))/(LN(2)/25)*Calculateur!AQ122*Calculateur!AS122*VLOOKUP('Données projet'!$B$10,Paramètres!$A$1:$I$89,3,0)*0.475*44/12</f>
        <v>0.70136924306646797</v>
      </c>
      <c r="AW122" s="21">
        <f>EXP(-LN(2)/2)*AW121+(1-EXP(-LN(2)/2))/(LN(2)/2)*AQ122*AT122*VLOOKUP('Données projet'!$B$10,Paramètres!$A$1:$I$89,3,0)*0.475*44/12</f>
        <v>1.774187843861657E-13</v>
      </c>
      <c r="AX122" s="21">
        <f t="shared" si="60"/>
        <v>1.0863636865745629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-5.6843418860808015E-13</v>
      </c>
      <c r="BE122" s="13">
        <f>BD122*VLOOKUP('Données projet'!$B$11,Paramètres!$A$1:$I$89,3,0)*VLOOKUP('Données projet'!$B$11,Paramètres!$A$1:$I$89,5,0)</f>
        <v>-3.177547114319168E-13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326.31232746914907</v>
      </c>
      <c r="BJ122" s="59">
        <f t="shared" si="92"/>
        <v>330.17137761430297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0.78387100751599648</v>
      </c>
      <c r="BQ122" s="21">
        <f>EXP(-LN(2)/25)*BQ121+(1-EXP(-LN(2)/25))/(LN(2)/25)*Calculateur!BL122*Calculateur!BN122*VLOOKUP('Données projet'!$B$11,Paramètres!$A$1:$I$89,3,0)*0.475*44/12</f>
        <v>2.5582970120593931</v>
      </c>
      <c r="BR122" s="21">
        <f>EXP(-LN(2)/2)*BR121+(1-EXP(-LN(2)/2))/(LN(2)/2)*BL122*BO122*VLOOKUP('Données projet'!$B$11,Paramètres!$A$1:$I$89,3,0)*0.475*44/12</f>
        <v>1.3072047536913325E-12</v>
      </c>
      <c r="BS122" s="22">
        <f t="shared" si="63"/>
        <v>3.3421680195766967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210.04871822652808</v>
      </c>
      <c r="CE122" s="59">
        <f t="shared" si="94"/>
        <v>250.17540614049324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1.252867825966369</v>
      </c>
      <c r="CL122" s="21">
        <f>EXP(-LN(2)/25)*CL121+(1-EXP(-LN(2)/25))/(LN(2)/25)*Calculateur!CG122*Calculateur!CI122*VLOOKUP('Données projet'!$B$12,Paramètres!$A$1:$I$89,3,0)*0.475*44/12</f>
        <v>2.3597041552640419</v>
      </c>
      <c r="CM122" s="21">
        <f>EXP(-LN(2)/2)*CM121+(1-EXP(-LN(2)/2))/(LN(2)/2)*CG122*CJ122*VLOOKUP('Données projet'!$B$12,Paramètres!$A$1:$I$89,3,0)*0.475*44/12</f>
        <v>8.6634491294272159E-13</v>
      </c>
      <c r="CN122" s="22">
        <f t="shared" si="66"/>
        <v>3.6125719812312771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4.5224624045658861E-14</v>
      </c>
      <c r="CV122" s="13">
        <f t="shared" si="95"/>
        <v>7.4514601661523691E-13</v>
      </c>
      <c r="CW122" s="20">
        <f t="shared" si="67"/>
        <v>1.3765621991510601E-12</v>
      </c>
      <c r="CX122" s="59">
        <f t="shared" si="68"/>
        <v>293.33333333333468</v>
      </c>
      <c r="CY122" s="59">
        <f ca="1">AVERAGE(OFFSET($CX$3,0,0,'Données projet'!$E$13+1,1))-AVERAGE(OFFSET($H$3,0,0,'Données projet'!$E$13+1,1))</f>
        <v>199.58763537752952</v>
      </c>
      <c r="CZ122" s="59">
        <f t="shared" si="96"/>
        <v>242.62852778451929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0.87187064859041652</v>
      </c>
      <c r="DH122" s="21">
        <f>EXP(-LN(2)/2)*DH121+(1-EXP(-LN(2)/2))/(LN(2)/2)*DB122*DE122*VLOOKUP('Données projet'!$B$13,Paramètres!$A$1:$I$89,3,0)*0.475*44/12</f>
        <v>4.3255402692813187E-13</v>
      </c>
      <c r="DI122" s="22">
        <f t="shared" si="69"/>
        <v>0.87187064859084906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-4.5474735088646412E-13</v>
      </c>
      <c r="DP122" s="17">
        <f>DO122*VLOOKUP('Données projet'!$B$14,Paramètres!$A$1:$I$89,3,0)*VLOOKUP('Données projet'!$B$14,Paramètres!$A$1:$I$89,5,0)</f>
        <v>-2.7193891583010558E-13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216.94426559495264</v>
      </c>
      <c r="DU122" s="59">
        <f t="shared" si="98"/>
        <v>225.33715877618704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1.0894604086847306</v>
      </c>
      <c r="EC122" s="21">
        <f>EXP(-LN(2)/2)*EC121+(1-EXP(-LN(2)/2))/(LN(2)/2)*DW122*DZ122*VLOOKUP('Données projet'!$B$14,Paramètres!$A$1:$I$89,3,0)*0.475*44/12</f>
        <v>9.5378659807427948E-13</v>
      </c>
      <c r="ED122" s="22">
        <f t="shared" si="72"/>
        <v>1.0894604086856843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6.8212102632969618E-13</v>
      </c>
      <c r="EK122" s="17">
        <f>EJ122*VLOOKUP('Données projet'!$B$15,Paramètres!$A$1:$I$89,3,0)*VLOOKUP('Données projet'!$B$15,Paramètres!$A$1:$I$89,5,0)</f>
        <v>3.2810021366458383E-13</v>
      </c>
      <c r="EL122" s="13">
        <f t="shared" si="99"/>
        <v>4.2923528923937213E-12</v>
      </c>
      <c r="EM122" s="20">
        <f t="shared" si="73"/>
        <v>8.0472891597182151E-12</v>
      </c>
      <c r="EN122" s="59">
        <f t="shared" si="74"/>
        <v>293.33333333334139</v>
      </c>
      <c r="EO122" s="59">
        <f ca="1">AVERAGE(OFFSET($EN$3,0,0,'Données projet'!$E$15+1,1))-AVERAGE(OFFSET($H$3,0,0,'Données projet'!$E$15+1,1))</f>
        <v>292.1792787220852</v>
      </c>
      <c r="EP122" s="59">
        <f t="shared" si="100"/>
        <v>273.69206144662144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1.1562748416515021</v>
      </c>
      <c r="EW122" s="21">
        <f>EXP(-LN(2)/25)*EW121+(1-EXP(-LN(2)/25))/(LN(2)/25)*Calculateur!ER122*Calculateur!ET122*VLOOKUP('Données projet'!$B$15,Paramètres!$A$1:$I$89,3,0)*0.475*44/12</f>
        <v>1.1381177692512121</v>
      </c>
      <c r="EX122" s="21">
        <f>EXP(-LN(2)/2)*EX121+(1-EXP(-LN(2)/2))/(LN(2)/2)*ER122*EU122*VLOOKUP('Données projet'!$B$15,Paramètres!$A$1:$I$89,3,0)*0.475*44/12</f>
        <v>8.4057609089933821E-13</v>
      </c>
      <c r="EY122" s="22">
        <f t="shared" si="75"/>
        <v>2.2943926109035551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215.23235148064941</v>
      </c>
      <c r="T123" s="59">
        <f t="shared" si="88"/>
        <v>184.07239726900434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0.52735424771403216</v>
      </c>
      <c r="AA123" s="21">
        <f>EXP(-LN(2)/25)*AA122+(1-EXP(-LN(2)/25))/(LN(2)/25)*Calculateur!V123*Calculateur!X123*VLOOKUP('Données projet'!$B$9,Paramètres!$A$1:$I$89,3,0)*0.475*44/12</f>
        <v>0.64783420986803419</v>
      </c>
      <c r="AB123" s="21">
        <f>EXP(-LN(2)/2)*AB122+(1-EXP(-LN(2)/2))/(LN(2)/2)*V123*Y123*VLOOKUP('Données projet'!$B$9,Paramètres!$A$1:$I$89,3,0)*0.475*44/12</f>
        <v>2.7944726299142507E-13</v>
      </c>
      <c r="AC123" s="22">
        <f t="shared" si="57"/>
        <v>1.1751884575823459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-8.5265128291212022E-14</v>
      </c>
      <c r="AJ123" s="13">
        <f>AI123*VLOOKUP('Données projet'!$B$10,Paramètres!$A$1:$I$89,3,0)*VLOOKUP('Données projet'!$B$10,Paramètres!$A$1:$I$89,5,0)</f>
        <v>-7.7147888077888636E-14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225.28075317732998</v>
      </c>
      <c r="AO123" s="59">
        <f t="shared" si="90"/>
        <v>358.43407531256207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0.37744493729415102</v>
      </c>
      <c r="AV123" s="21">
        <f>EXP(-LN(2)/25)*AV122+(1-EXP(-LN(2)/25))/(LN(2)/25)*Calculateur!AQ123*Calculateur!AS123*VLOOKUP('Données projet'!$B$10,Paramètres!$A$1:$I$89,3,0)*0.475*44/12</f>
        <v>0.68219026423140994</v>
      </c>
      <c r="AW123" s="21">
        <f>EXP(-LN(2)/2)*AW122+(1-EXP(-LN(2)/2))/(LN(2)/2)*AQ123*AT123*VLOOKUP('Données projet'!$B$10,Paramètres!$A$1:$I$89,3,0)*0.475*44/12</f>
        <v>1.2545402554933172E-13</v>
      </c>
      <c r="AX123" s="21">
        <f t="shared" si="60"/>
        <v>1.0596352015256865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-5.6843418860808015E-13</v>
      </c>
      <c r="BE123" s="13">
        <f>BD123*VLOOKUP('Données projet'!$B$11,Paramètres!$A$1:$I$89,3,0)*VLOOKUP('Données projet'!$B$11,Paramètres!$A$1:$I$89,5,0)</f>
        <v>-3.177547114319168E-13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326.31232746914907</v>
      </c>
      <c r="BJ123" s="59">
        <f t="shared" si="92"/>
        <v>330.17137761430297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0.76849977517271251</v>
      </c>
      <c r="BQ123" s="21">
        <f>EXP(-LN(2)/25)*BQ122+(1-EXP(-LN(2)/25))/(LN(2)/25)*Calculateur!BL123*Calculateur!BN123*VLOOKUP('Données projet'!$B$11,Paramètres!$A$1:$I$89,3,0)*0.475*44/12</f>
        <v>2.4883402457296362</v>
      </c>
      <c r="BR123" s="21">
        <f>EXP(-LN(2)/2)*BR122+(1-EXP(-LN(2)/2))/(LN(2)/2)*BL123*BO123*VLOOKUP('Données projet'!$B$11,Paramètres!$A$1:$I$89,3,0)*0.475*44/12</f>
        <v>9.2433334573443181E-13</v>
      </c>
      <c r="BS123" s="22">
        <f t="shared" si="63"/>
        <v>3.2568400209032728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210.04871822652808</v>
      </c>
      <c r="CE123" s="59">
        <f t="shared" si="94"/>
        <v>250.17540614049324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1.2282998520730866</v>
      </c>
      <c r="CL123" s="21">
        <f>EXP(-LN(2)/25)*CL122+(1-EXP(-LN(2)/25))/(LN(2)/25)*Calculateur!CG123*Calculateur!CI123*VLOOKUP('Données projet'!$B$12,Paramètres!$A$1:$I$89,3,0)*0.475*44/12</f>
        <v>2.2951779210468981</v>
      </c>
      <c r="CM123" s="21">
        <f>EXP(-LN(2)/2)*CM122+(1-EXP(-LN(2)/2))/(LN(2)/2)*CG123*CJ123*VLOOKUP('Données projet'!$B$12,Paramètres!$A$1:$I$89,3,0)*0.475*44/12</f>
        <v>6.125983627882676E-13</v>
      </c>
      <c r="CN123" s="22">
        <f t="shared" si="66"/>
        <v>3.5234777731205971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4.5224624045658861E-14</v>
      </c>
      <c r="CV123" s="13">
        <f t="shared" si="95"/>
        <v>7.4514601661523691E-13</v>
      </c>
      <c r="CW123" s="20">
        <f t="shared" si="67"/>
        <v>1.3765621991510601E-12</v>
      </c>
      <c r="CX123" s="59">
        <f t="shared" si="68"/>
        <v>293.33333333333468</v>
      </c>
      <c r="CY123" s="59">
        <f ca="1">AVERAGE(OFFSET($CX$3,0,0,'Données projet'!$E$13+1,1))-AVERAGE(OFFSET($H$3,0,0,'Données projet'!$E$13+1,1))</f>
        <v>199.58763537752952</v>
      </c>
      <c r="CZ123" s="59">
        <f t="shared" si="96"/>
        <v>242.62852778451929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0.84802929985502684</v>
      </c>
      <c r="DH123" s="21">
        <f>EXP(-LN(2)/2)*DH122+(1-EXP(-LN(2)/2))/(LN(2)/2)*DB123*DE123*VLOOKUP('Données projet'!$B$13,Paramètres!$A$1:$I$89,3,0)*0.475*44/12</f>
        <v>3.0586188567043052E-13</v>
      </c>
      <c r="DI123" s="22">
        <f t="shared" si="69"/>
        <v>0.84802929985533271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-4.5474735088646412E-13</v>
      </c>
      <c r="DP123" s="17">
        <f>DO123*VLOOKUP('Données projet'!$B$14,Paramètres!$A$1:$I$89,3,0)*VLOOKUP('Données projet'!$B$14,Paramètres!$A$1:$I$89,5,0)</f>
        <v>-2.7193891583010558E-13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216.94426559495264</v>
      </c>
      <c r="DU123" s="59">
        <f t="shared" si="98"/>
        <v>225.33715877618704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1.0596690565170137</v>
      </c>
      <c r="EC123" s="21">
        <f>EXP(-LN(2)/2)*EC122+(1-EXP(-LN(2)/2))/(LN(2)/2)*DW123*DZ123*VLOOKUP('Données projet'!$B$14,Paramètres!$A$1:$I$89,3,0)*0.475*44/12</f>
        <v>6.7442897130317111E-13</v>
      </c>
      <c r="ED123" s="22">
        <f t="shared" si="72"/>
        <v>1.0596690565176881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6.8212102632969618E-13</v>
      </c>
      <c r="EK123" s="17">
        <f>EJ123*VLOOKUP('Données projet'!$B$15,Paramètres!$A$1:$I$89,3,0)*VLOOKUP('Données projet'!$B$15,Paramètres!$A$1:$I$89,5,0)</f>
        <v>3.2810021366458383E-13</v>
      </c>
      <c r="EL123" s="13">
        <f t="shared" si="99"/>
        <v>4.2923528923937213E-12</v>
      </c>
      <c r="EM123" s="20">
        <f t="shared" si="73"/>
        <v>8.0472891597182151E-12</v>
      </c>
      <c r="EN123" s="59">
        <f t="shared" si="74"/>
        <v>293.33333333334139</v>
      </c>
      <c r="EO123" s="59">
        <f ca="1">AVERAGE(OFFSET($EN$3,0,0,'Données projet'!$E$15+1,1))-AVERAGE(OFFSET($H$3,0,0,'Données projet'!$E$15+1,1))</f>
        <v>292.1792787220852</v>
      </c>
      <c r="EP123" s="59">
        <f t="shared" si="100"/>
        <v>273.69206144662144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1.1336009972647312</v>
      </c>
      <c r="EW123" s="21">
        <f>EXP(-LN(2)/25)*EW122+(1-EXP(-LN(2)/25))/(LN(2)/25)*Calculateur!ER123*Calculateur!ET123*VLOOKUP('Données projet'!$B$15,Paramètres!$A$1:$I$89,3,0)*0.475*44/12</f>
        <v>1.1069958790000254</v>
      </c>
      <c r="EX123" s="21">
        <f>EXP(-LN(2)/2)*EX122+(1-EXP(-LN(2)/2))/(LN(2)/2)*ER123*EU123*VLOOKUP('Données projet'!$B$15,Paramètres!$A$1:$I$89,3,0)*0.475*44/12</f>
        <v>5.9437705397820182E-13</v>
      </c>
      <c r="EY123" s="22">
        <f t="shared" si="75"/>
        <v>2.240596876265351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215.23235148064941</v>
      </c>
      <c r="T124" s="59">
        <f t="shared" si="88"/>
        <v>184.07239726900434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0.51701315257069036</v>
      </c>
      <c r="AA124" s="21">
        <f>EXP(-LN(2)/25)*AA123+(1-EXP(-LN(2)/25))/(LN(2)/25)*Calculateur!V124*Calculateur!X124*VLOOKUP('Données projet'!$B$9,Paramètres!$A$1:$I$89,3,0)*0.475*44/12</f>
        <v>0.63011914933107238</v>
      </c>
      <c r="AB124" s="21">
        <f>EXP(-LN(2)/2)*AB123+(1-EXP(-LN(2)/2))/(LN(2)/2)*V124*Y124*VLOOKUP('Données projet'!$B$9,Paramètres!$A$1:$I$89,3,0)*0.475*44/12</f>
        <v>1.9759905464525721E-13</v>
      </c>
      <c r="AC124" s="22">
        <f t="shared" si="57"/>
        <v>1.1471323019019604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-8.5265128291212022E-14</v>
      </c>
      <c r="AJ124" s="13">
        <f>AI124*VLOOKUP('Données projet'!$B$10,Paramètres!$A$1:$I$89,3,0)*VLOOKUP('Données projet'!$B$10,Paramètres!$A$1:$I$89,5,0)</f>
        <v>-7.7147888077888636E-14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225.28075317732998</v>
      </c>
      <c r="AO124" s="59">
        <f t="shared" si="90"/>
        <v>358.43407531256207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0.37004347229249224</v>
      </c>
      <c r="AV124" s="21">
        <f>EXP(-LN(2)/25)*AV123+(1-EXP(-LN(2)/25))/(LN(2)/25)*Calculateur!AQ124*Calculateur!AS124*VLOOKUP('Données projet'!$B$10,Paramètres!$A$1:$I$89,3,0)*0.475*44/12</f>
        <v>0.66353573558117518</v>
      </c>
      <c r="AW124" s="21">
        <f>EXP(-LN(2)/2)*AW123+(1-EXP(-LN(2)/2))/(LN(2)/2)*AQ124*AT124*VLOOKUP('Données projet'!$B$10,Paramètres!$A$1:$I$89,3,0)*0.475*44/12</f>
        <v>8.8709392193082848E-14</v>
      </c>
      <c r="AX124" s="21">
        <f t="shared" si="60"/>
        <v>1.0335792078737562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-5.6843418860808015E-13</v>
      </c>
      <c r="BE124" s="13">
        <f>BD124*VLOOKUP('Données projet'!$B$11,Paramètres!$A$1:$I$89,3,0)*VLOOKUP('Données projet'!$B$11,Paramètres!$A$1:$I$89,5,0)</f>
        <v>-3.177547114319168E-13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326.31232746914907</v>
      </c>
      <c r="BJ124" s="59">
        <f t="shared" si="92"/>
        <v>330.17137761430297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0.75342996332015433</v>
      </c>
      <c r="BQ124" s="21">
        <f>EXP(-LN(2)/25)*BQ123+(1-EXP(-LN(2)/25))/(LN(2)/25)*Calculateur!BL124*Calculateur!BN124*VLOOKUP('Données projet'!$B$11,Paramètres!$A$1:$I$89,3,0)*0.475*44/12</f>
        <v>2.4202964508540328</v>
      </c>
      <c r="BR124" s="21">
        <f>EXP(-LN(2)/2)*BR123+(1-EXP(-LN(2)/2))/(LN(2)/2)*BL124*BO124*VLOOKUP('Données projet'!$B$11,Paramètres!$A$1:$I$89,3,0)*0.475*44/12</f>
        <v>6.5360237684566625E-13</v>
      </c>
      <c r="BS124" s="22">
        <f t="shared" si="63"/>
        <v>3.1737264141748409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210.04871822652808</v>
      </c>
      <c r="CE124" s="59">
        <f t="shared" si="94"/>
        <v>250.17540614049324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1.2042136411628668</v>
      </c>
      <c r="CL124" s="21">
        <f>EXP(-LN(2)/25)*CL123+(1-EXP(-LN(2)/25))/(LN(2)/25)*Calculateur!CG124*Calculateur!CI124*VLOOKUP('Données projet'!$B$12,Paramètres!$A$1:$I$89,3,0)*0.475*44/12</f>
        <v>2.2324161600977095</v>
      </c>
      <c r="CM124" s="21">
        <f>EXP(-LN(2)/2)*CM123+(1-EXP(-LN(2)/2))/(LN(2)/2)*CG124*CJ124*VLOOKUP('Données projet'!$B$12,Paramètres!$A$1:$I$89,3,0)*0.475*44/12</f>
        <v>4.331724564713608E-13</v>
      </c>
      <c r="CN124" s="22">
        <f t="shared" si="66"/>
        <v>3.436629801261009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4.5224624045658861E-14</v>
      </c>
      <c r="CV124" s="13">
        <f t="shared" si="95"/>
        <v>7.4514601661523691E-13</v>
      </c>
      <c r="CW124" s="20">
        <f t="shared" si="67"/>
        <v>1.3765621991510601E-12</v>
      </c>
      <c r="CX124" s="59">
        <f t="shared" si="68"/>
        <v>293.33333333333468</v>
      </c>
      <c r="CY124" s="59">
        <f ca="1">AVERAGE(OFFSET($CX$3,0,0,'Données projet'!$E$13+1,1))-AVERAGE(OFFSET($H$3,0,0,'Données projet'!$E$13+1,1))</f>
        <v>199.58763537752952</v>
      </c>
      <c r="CZ124" s="59">
        <f t="shared" si="96"/>
        <v>242.62852778451929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0.82483989405456848</v>
      </c>
      <c r="DH124" s="21">
        <f>EXP(-LN(2)/2)*DH123+(1-EXP(-LN(2)/2))/(LN(2)/2)*DB124*DE124*VLOOKUP('Données projet'!$B$13,Paramètres!$A$1:$I$89,3,0)*0.475*44/12</f>
        <v>2.1627701346406593E-13</v>
      </c>
      <c r="DI124" s="22">
        <f t="shared" si="69"/>
        <v>0.82483989405478475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-4.5474735088646412E-13</v>
      </c>
      <c r="DP124" s="17">
        <f>DO124*VLOOKUP('Données projet'!$B$14,Paramètres!$A$1:$I$89,3,0)*VLOOKUP('Données projet'!$B$14,Paramètres!$A$1:$I$89,5,0)</f>
        <v>-2.7193891583010558E-13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216.94426559495264</v>
      </c>
      <c r="DU124" s="59">
        <f t="shared" si="98"/>
        <v>225.33715877618704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1.0306923504409822</v>
      </c>
      <c r="EC124" s="21">
        <f>EXP(-LN(2)/2)*EC123+(1-EXP(-LN(2)/2))/(LN(2)/2)*DW124*DZ124*VLOOKUP('Données projet'!$B$14,Paramètres!$A$1:$I$89,3,0)*0.475*44/12</f>
        <v>4.7689329903713974E-13</v>
      </c>
      <c r="ED124" s="22">
        <f t="shared" si="72"/>
        <v>1.0306923504414591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6.8212102632969618E-13</v>
      </c>
      <c r="EK124" s="17">
        <f>EJ124*VLOOKUP('Données projet'!$B$15,Paramètres!$A$1:$I$89,3,0)*VLOOKUP('Données projet'!$B$15,Paramètres!$A$1:$I$89,5,0)</f>
        <v>3.2810021366458383E-13</v>
      </c>
      <c r="EL124" s="13">
        <f t="shared" si="99"/>
        <v>4.2923528923937213E-12</v>
      </c>
      <c r="EM124" s="20">
        <f t="shared" si="73"/>
        <v>8.0472891597182151E-12</v>
      </c>
      <c r="EN124" s="59">
        <f t="shared" si="74"/>
        <v>293.33333333334139</v>
      </c>
      <c r="EO124" s="59">
        <f ca="1">AVERAGE(OFFSET($EN$3,0,0,'Données projet'!$E$15+1,1))-AVERAGE(OFFSET($H$3,0,0,'Données projet'!$E$15+1,1))</f>
        <v>292.1792787220852</v>
      </c>
      <c r="EP124" s="59">
        <f t="shared" si="100"/>
        <v>273.69206144662144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1.1113717731367052</v>
      </c>
      <c r="EW124" s="21">
        <f>EXP(-LN(2)/25)*EW123+(1-EXP(-LN(2)/25))/(LN(2)/25)*Calculateur!ER124*Calculateur!ET124*VLOOKUP('Données projet'!$B$15,Paramètres!$A$1:$I$89,3,0)*0.475*44/12</f>
        <v>1.0767250184743864</v>
      </c>
      <c r="EX124" s="21">
        <f>EXP(-LN(2)/2)*EX123+(1-EXP(-LN(2)/2))/(LN(2)/2)*ER124*EU124*VLOOKUP('Données projet'!$B$15,Paramètres!$A$1:$I$89,3,0)*0.475*44/12</f>
        <v>4.2028804544966911E-13</v>
      </c>
      <c r="EY124" s="22">
        <f t="shared" si="75"/>
        <v>2.1880967916115117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215.23235148064941</v>
      </c>
      <c r="T125" s="59">
        <f t="shared" si="88"/>
        <v>184.07239726900434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0.50687483999566429</v>
      </c>
      <c r="AA125" s="21">
        <f>EXP(-LN(2)/25)*AA124+(1-EXP(-LN(2)/25))/(LN(2)/25)*Calculateur!V125*Calculateur!X125*VLOOKUP('Données projet'!$B$9,Paramètres!$A$1:$I$89,3,0)*0.475*44/12</f>
        <v>0.6128885080560883</v>
      </c>
      <c r="AB125" s="21">
        <f>EXP(-LN(2)/2)*AB124+(1-EXP(-LN(2)/2))/(LN(2)/2)*V125*Y125*VLOOKUP('Données projet'!$B$9,Paramètres!$A$1:$I$89,3,0)*0.475*44/12</f>
        <v>1.3972363149571254E-13</v>
      </c>
      <c r="AC125" s="22">
        <f t="shared" si="57"/>
        <v>1.1197633480518923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-8.5265128291212022E-14</v>
      </c>
      <c r="AJ125" s="13">
        <f>AI125*VLOOKUP('Données projet'!$B$10,Paramètres!$A$1:$I$89,3,0)*VLOOKUP('Données projet'!$B$10,Paramètres!$A$1:$I$89,5,0)</f>
        <v>-7.7147888077888636E-14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225.28075317732998</v>
      </c>
      <c r="AO125" s="59">
        <f t="shared" si="90"/>
        <v>358.43407531256207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0.36278714550506813</v>
      </c>
      <c r="AV125" s="21">
        <f>EXP(-LN(2)/25)*AV124+(1-EXP(-LN(2)/25))/(LN(2)/25)*Calculateur!AQ125*Calculateur!AS125*VLOOKUP('Données projet'!$B$10,Paramètres!$A$1:$I$89,3,0)*0.475*44/12</f>
        <v>0.64539131599788013</v>
      </c>
      <c r="AW125" s="21">
        <f>EXP(-LN(2)/2)*AW124+(1-EXP(-LN(2)/2))/(LN(2)/2)*AQ125*AT125*VLOOKUP('Données projet'!$B$10,Paramètres!$A$1:$I$89,3,0)*0.475*44/12</f>
        <v>6.2727012774665861E-14</v>
      </c>
      <c r="AX125" s="21">
        <f t="shared" si="60"/>
        <v>1.0081784615030109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-5.6843418860808015E-13</v>
      </c>
      <c r="BE125" s="13">
        <f>BD125*VLOOKUP('Données projet'!$B$11,Paramètres!$A$1:$I$89,3,0)*VLOOKUP('Données projet'!$B$11,Paramètres!$A$1:$I$89,5,0)</f>
        <v>-3.177547114319168E-13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326.31232746914907</v>
      </c>
      <c r="BJ125" s="59">
        <f t="shared" si="92"/>
        <v>330.17137761430297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0.73865566128634719</v>
      </c>
      <c r="BQ125" s="21">
        <f>EXP(-LN(2)/25)*BQ124+(1-EXP(-LN(2)/25))/(LN(2)/25)*Calculateur!BL125*Calculateur!BN125*VLOOKUP('Données projet'!$B$11,Paramètres!$A$1:$I$89,3,0)*0.475*44/12</f>
        <v>2.3541133171275708</v>
      </c>
      <c r="BR125" s="21">
        <f>EXP(-LN(2)/2)*BR124+(1-EXP(-LN(2)/2))/(LN(2)/2)*BL125*BO125*VLOOKUP('Données projet'!$B$11,Paramètres!$A$1:$I$89,3,0)*0.475*44/12</f>
        <v>4.621666728672159E-13</v>
      </c>
      <c r="BS125" s="22">
        <f t="shared" si="63"/>
        <v>3.0927689784143801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210.04871822652808</v>
      </c>
      <c r="CE125" s="59">
        <f t="shared" si="94"/>
        <v>250.17540614049324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1.1805997461574584</v>
      </c>
      <c r="CL125" s="21">
        <f>EXP(-LN(2)/25)*CL124+(1-EXP(-LN(2)/25))/(LN(2)/25)*Calculateur!CG125*Calculateur!CI125*VLOOKUP('Données projet'!$B$12,Paramètres!$A$1:$I$89,3,0)*0.475*44/12</f>
        <v>2.1713706228021739</v>
      </c>
      <c r="CM125" s="21">
        <f>EXP(-LN(2)/2)*CM124+(1-EXP(-LN(2)/2))/(LN(2)/2)*CG125*CJ125*VLOOKUP('Données projet'!$B$12,Paramètres!$A$1:$I$89,3,0)*0.475*44/12</f>
        <v>3.062991813941338E-13</v>
      </c>
      <c r="CN125" s="22">
        <f t="shared" si="66"/>
        <v>3.3519703689599387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4.5224624045658861E-14</v>
      </c>
      <c r="CV125" s="13">
        <f t="shared" si="95"/>
        <v>7.4514601661523691E-13</v>
      </c>
      <c r="CW125" s="20">
        <f t="shared" si="67"/>
        <v>1.3765621991510601E-12</v>
      </c>
      <c r="CX125" s="59">
        <f t="shared" si="68"/>
        <v>293.33333333333468</v>
      </c>
      <c r="CY125" s="59">
        <f ca="1">AVERAGE(OFFSET($CX$3,0,0,'Données projet'!$E$13+1,1))-AVERAGE(OFFSET($H$3,0,0,'Données projet'!$E$13+1,1))</f>
        <v>199.58763537752952</v>
      </c>
      <c r="CZ125" s="59">
        <f t="shared" si="96"/>
        <v>242.62852778451929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0.8022846037752015</v>
      </c>
      <c r="DH125" s="21">
        <f>EXP(-LN(2)/2)*DH124+(1-EXP(-LN(2)/2))/(LN(2)/2)*DB125*DE125*VLOOKUP('Données projet'!$B$13,Paramètres!$A$1:$I$89,3,0)*0.475*44/12</f>
        <v>1.5293094283521526E-13</v>
      </c>
      <c r="DI125" s="22">
        <f t="shared" si="69"/>
        <v>0.80228460377535438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-4.5474735088646412E-13</v>
      </c>
      <c r="DP125" s="17">
        <f>DO125*VLOOKUP('Données projet'!$B$14,Paramètres!$A$1:$I$89,3,0)*VLOOKUP('Données projet'!$B$14,Paramètres!$A$1:$I$89,5,0)</f>
        <v>-2.7193891583010558E-13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216.94426559495264</v>
      </c>
      <c r="DU125" s="59">
        <f t="shared" si="98"/>
        <v>225.33715877618704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1.0025080139164184</v>
      </c>
      <c r="EC125" s="21">
        <f>EXP(-LN(2)/2)*EC124+(1-EXP(-LN(2)/2))/(LN(2)/2)*DW125*DZ125*VLOOKUP('Données projet'!$B$14,Paramètres!$A$1:$I$89,3,0)*0.475*44/12</f>
        <v>3.3721448565158556E-13</v>
      </c>
      <c r="ED125" s="22">
        <f t="shared" si="72"/>
        <v>1.0025080139167557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6.8212102632969618E-13</v>
      </c>
      <c r="EK125" s="17">
        <f>EJ125*VLOOKUP('Données projet'!$B$15,Paramètres!$A$1:$I$89,3,0)*VLOOKUP('Données projet'!$B$15,Paramètres!$A$1:$I$89,5,0)</f>
        <v>3.2810021366458383E-13</v>
      </c>
      <c r="EL125" s="13">
        <f t="shared" si="99"/>
        <v>4.2923528923937213E-12</v>
      </c>
      <c r="EM125" s="20">
        <f t="shared" si="73"/>
        <v>8.0472891597182151E-12</v>
      </c>
      <c r="EN125" s="59">
        <f t="shared" si="74"/>
        <v>293.33333333334139</v>
      </c>
      <c r="EO125" s="59">
        <f ca="1">AVERAGE(OFFSET($EN$3,0,0,'Données projet'!$E$15+1,1))-AVERAGE(OFFSET($H$3,0,0,'Données projet'!$E$15+1,1))</f>
        <v>292.1792787220852</v>
      </c>
      <c r="EP125" s="59">
        <f t="shared" si="100"/>
        <v>273.69206144662144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1.0895784505353419</v>
      </c>
      <c r="EW125" s="21">
        <f>EXP(-LN(2)/25)*EW124+(1-EXP(-LN(2)/25))/(LN(2)/25)*Calculateur!ER125*Calculateur!ET125*VLOOKUP('Données projet'!$B$15,Paramètres!$A$1:$I$89,3,0)*0.475*44/12</f>
        <v>1.0472819162216964</v>
      </c>
      <c r="EX125" s="21">
        <f>EXP(-LN(2)/2)*EX124+(1-EXP(-LN(2)/2))/(LN(2)/2)*ER125*EU125*VLOOKUP('Données projet'!$B$15,Paramètres!$A$1:$I$89,3,0)*0.475*44/12</f>
        <v>2.9718852698910091E-13</v>
      </c>
      <c r="EY125" s="22">
        <f t="shared" si="75"/>
        <v>2.1368603667573356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215.23235148064941</v>
      </c>
      <c r="T126" s="59">
        <f t="shared" si="88"/>
        <v>184.07239726900434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0.4969353335464744</v>
      </c>
      <c r="AA126" s="21">
        <f>EXP(-LN(2)/25)*AA125+(1-EXP(-LN(2)/25))/(LN(2)/25)*Calculateur!V126*Calculateur!X126*VLOOKUP('Données projet'!$B$9,Paramètres!$A$1:$I$89,3,0)*0.475*44/12</f>
        <v>0.59612903957288865</v>
      </c>
      <c r="AB126" s="21">
        <f>EXP(-LN(2)/2)*AB125+(1-EXP(-LN(2)/2))/(LN(2)/2)*V126*Y126*VLOOKUP('Données projet'!$B$9,Paramètres!$A$1:$I$89,3,0)*0.475*44/12</f>
        <v>9.8799527322628607E-14</v>
      </c>
      <c r="AC126" s="22">
        <f t="shared" si="57"/>
        <v>1.0930643731194618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-8.5265128291212022E-14</v>
      </c>
      <c r="AJ126" s="13">
        <f>AI126*VLOOKUP('Données projet'!$B$10,Paramètres!$A$1:$I$89,3,0)*VLOOKUP('Données projet'!$B$10,Paramètres!$A$1:$I$89,5,0)</f>
        <v>-7.7147888077888636E-14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225.28075317732998</v>
      </c>
      <c r="AO126" s="59">
        <f t="shared" si="90"/>
        <v>358.43407531256207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0.35567311086002307</v>
      </c>
      <c r="AV126" s="21">
        <f>EXP(-LN(2)/25)*AV125+(1-EXP(-LN(2)/25))/(LN(2)/25)*Calculateur!AQ126*Calculateur!AS126*VLOOKUP('Données projet'!$B$10,Paramètres!$A$1:$I$89,3,0)*0.475*44/12</f>
        <v>0.62774305652226381</v>
      </c>
      <c r="AW126" s="21">
        <f>EXP(-LN(2)/2)*AW125+(1-EXP(-LN(2)/2))/(LN(2)/2)*AQ126*AT126*VLOOKUP('Données projet'!$B$10,Paramètres!$A$1:$I$89,3,0)*0.475*44/12</f>
        <v>4.4354696096541424E-14</v>
      </c>
      <c r="AX126" s="21">
        <f t="shared" si="60"/>
        <v>0.98341616738233129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-5.6843418860808015E-13</v>
      </c>
      <c r="BE126" s="13">
        <f>BD126*VLOOKUP('Données projet'!$B$11,Paramètres!$A$1:$I$89,3,0)*VLOOKUP('Données projet'!$B$11,Paramètres!$A$1:$I$89,5,0)</f>
        <v>-3.177547114319168E-13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326.31232746914907</v>
      </c>
      <c r="BJ126" s="59">
        <f t="shared" si="92"/>
        <v>330.17137761430297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0.72417107430398864</v>
      </c>
      <c r="BQ126" s="21">
        <f>EXP(-LN(2)/25)*BQ125+(1-EXP(-LN(2)/25))/(LN(2)/25)*Calculateur!BL126*Calculateur!BN126*VLOOKUP('Données projet'!$B$11,Paramètres!$A$1:$I$89,3,0)*0.475*44/12</f>
        <v>2.2897399646732786</v>
      </c>
      <c r="BR126" s="21">
        <f>EXP(-LN(2)/2)*BR125+(1-EXP(-LN(2)/2))/(LN(2)/2)*BL126*BO126*VLOOKUP('Données projet'!$B$11,Paramètres!$A$1:$I$89,3,0)*0.475*44/12</f>
        <v>3.2680118842283312E-13</v>
      </c>
      <c r="BS126" s="22">
        <f t="shared" si="63"/>
        <v>3.0139110389775938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210.04871822652808</v>
      </c>
      <c r="CE126" s="59">
        <f t="shared" si="94"/>
        <v>250.17540614049324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1.1574489052300523</v>
      </c>
      <c r="CL126" s="21">
        <f>EXP(-LN(2)/25)*CL125+(1-EXP(-LN(2)/25))/(LN(2)/25)*Calculateur!CG126*Calculateur!CI126*VLOOKUP('Données projet'!$B$12,Paramètres!$A$1:$I$89,3,0)*0.475*44/12</f>
        <v>2.1119943789342299</v>
      </c>
      <c r="CM126" s="21">
        <f>EXP(-LN(2)/2)*CM125+(1-EXP(-LN(2)/2))/(LN(2)/2)*CG126*CJ126*VLOOKUP('Données projet'!$B$12,Paramètres!$A$1:$I$89,3,0)*0.475*44/12</f>
        <v>2.165862282356804E-13</v>
      </c>
      <c r="CN126" s="22">
        <f t="shared" si="66"/>
        <v>3.2694432841644989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4.5224624045658861E-14</v>
      </c>
      <c r="CV126" s="13">
        <f t="shared" si="95"/>
        <v>7.4514601661523691E-13</v>
      </c>
      <c r="CW126" s="20">
        <f t="shared" si="67"/>
        <v>1.3765621991510601E-12</v>
      </c>
      <c r="CX126" s="59">
        <f t="shared" si="68"/>
        <v>293.33333333333468</v>
      </c>
      <c r="CY126" s="59">
        <f ca="1">AVERAGE(OFFSET($CX$3,0,0,'Données projet'!$E$13+1,1))-AVERAGE(OFFSET($H$3,0,0,'Données projet'!$E$13+1,1))</f>
        <v>199.58763537752952</v>
      </c>
      <c r="CZ126" s="59">
        <f t="shared" si="96"/>
        <v>242.62852778451929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0.78034608909465497</v>
      </c>
      <c r="DH126" s="21">
        <f>EXP(-LN(2)/2)*DH125+(1-EXP(-LN(2)/2))/(LN(2)/2)*DB126*DE126*VLOOKUP('Données projet'!$B$13,Paramètres!$A$1:$I$89,3,0)*0.475*44/12</f>
        <v>1.0813850673203297E-13</v>
      </c>
      <c r="DI126" s="22">
        <f t="shared" si="69"/>
        <v>0.78034608909476311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-4.5474735088646412E-13</v>
      </c>
      <c r="DP126" s="17">
        <f>DO126*VLOOKUP('Données projet'!$B$14,Paramètres!$A$1:$I$89,3,0)*VLOOKUP('Données projet'!$B$14,Paramètres!$A$1:$I$89,5,0)</f>
        <v>-2.7193891583010558E-13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216.94426559495264</v>
      </c>
      <c r="DU126" s="59">
        <f t="shared" si="98"/>
        <v>225.33715877618704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0.97509437955626876</v>
      </c>
      <c r="EC126" s="21">
        <f>EXP(-LN(2)/2)*EC125+(1-EXP(-LN(2)/2))/(LN(2)/2)*DW126*DZ126*VLOOKUP('Données projet'!$B$14,Paramètres!$A$1:$I$89,3,0)*0.475*44/12</f>
        <v>2.3844664951856987E-13</v>
      </c>
      <c r="ED126" s="22">
        <f t="shared" si="72"/>
        <v>0.97509437955650724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6.8212102632969618E-13</v>
      </c>
      <c r="EK126" s="17">
        <f>EJ126*VLOOKUP('Données projet'!$B$15,Paramètres!$A$1:$I$89,3,0)*VLOOKUP('Données projet'!$B$15,Paramètres!$A$1:$I$89,5,0)</f>
        <v>3.2810021366458383E-13</v>
      </c>
      <c r="EL126" s="13">
        <f t="shared" si="99"/>
        <v>4.2923528923937213E-12</v>
      </c>
      <c r="EM126" s="20">
        <f t="shared" si="73"/>
        <v>8.0472891597182151E-12</v>
      </c>
      <c r="EN126" s="59">
        <f t="shared" si="74"/>
        <v>293.33333333334139</v>
      </c>
      <c r="EO126" s="59">
        <f ca="1">AVERAGE(OFFSET($EN$3,0,0,'Données projet'!$E$15+1,1))-AVERAGE(OFFSET($H$3,0,0,'Données projet'!$E$15+1,1))</f>
        <v>292.1792787220852</v>
      </c>
      <c r="EP126" s="59">
        <f t="shared" si="100"/>
        <v>273.69206144662144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1.0682124816975771</v>
      </c>
      <c r="EW126" s="21">
        <f>EXP(-LN(2)/25)*EW125+(1-EXP(-LN(2)/25))/(LN(2)/25)*Calculateur!ER126*Calculateur!ET126*VLOOKUP('Données projet'!$B$15,Paramètres!$A$1:$I$89,3,0)*0.475*44/12</f>
        <v>1.0186439371484517</v>
      </c>
      <c r="EX126" s="21">
        <f>EXP(-LN(2)/2)*EX125+(1-EXP(-LN(2)/2))/(LN(2)/2)*ER126*EU126*VLOOKUP('Données projet'!$B$15,Paramètres!$A$1:$I$89,3,0)*0.475*44/12</f>
        <v>2.1014402272483455E-13</v>
      </c>
      <c r="EY126" s="22">
        <f t="shared" si="75"/>
        <v>2.0868564188462391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215.23235148064941</v>
      </c>
      <c r="T127" s="59">
        <f t="shared" si="88"/>
        <v>184.07239726900434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0.4871907347562528</v>
      </c>
      <c r="AA127" s="21">
        <f>EXP(-LN(2)/25)*AA126+(1-EXP(-LN(2)/25))/(LN(2)/25)*Calculateur!V127*Calculateur!X127*VLOOKUP('Données projet'!$B$9,Paramètres!$A$1:$I$89,3,0)*0.475*44/12</f>
        <v>0.57982785963670425</v>
      </c>
      <c r="AB127" s="21">
        <f>EXP(-LN(2)/2)*AB126+(1-EXP(-LN(2)/2))/(LN(2)/2)*V127*Y127*VLOOKUP('Données projet'!$B$9,Paramètres!$A$1:$I$89,3,0)*0.475*44/12</f>
        <v>6.9861815747856269E-14</v>
      </c>
      <c r="AC127" s="22">
        <f t="shared" si="57"/>
        <v>1.067018594393027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-8.5265128291212022E-14</v>
      </c>
      <c r="AJ127" s="13">
        <f>AI127*VLOOKUP('Données projet'!$B$10,Paramètres!$A$1:$I$89,3,0)*VLOOKUP('Données projet'!$B$10,Paramètres!$A$1:$I$89,5,0)</f>
        <v>-7.7147888077888636E-14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225.28075317732998</v>
      </c>
      <c r="AO127" s="59">
        <f t="shared" si="90"/>
        <v>358.43407531256207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0.34869857809523469</v>
      </c>
      <c r="AV127" s="21">
        <f>EXP(-LN(2)/25)*AV126+(1-EXP(-LN(2)/25))/(LN(2)/25)*Calculateur!AQ127*Calculateur!AS127*VLOOKUP('Données projet'!$B$10,Paramètres!$A$1:$I$89,3,0)*0.475*44/12</f>
        <v>0.6105773896300899</v>
      </c>
      <c r="AW127" s="21">
        <f>EXP(-LN(2)/2)*AW126+(1-EXP(-LN(2)/2))/(LN(2)/2)*AQ127*AT127*VLOOKUP('Données projet'!$B$10,Paramètres!$A$1:$I$89,3,0)*0.475*44/12</f>
        <v>3.136350638733293E-14</v>
      </c>
      <c r="AX127" s="21">
        <f t="shared" si="60"/>
        <v>0.95927596772535595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-5.6843418860808015E-13</v>
      </c>
      <c r="BE127" s="13">
        <f>BD127*VLOOKUP('Données projet'!$B$11,Paramètres!$A$1:$I$89,3,0)*VLOOKUP('Données projet'!$B$11,Paramètres!$A$1:$I$89,5,0)</f>
        <v>-3.177547114319168E-13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326.31232746914907</v>
      </c>
      <c r="BJ127" s="59">
        <f t="shared" si="92"/>
        <v>330.17137761430297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0.70997052123762838</v>
      </c>
      <c r="BQ127" s="21">
        <f>EXP(-LN(2)/25)*BQ126+(1-EXP(-LN(2)/25))/(LN(2)/25)*Calculateur!BL127*Calculateur!BN127*VLOOKUP('Données projet'!$B$11,Paramètres!$A$1:$I$89,3,0)*0.475*44/12</f>
        <v>2.2271269049270961</v>
      </c>
      <c r="BR127" s="21">
        <f>EXP(-LN(2)/2)*BR126+(1-EXP(-LN(2)/2))/(LN(2)/2)*BL127*BO127*VLOOKUP('Données projet'!$B$11,Paramètres!$A$1:$I$89,3,0)*0.475*44/12</f>
        <v>2.3108333643360795E-13</v>
      </c>
      <c r="BS127" s="22">
        <f t="shared" si="63"/>
        <v>2.9370974261649554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210.04871822652808</v>
      </c>
      <c r="CE127" s="59">
        <f t="shared" si="94"/>
        <v>250.17540614049324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1.1347520381726139</v>
      </c>
      <c r="CL127" s="21">
        <f>EXP(-LN(2)/25)*CL126+(1-EXP(-LN(2)/25))/(LN(2)/25)*Calculateur!CG127*Calculateur!CI127*VLOOKUP('Données projet'!$B$12,Paramètres!$A$1:$I$89,3,0)*0.475*44/12</f>
        <v>2.054241781577316</v>
      </c>
      <c r="CM127" s="21">
        <f>EXP(-LN(2)/2)*CM126+(1-EXP(-LN(2)/2))/(LN(2)/2)*CG127*CJ127*VLOOKUP('Données projet'!$B$12,Paramètres!$A$1:$I$89,3,0)*0.475*44/12</f>
        <v>1.531495906970669E-13</v>
      </c>
      <c r="CN127" s="22">
        <f t="shared" si="66"/>
        <v>3.1889938197500833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4.5224624045658861E-14</v>
      </c>
      <c r="CV127" s="13">
        <f t="shared" si="95"/>
        <v>7.4514601661523691E-13</v>
      </c>
      <c r="CW127" s="20">
        <f t="shared" si="67"/>
        <v>1.3765621991510601E-12</v>
      </c>
      <c r="CX127" s="59">
        <f t="shared" si="68"/>
        <v>293.33333333333468</v>
      </c>
      <c r="CY127" s="59">
        <f ca="1">AVERAGE(OFFSET($CX$3,0,0,'Données projet'!$E$13+1,1))-AVERAGE(OFFSET($H$3,0,0,'Données projet'!$E$13+1,1))</f>
        <v>199.58763537752952</v>
      </c>
      <c r="CZ127" s="59">
        <f t="shared" si="96"/>
        <v>242.62852778451929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0.75900748425174436</v>
      </c>
      <c r="DH127" s="21">
        <f>EXP(-LN(2)/2)*DH126+(1-EXP(-LN(2)/2))/(LN(2)/2)*DB127*DE127*VLOOKUP('Données projet'!$B$13,Paramètres!$A$1:$I$89,3,0)*0.475*44/12</f>
        <v>7.646547141760763E-14</v>
      </c>
      <c r="DI127" s="22">
        <f t="shared" si="69"/>
        <v>0.75900748425182085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-4.5474735088646412E-13</v>
      </c>
      <c r="DP127" s="17">
        <f>DO127*VLOOKUP('Données projet'!$B$14,Paramètres!$A$1:$I$89,3,0)*VLOOKUP('Données projet'!$B$14,Paramètres!$A$1:$I$89,5,0)</f>
        <v>-2.7193891583010558E-13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216.94426559495264</v>
      </c>
      <c r="DU127" s="59">
        <f t="shared" si="98"/>
        <v>225.33715877618704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0.94843037246931783</v>
      </c>
      <c r="EC127" s="21">
        <f>EXP(-LN(2)/2)*EC126+(1-EXP(-LN(2)/2))/(LN(2)/2)*DW127*DZ127*VLOOKUP('Données projet'!$B$14,Paramètres!$A$1:$I$89,3,0)*0.475*44/12</f>
        <v>1.6860724282579278E-13</v>
      </c>
      <c r="ED127" s="22">
        <f t="shared" si="72"/>
        <v>0.94843037246948647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6.8212102632969618E-13</v>
      </c>
      <c r="EK127" s="17">
        <f>EJ127*VLOOKUP('Données projet'!$B$15,Paramètres!$A$1:$I$89,3,0)*VLOOKUP('Données projet'!$B$15,Paramètres!$A$1:$I$89,5,0)</f>
        <v>3.2810021366458383E-13</v>
      </c>
      <c r="EL127" s="13">
        <f t="shared" si="99"/>
        <v>4.2923528923937213E-12</v>
      </c>
      <c r="EM127" s="20">
        <f t="shared" si="73"/>
        <v>8.0472891597182151E-12</v>
      </c>
      <c r="EN127" s="59">
        <f t="shared" si="74"/>
        <v>293.33333333334139</v>
      </c>
      <c r="EO127" s="59">
        <f ca="1">AVERAGE(OFFSET($EN$3,0,0,'Données projet'!$E$15+1,1))-AVERAGE(OFFSET($H$3,0,0,'Données projet'!$E$15+1,1))</f>
        <v>292.1792787220852</v>
      </c>
      <c r="EP127" s="59">
        <f t="shared" si="100"/>
        <v>273.69206144662144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1.0472654864767668</v>
      </c>
      <c r="EW127" s="21">
        <f>EXP(-LN(2)/25)*EW126+(1-EXP(-LN(2)/25))/(LN(2)/25)*Calculateur!ER127*Calculateur!ET127*VLOOKUP('Données projet'!$B$15,Paramètres!$A$1:$I$89,3,0)*0.475*44/12</f>
        <v>0.9907890651189708</v>
      </c>
      <c r="EX127" s="21">
        <f>EXP(-LN(2)/2)*EX126+(1-EXP(-LN(2)/2))/(LN(2)/2)*ER127*EU127*VLOOKUP('Données projet'!$B$15,Paramètres!$A$1:$I$89,3,0)*0.475*44/12</f>
        <v>1.4859426349455045E-13</v>
      </c>
      <c r="EY127" s="22">
        <f t="shared" si="75"/>
        <v>2.0380545515958866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215.23235148064941</v>
      </c>
      <c r="T128" s="59">
        <f t="shared" si="88"/>
        <v>184.07239726900434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0.47763722160468908</v>
      </c>
      <c r="AA128" s="21">
        <f>EXP(-LN(2)/25)*AA127+(1-EXP(-LN(2)/25))/(LN(2)/25)*Calculateur!V128*Calculateur!X128*VLOOKUP('Données projet'!$B$9,Paramètres!$A$1:$I$89,3,0)*0.475*44/12</f>
        <v>0.56397243632311667</v>
      </c>
      <c r="AB128" s="21">
        <f>EXP(-LN(2)/2)*AB127+(1-EXP(-LN(2)/2))/(LN(2)/2)*V128*Y128*VLOOKUP('Données projet'!$B$9,Paramètres!$A$1:$I$89,3,0)*0.475*44/12</f>
        <v>4.9399763661314303E-14</v>
      </c>
      <c r="AC128" s="22">
        <f t="shared" si="57"/>
        <v>1.0416096579278551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-8.5265128291212022E-14</v>
      </c>
      <c r="AJ128" s="13">
        <f>AI128*VLOOKUP('Données projet'!$B$10,Paramètres!$A$1:$I$89,3,0)*VLOOKUP('Données projet'!$B$10,Paramètres!$A$1:$I$89,5,0)</f>
        <v>-7.7147888077888636E-14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225.28075317732998</v>
      </c>
      <c r="AO128" s="59">
        <f t="shared" si="90"/>
        <v>358.43407531256207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0.34186081166391885</v>
      </c>
      <c r="AV128" s="21">
        <f>EXP(-LN(2)/25)*AV127+(1-EXP(-LN(2)/25))/(LN(2)/25)*Calculateur!AQ128*Calculateur!AS128*VLOOKUP('Données projet'!$B$10,Paramètres!$A$1:$I$89,3,0)*0.475*44/12</f>
        <v>0.59388111880178562</v>
      </c>
      <c r="AW128" s="21">
        <f>EXP(-LN(2)/2)*AW127+(1-EXP(-LN(2)/2))/(LN(2)/2)*AQ128*AT128*VLOOKUP('Données projet'!$B$10,Paramètres!$A$1:$I$89,3,0)*0.475*44/12</f>
        <v>2.2177348048270712E-14</v>
      </c>
      <c r="AX128" s="21">
        <f t="shared" si="60"/>
        <v>0.93574193046572662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-5.6843418860808015E-13</v>
      </c>
      <c r="BE128" s="13">
        <f>BD128*VLOOKUP('Données projet'!$B$11,Paramètres!$A$1:$I$89,3,0)*VLOOKUP('Données projet'!$B$11,Paramètres!$A$1:$I$89,5,0)</f>
        <v>-3.177547114319168E-13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326.31232746914907</v>
      </c>
      <c r="BJ128" s="59">
        <f t="shared" si="92"/>
        <v>330.17137761430297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0.69604843235541736</v>
      </c>
      <c r="BQ128" s="21">
        <f>EXP(-LN(2)/25)*BQ127+(1-EXP(-LN(2)/25))/(LN(2)/25)*Calculateur!BL128*Calculateur!BN128*VLOOKUP('Données projet'!$B$11,Paramètres!$A$1:$I$89,3,0)*0.475*44/12</f>
        <v>2.1662260025923508</v>
      </c>
      <c r="BR128" s="21">
        <f>EXP(-LN(2)/2)*BR127+(1-EXP(-LN(2)/2))/(LN(2)/2)*BL128*BO128*VLOOKUP('Données projet'!$B$11,Paramètres!$A$1:$I$89,3,0)*0.475*44/12</f>
        <v>1.6340059421141656E-13</v>
      </c>
      <c r="BS128" s="22">
        <f t="shared" si="63"/>
        <v>2.8622744349479317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210.04871822652808</v>
      </c>
      <c r="CE128" s="59">
        <f t="shared" si="94"/>
        <v>250.17540614049324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1.1125002428344501</v>
      </c>
      <c r="CL128" s="21">
        <f>EXP(-LN(2)/25)*CL127+(1-EXP(-LN(2)/25))/(LN(2)/25)*Calculateur!CG128*Calculateur!CI128*VLOOKUP('Données projet'!$B$12,Paramètres!$A$1:$I$89,3,0)*0.475*44/12</f>
        <v>1.998068432032204</v>
      </c>
      <c r="CM128" s="21">
        <f>EXP(-LN(2)/2)*CM127+(1-EXP(-LN(2)/2))/(LN(2)/2)*CG128*CJ128*VLOOKUP('Données projet'!$B$12,Paramètres!$A$1:$I$89,3,0)*0.475*44/12</f>
        <v>1.082931141178402E-13</v>
      </c>
      <c r="CN128" s="22">
        <f t="shared" si="66"/>
        <v>3.1105686748667623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4.5224624045658861E-14</v>
      </c>
      <c r="CV128" s="13">
        <f t="shared" si="95"/>
        <v>7.4514601661523691E-13</v>
      </c>
      <c r="CW128" s="20">
        <f t="shared" si="67"/>
        <v>1.3765621991510601E-12</v>
      </c>
      <c r="CX128" s="59">
        <f t="shared" si="68"/>
        <v>293.33333333333468</v>
      </c>
      <c r="CY128" s="59">
        <f ca="1">AVERAGE(OFFSET($CX$3,0,0,'Données projet'!$E$13+1,1))-AVERAGE(OFFSET($H$3,0,0,'Données projet'!$E$13+1,1))</f>
        <v>199.58763537752952</v>
      </c>
      <c r="CZ128" s="59">
        <f t="shared" si="96"/>
        <v>242.62852778451929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0.73825238468041154</v>
      </c>
      <c r="DH128" s="21">
        <f>EXP(-LN(2)/2)*DH127+(1-EXP(-LN(2)/2))/(LN(2)/2)*DB128*DE128*VLOOKUP('Données projet'!$B$13,Paramètres!$A$1:$I$89,3,0)*0.475*44/12</f>
        <v>5.4069253366016483E-14</v>
      </c>
      <c r="DI128" s="22">
        <f t="shared" si="69"/>
        <v>0.73825238468046561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-4.5474735088646412E-13</v>
      </c>
      <c r="DP128" s="17">
        <f>DO128*VLOOKUP('Données projet'!$B$14,Paramètres!$A$1:$I$89,3,0)*VLOOKUP('Données projet'!$B$14,Paramètres!$A$1:$I$89,5,0)</f>
        <v>-2.7193891583010558E-13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216.94426559495264</v>
      </c>
      <c r="DU128" s="59">
        <f t="shared" si="98"/>
        <v>225.33715877618704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0.92249549405835873</v>
      </c>
      <c r="EC128" s="21">
        <f>EXP(-LN(2)/2)*EC127+(1-EXP(-LN(2)/2))/(LN(2)/2)*DW128*DZ128*VLOOKUP('Données projet'!$B$14,Paramètres!$A$1:$I$89,3,0)*0.475*44/12</f>
        <v>1.1922332475928494E-13</v>
      </c>
      <c r="ED128" s="22">
        <f t="shared" si="72"/>
        <v>0.92249549405847797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6.8212102632969618E-13</v>
      </c>
      <c r="EK128" s="17">
        <f>EJ128*VLOOKUP('Données projet'!$B$15,Paramètres!$A$1:$I$89,3,0)*VLOOKUP('Données projet'!$B$15,Paramètres!$A$1:$I$89,5,0)</f>
        <v>3.2810021366458383E-13</v>
      </c>
      <c r="EL128" s="13">
        <f t="shared" si="99"/>
        <v>4.2923528923937213E-12</v>
      </c>
      <c r="EM128" s="20">
        <f t="shared" si="73"/>
        <v>8.0472891597182151E-12</v>
      </c>
      <c r="EN128" s="59">
        <f t="shared" si="74"/>
        <v>293.33333333334139</v>
      </c>
      <c r="EO128" s="59">
        <f ca="1">AVERAGE(OFFSET($EN$3,0,0,'Données projet'!$E$15+1,1))-AVERAGE(OFFSET($H$3,0,0,'Données projet'!$E$15+1,1))</f>
        <v>292.1792787220852</v>
      </c>
      <c r="EP128" s="59">
        <f t="shared" si="100"/>
        <v>273.69206144662144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1.0267292490558309</v>
      </c>
      <c r="EW128" s="21">
        <f>EXP(-LN(2)/25)*EW127+(1-EXP(-LN(2)/25))/(LN(2)/25)*Calculateur!ER128*Calculateur!ET128*VLOOKUP('Données projet'!$B$15,Paramètres!$A$1:$I$89,3,0)*0.475*44/12</f>
        <v>0.96369588602996004</v>
      </c>
      <c r="EX128" s="21">
        <f>EXP(-LN(2)/2)*EX127+(1-EXP(-LN(2)/2))/(LN(2)/2)*ER128*EU128*VLOOKUP('Données projet'!$B$15,Paramètres!$A$1:$I$89,3,0)*0.475*44/12</f>
        <v>1.0507201136241728E-13</v>
      </c>
      <c r="EY128" s="22">
        <f t="shared" si="75"/>
        <v>1.9904251350858959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215.23235148064941</v>
      </c>
      <c r="T129" s="59">
        <f t="shared" si="88"/>
        <v>184.07239726900434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0.46827104701895989</v>
      </c>
      <c r="AA129" s="21">
        <f>EXP(-LN(2)/25)*AA128+(1-EXP(-LN(2)/25))/(LN(2)/25)*Calculateur!V129*Calculateur!X129*VLOOKUP('Données projet'!$B$9,Paramètres!$A$1:$I$89,3,0)*0.475*44/12</f>
        <v>0.54855058039383964</v>
      </c>
      <c r="AB129" s="21">
        <f>EXP(-LN(2)/2)*AB128+(1-EXP(-LN(2)/2))/(LN(2)/2)*V129*Y129*VLOOKUP('Données projet'!$B$9,Paramètres!$A$1:$I$89,3,0)*0.475*44/12</f>
        <v>3.4930907873928134E-14</v>
      </c>
      <c r="AC129" s="22">
        <f t="shared" si="57"/>
        <v>1.0168216274128343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-8.5265128291212022E-14</v>
      </c>
      <c r="AJ129" s="13">
        <f>AI129*VLOOKUP('Données projet'!$B$10,Paramètres!$A$1:$I$89,3,0)*VLOOKUP('Données projet'!$B$10,Paramètres!$A$1:$I$89,5,0)</f>
        <v>-7.7147888077888636E-14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225.28075317732998</v>
      </c>
      <c r="AO129" s="59">
        <f t="shared" si="90"/>
        <v>358.43407531256207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0.33515712966169542</v>
      </c>
      <c r="AV129" s="21">
        <f>EXP(-LN(2)/25)*AV128+(1-EXP(-LN(2)/25))/(LN(2)/25)*Calculateur!AQ129*Calculateur!AS129*VLOOKUP('Données projet'!$B$10,Paramètres!$A$1:$I$89,3,0)*0.475*44/12</f>
        <v>0.57764140837730005</v>
      </c>
      <c r="AW129" s="21">
        <f>EXP(-LN(2)/2)*AW128+(1-EXP(-LN(2)/2))/(LN(2)/2)*AQ129*AT129*VLOOKUP('Données projet'!$B$10,Paramètres!$A$1:$I$89,3,0)*0.475*44/12</f>
        <v>1.5681753193666465E-14</v>
      </c>
      <c r="AX129" s="21">
        <f t="shared" si="60"/>
        <v>0.91279853803901112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-5.6843418860808015E-13</v>
      </c>
      <c r="BE129" s="13">
        <f>BD129*VLOOKUP('Données projet'!$B$11,Paramètres!$A$1:$I$89,3,0)*VLOOKUP('Données projet'!$B$11,Paramètres!$A$1:$I$89,5,0)</f>
        <v>-3.177547114319168E-13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326.31232746914907</v>
      </c>
      <c r="BJ129" s="59">
        <f t="shared" si="92"/>
        <v>330.17137761430297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0.68239934714455075</v>
      </c>
      <c r="BQ129" s="21">
        <f>EXP(-LN(2)/25)*BQ128+(1-EXP(-LN(2)/25))/(LN(2)/25)*Calculateur!BL129*Calculateur!BN129*VLOOKUP('Données projet'!$B$11,Paramètres!$A$1:$I$89,3,0)*0.475*44/12</f>
        <v>2.1069904386345883</v>
      </c>
      <c r="BR129" s="21">
        <f>EXP(-LN(2)/2)*BR128+(1-EXP(-LN(2)/2))/(LN(2)/2)*BL129*BO129*VLOOKUP('Données projet'!$B$11,Paramètres!$A$1:$I$89,3,0)*0.475*44/12</f>
        <v>1.1554166821680398E-13</v>
      </c>
      <c r="BS129" s="22">
        <f t="shared" si="63"/>
        <v>2.7893897857792544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210.04871822652808</v>
      </c>
      <c r="CE129" s="59">
        <f t="shared" si="94"/>
        <v>250.17540614049324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1.0906847916306126</v>
      </c>
      <c r="CL129" s="21">
        <f>EXP(-LN(2)/25)*CL128+(1-EXP(-LN(2)/25))/(LN(2)/25)*Calculateur!CG129*Calculateur!CI129*VLOOKUP('Données projet'!$B$12,Paramètres!$A$1:$I$89,3,0)*0.475*44/12</f>
        <v>1.9434311456844311</v>
      </c>
      <c r="CM129" s="21">
        <f>EXP(-LN(2)/2)*CM128+(1-EXP(-LN(2)/2))/(LN(2)/2)*CG129*CJ129*VLOOKUP('Données projet'!$B$12,Paramètres!$A$1:$I$89,3,0)*0.475*44/12</f>
        <v>7.6574795348533449E-14</v>
      </c>
      <c r="CN129" s="22">
        <f t="shared" si="66"/>
        <v>3.0341159373151201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4.5224624045658861E-14</v>
      </c>
      <c r="CV129" s="13">
        <f t="shared" si="95"/>
        <v>7.4514601661523691E-13</v>
      </c>
      <c r="CW129" s="20">
        <f t="shared" si="67"/>
        <v>1.3765621991510601E-12</v>
      </c>
      <c r="CX129" s="59">
        <f t="shared" si="68"/>
        <v>293.33333333333468</v>
      </c>
      <c r="CY129" s="59">
        <f ca="1">AVERAGE(OFFSET($CX$3,0,0,'Données projet'!$E$13+1,1))-AVERAGE(OFFSET($H$3,0,0,'Données projet'!$E$13+1,1))</f>
        <v>199.58763537752952</v>
      </c>
      <c r="CZ129" s="59">
        <f t="shared" si="96"/>
        <v>242.62852778451929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0.71806483439832003</v>
      </c>
      <c r="DH129" s="21">
        <f>EXP(-LN(2)/2)*DH128+(1-EXP(-LN(2)/2))/(LN(2)/2)*DB129*DE129*VLOOKUP('Données projet'!$B$13,Paramètres!$A$1:$I$89,3,0)*0.475*44/12</f>
        <v>3.8232735708803815E-14</v>
      </c>
      <c r="DI129" s="22">
        <f t="shared" si="69"/>
        <v>0.71806483439835822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-4.5474735088646412E-13</v>
      </c>
      <c r="DP129" s="17">
        <f>DO129*VLOOKUP('Données projet'!$B$14,Paramètres!$A$1:$I$89,3,0)*VLOOKUP('Données projet'!$B$14,Paramètres!$A$1:$I$89,5,0)</f>
        <v>-2.7193891583010558E-13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216.94426559495264</v>
      </c>
      <c r="DU129" s="59">
        <f t="shared" si="98"/>
        <v>225.33715877618704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0.89726980626140329</v>
      </c>
      <c r="EC129" s="21">
        <f>EXP(-LN(2)/2)*EC128+(1-EXP(-LN(2)/2))/(LN(2)/2)*DW129*DZ129*VLOOKUP('Données projet'!$B$14,Paramètres!$A$1:$I$89,3,0)*0.475*44/12</f>
        <v>8.4303621412896389E-14</v>
      </c>
      <c r="ED129" s="22">
        <f t="shared" si="72"/>
        <v>0.89726980626148756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6.8212102632969618E-13</v>
      </c>
      <c r="EK129" s="17">
        <f>EJ129*VLOOKUP('Données projet'!$B$15,Paramètres!$A$1:$I$89,3,0)*VLOOKUP('Données projet'!$B$15,Paramètres!$A$1:$I$89,5,0)</f>
        <v>3.2810021366458383E-13</v>
      </c>
      <c r="EL129" s="13">
        <f t="shared" si="99"/>
        <v>4.2923528923937213E-12</v>
      </c>
      <c r="EM129" s="20">
        <f t="shared" si="73"/>
        <v>8.0472891597182151E-12</v>
      </c>
      <c r="EN129" s="59">
        <f t="shared" si="74"/>
        <v>293.33333333334139</v>
      </c>
      <c r="EO129" s="59">
        <f ca="1">AVERAGE(OFFSET($EN$3,0,0,'Données projet'!$E$15+1,1))-AVERAGE(OFFSET($H$3,0,0,'Données projet'!$E$15+1,1))</f>
        <v>292.1792787220852</v>
      </c>
      <c r="EP129" s="59">
        <f t="shared" si="100"/>
        <v>273.69206144662144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1.0065957147248517</v>
      </c>
      <c r="EW129" s="21">
        <f>EXP(-LN(2)/25)*EW128+(1-EXP(-LN(2)/25))/(LN(2)/25)*Calculateur!ER129*Calculateur!ET129*VLOOKUP('Données projet'!$B$15,Paramètres!$A$1:$I$89,3,0)*0.475*44/12</f>
        <v>0.93734357134790669</v>
      </c>
      <c r="EX129" s="21">
        <f>EXP(-LN(2)/2)*EX128+(1-EXP(-LN(2)/2))/(LN(2)/2)*ER129*EU129*VLOOKUP('Données projet'!$B$15,Paramètres!$A$1:$I$89,3,0)*0.475*44/12</f>
        <v>7.4297131747275227E-14</v>
      </c>
      <c r="EY129" s="22">
        <f t="shared" si="75"/>
        <v>1.9439392860728326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215.23235148064941</v>
      </c>
      <c r="T130" s="59">
        <f t="shared" si="88"/>
        <v>184.07239726900434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0.45908853740405442</v>
      </c>
      <c r="AA130" s="21">
        <f>EXP(-LN(2)/25)*AA129+(1-EXP(-LN(2)/25))/(LN(2)/25)*Calculateur!V130*Calculateur!X130*VLOOKUP('Données projet'!$B$9,Paramètres!$A$1:$I$89,3,0)*0.475*44/12</f>
        <v>0.53355043592594875</v>
      </c>
      <c r="AB130" s="21">
        <f>EXP(-LN(2)/2)*AB129+(1-EXP(-LN(2)/2))/(LN(2)/2)*V130*Y130*VLOOKUP('Données projet'!$B$9,Paramètres!$A$1:$I$89,3,0)*0.475*44/12</f>
        <v>2.4699881830657152E-14</v>
      </c>
      <c r="AC130" s="22">
        <f t="shared" si="57"/>
        <v>0.99263897333002782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-8.5265128291212022E-14</v>
      </c>
      <c r="AJ130" s="13">
        <f>AI130*VLOOKUP('Données projet'!$B$10,Paramètres!$A$1:$I$89,3,0)*VLOOKUP('Données projet'!$B$10,Paramètres!$A$1:$I$89,5,0)</f>
        <v>-7.7147888077888636E-14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225.28075317732998</v>
      </c>
      <c r="AO130" s="59">
        <f t="shared" si="90"/>
        <v>358.43407531256207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0.32858490277469332</v>
      </c>
      <c r="AV130" s="21">
        <f>EXP(-LN(2)/25)*AV129+(1-EXP(-LN(2)/25))/(LN(2)/25)*Calculateur!AQ130*Calculateur!AS130*VLOOKUP('Données projet'!$B$10,Paramètres!$A$1:$I$89,3,0)*0.475*44/12</f>
        <v>0.56184577368838129</v>
      </c>
      <c r="AW130" s="21">
        <f>EXP(-LN(2)/2)*AW129+(1-EXP(-LN(2)/2))/(LN(2)/2)*AQ130*AT130*VLOOKUP('Données projet'!$B$10,Paramètres!$A$1:$I$89,3,0)*0.475*44/12</f>
        <v>1.1088674024135356E-14</v>
      </c>
      <c r="AX130" s="21">
        <f t="shared" si="60"/>
        <v>0.89043067646308571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-5.6843418860808015E-13</v>
      </c>
      <c r="BE130" s="13">
        <f>BD130*VLOOKUP('Données projet'!$B$11,Paramètres!$A$1:$I$89,3,0)*VLOOKUP('Données projet'!$B$11,Paramètres!$A$1:$I$89,5,0)</f>
        <v>-3.177547114319168E-13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326.31232746914907</v>
      </c>
      <c r="BJ130" s="59">
        <f t="shared" si="92"/>
        <v>330.17137761430297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0.66901791216954931</v>
      </c>
      <c r="BQ130" s="21">
        <f>EXP(-LN(2)/25)*BQ129+(1-EXP(-LN(2)/25))/(LN(2)/25)*Calculateur!BL130*Calculateur!BN130*VLOOKUP('Données projet'!$B$11,Paramètres!$A$1:$I$89,3,0)*0.475*44/12</f>
        <v>2.0493746742883139</v>
      </c>
      <c r="BR130" s="21">
        <f>EXP(-LN(2)/2)*BR129+(1-EXP(-LN(2)/2))/(LN(2)/2)*BL130*BO130*VLOOKUP('Données projet'!$B$11,Paramètres!$A$1:$I$89,3,0)*0.475*44/12</f>
        <v>8.1700297105708281E-14</v>
      </c>
      <c r="BS130" s="22">
        <f t="shared" si="63"/>
        <v>2.718392586457945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210.04871822652808</v>
      </c>
      <c r="CE130" s="59">
        <f t="shared" si="94"/>
        <v>250.17540614049324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1.0692971281187711</v>
      </c>
      <c r="CL130" s="21">
        <f>EXP(-LN(2)/25)*CL129+(1-EXP(-LN(2)/25))/(LN(2)/25)*Calculateur!CG130*Calculateur!CI130*VLOOKUP('Données projet'!$B$12,Paramètres!$A$1:$I$89,3,0)*0.475*44/12</f>
        <v>1.8902879188050881</v>
      </c>
      <c r="CM130" s="21">
        <f>EXP(-LN(2)/2)*CM129+(1-EXP(-LN(2)/2))/(LN(2)/2)*CG130*CJ130*VLOOKUP('Données projet'!$B$12,Paramètres!$A$1:$I$89,3,0)*0.475*44/12</f>
        <v>5.41465570589201E-14</v>
      </c>
      <c r="CN130" s="22">
        <f t="shared" si="66"/>
        <v>2.9595850469239133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4.5224624045658861E-14</v>
      </c>
      <c r="CV130" s="13">
        <f t="shared" si="95"/>
        <v>7.4514601661523691E-13</v>
      </c>
      <c r="CW130" s="20">
        <f t="shared" si="67"/>
        <v>1.3765621991510601E-12</v>
      </c>
      <c r="CX130" s="59">
        <f t="shared" si="68"/>
        <v>293.33333333333468</v>
      </c>
      <c r="CY130" s="59">
        <f ca="1">AVERAGE(OFFSET($CX$3,0,0,'Données projet'!$E$13+1,1))-AVERAGE(OFFSET($H$3,0,0,'Données projet'!$E$13+1,1))</f>
        <v>199.58763537752952</v>
      </c>
      <c r="CZ130" s="59">
        <f t="shared" si="96"/>
        <v>242.62852778451929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0.69842931374030948</v>
      </c>
      <c r="DH130" s="21">
        <f>EXP(-LN(2)/2)*DH129+(1-EXP(-LN(2)/2))/(LN(2)/2)*DB130*DE130*VLOOKUP('Données projet'!$B$13,Paramètres!$A$1:$I$89,3,0)*0.475*44/12</f>
        <v>2.7034626683008242E-14</v>
      </c>
      <c r="DI130" s="22">
        <f t="shared" si="69"/>
        <v>0.69842931374033657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-4.5474735088646412E-13</v>
      </c>
      <c r="DP130" s="17">
        <f>DO130*VLOOKUP('Données projet'!$B$14,Paramètres!$A$1:$I$89,3,0)*VLOOKUP('Données projet'!$B$14,Paramètres!$A$1:$I$89,5,0)</f>
        <v>-2.7193891583010558E-13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216.94426559495264</v>
      </c>
      <c r="DU130" s="59">
        <f t="shared" si="98"/>
        <v>225.33715877618704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0.8727339162238168</v>
      </c>
      <c r="EC130" s="21">
        <f>EXP(-LN(2)/2)*EC129+(1-EXP(-LN(2)/2))/(LN(2)/2)*DW130*DZ130*VLOOKUP('Données projet'!$B$14,Paramètres!$A$1:$I$89,3,0)*0.475*44/12</f>
        <v>5.9611662379642468E-14</v>
      </c>
      <c r="ED130" s="22">
        <f t="shared" si="72"/>
        <v>0.87273391622387642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6.8212102632969618E-13</v>
      </c>
      <c r="EK130" s="17">
        <f>EJ130*VLOOKUP('Données projet'!$B$15,Paramètres!$A$1:$I$89,3,0)*VLOOKUP('Données projet'!$B$15,Paramètres!$A$1:$I$89,5,0)</f>
        <v>3.2810021366458383E-13</v>
      </c>
      <c r="EL130" s="13">
        <f t="shared" si="99"/>
        <v>4.2923528923937213E-12</v>
      </c>
      <c r="EM130" s="20">
        <f t="shared" si="73"/>
        <v>8.0472891597182151E-12</v>
      </c>
      <c r="EN130" s="59">
        <f t="shared" si="74"/>
        <v>293.33333333334139</v>
      </c>
      <c r="EO130" s="59">
        <f ca="1">AVERAGE(OFFSET($EN$3,0,0,'Données projet'!$E$15+1,1))-AVERAGE(OFFSET($H$3,0,0,'Données projet'!$E$15+1,1))</f>
        <v>292.1792787220852</v>
      </c>
      <c r="EP130" s="59">
        <f t="shared" si="100"/>
        <v>273.69206144662144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0.98685698672185951</v>
      </c>
      <c r="EW130" s="21">
        <f>EXP(-LN(2)/25)*EW129+(1-EXP(-LN(2)/25))/(LN(2)/25)*Calculateur!ER130*Calculateur!ET130*VLOOKUP('Données projet'!$B$15,Paramètres!$A$1:$I$89,3,0)*0.475*44/12</f>
        <v>0.91171186209664212</v>
      </c>
      <c r="EX130" s="21">
        <f>EXP(-LN(2)/2)*EX129+(1-EXP(-LN(2)/2))/(LN(2)/2)*ER130*EU130*VLOOKUP('Données projet'!$B$15,Paramètres!$A$1:$I$89,3,0)*0.475*44/12</f>
        <v>5.2536005681208638E-14</v>
      </c>
      <c r="EY130" s="22">
        <f t="shared" si="75"/>
        <v>1.8985688488185544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215.23235148064941</v>
      </c>
      <c r="T131" s="59">
        <f t="shared" si="88"/>
        <v>184.07239726900434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0.45008609120191939</v>
      </c>
      <c r="AA131" s="21">
        <f>EXP(-LN(2)/25)*AA130+(1-EXP(-LN(2)/25))/(LN(2)/25)*Calculateur!V131*Calculateur!X131*VLOOKUP('Données projet'!$B$9,Paramètres!$A$1:$I$89,3,0)*0.475*44/12</f>
        <v>0.51896047119735567</v>
      </c>
      <c r="AB131" s="21">
        <f>EXP(-LN(2)/2)*AB130+(1-EXP(-LN(2)/2))/(LN(2)/2)*V131*Y131*VLOOKUP('Données projet'!$B$9,Paramètres!$A$1:$I$89,3,0)*0.475*44/12</f>
        <v>1.7465453936964067E-14</v>
      </c>
      <c r="AC131" s="22">
        <f t="shared" si="57"/>
        <v>0.96904656239929243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-8.5265128291212022E-14</v>
      </c>
      <c r="AJ131" s="13">
        <f>AI131*VLOOKUP('Données projet'!$B$10,Paramètres!$A$1:$I$89,3,0)*VLOOKUP('Données projet'!$B$10,Paramètres!$A$1:$I$89,5,0)</f>
        <v>-7.7147888077888636E-14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225.28075317732998</v>
      </c>
      <c r="AO131" s="59">
        <f t="shared" si="90"/>
        <v>358.43407531256207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0.32214155324828275</v>
      </c>
      <c r="AV131" s="21">
        <f>EXP(-LN(2)/25)*AV130+(1-EXP(-LN(2)/25))/(LN(2)/25)*Calculateur!AQ131*Calculateur!AS131*VLOOKUP('Données projet'!$B$10,Paramètres!$A$1:$I$89,3,0)*0.475*44/12</f>
        <v>0.54648207146068739</v>
      </c>
      <c r="AW131" s="21">
        <f>EXP(-LN(2)/2)*AW130+(1-EXP(-LN(2)/2))/(LN(2)/2)*AQ131*AT131*VLOOKUP('Données projet'!$B$10,Paramètres!$A$1:$I$89,3,0)*0.475*44/12</f>
        <v>7.8408765968332326E-15</v>
      </c>
      <c r="AX131" s="21">
        <f t="shared" si="60"/>
        <v>0.86862362470897803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-5.6843418860808015E-13</v>
      </c>
      <c r="BE131" s="13">
        <f>BD131*VLOOKUP('Données projet'!$B$11,Paramètres!$A$1:$I$89,3,0)*VLOOKUP('Données projet'!$B$11,Paramètres!$A$1:$I$89,5,0)</f>
        <v>-3.177547114319168E-13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326.31232746914907</v>
      </c>
      <c r="BJ131" s="59">
        <f t="shared" si="92"/>
        <v>330.17137761430297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0.65589887897253818</v>
      </c>
      <c r="BQ131" s="21">
        <f>EXP(-LN(2)/25)*BQ130+(1-EXP(-LN(2)/25))/(LN(2)/25)*Calculateur!BL131*Calculateur!BN131*VLOOKUP('Données projet'!$B$11,Paramètres!$A$1:$I$89,3,0)*0.475*44/12</f>
        <v>1.9933344160479698</v>
      </c>
      <c r="BR131" s="21">
        <f>EXP(-LN(2)/2)*BR130+(1-EXP(-LN(2)/2))/(LN(2)/2)*BL131*BO131*VLOOKUP('Données projet'!$B$11,Paramètres!$A$1:$I$89,3,0)*0.475*44/12</f>
        <v>5.7770834108401988E-14</v>
      </c>
      <c r="BS131" s="22">
        <f t="shared" si="63"/>
        <v>2.6492332950205659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210.04871822652808</v>
      </c>
      <c r="CE131" s="59">
        <f t="shared" si="94"/>
        <v>250.17540614049324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1.04832886364321</v>
      </c>
      <c r="CL131" s="21">
        <f>EXP(-LN(2)/25)*CL130+(1-EXP(-LN(2)/25))/(LN(2)/25)*Calculateur!CG131*Calculateur!CI131*VLOOKUP('Données projet'!$B$12,Paramètres!$A$1:$I$89,3,0)*0.475*44/12</f>
        <v>1.8385978962594416</v>
      </c>
      <c r="CM131" s="21">
        <f>EXP(-LN(2)/2)*CM130+(1-EXP(-LN(2)/2))/(LN(2)/2)*CG131*CJ131*VLOOKUP('Données projet'!$B$12,Paramètres!$A$1:$I$89,3,0)*0.475*44/12</f>
        <v>3.8287397674266725E-14</v>
      </c>
      <c r="CN131" s="22">
        <f t="shared" si="66"/>
        <v>2.88692675990269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4.5224624045658861E-14</v>
      </c>
      <c r="CV131" s="13">
        <f t="shared" si="95"/>
        <v>7.4514601661523691E-13</v>
      </c>
      <c r="CW131" s="20">
        <f t="shared" si="67"/>
        <v>1.3765621991510601E-12</v>
      </c>
      <c r="CX131" s="59">
        <f t="shared" si="68"/>
        <v>293.33333333333468</v>
      </c>
      <c r="CY131" s="59">
        <f ca="1">AVERAGE(OFFSET($CX$3,0,0,'Données projet'!$E$13+1,1))-AVERAGE(OFFSET($H$3,0,0,'Données projet'!$E$13+1,1))</f>
        <v>199.58763537752952</v>
      </c>
      <c r="CZ131" s="59">
        <f t="shared" si="96"/>
        <v>242.62852778451929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0.6793307274272794</v>
      </c>
      <c r="DH131" s="21">
        <f>EXP(-LN(2)/2)*DH130+(1-EXP(-LN(2)/2))/(LN(2)/2)*DB131*DE131*VLOOKUP('Données projet'!$B$13,Paramètres!$A$1:$I$89,3,0)*0.475*44/12</f>
        <v>1.9116367854401908E-14</v>
      </c>
      <c r="DI131" s="22">
        <f t="shared" si="69"/>
        <v>0.6793307274272985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-4.5474735088646412E-13</v>
      </c>
      <c r="DP131" s="17">
        <f>DO131*VLOOKUP('Données projet'!$B$14,Paramètres!$A$1:$I$89,3,0)*VLOOKUP('Données projet'!$B$14,Paramètres!$A$1:$I$89,5,0)</f>
        <v>-2.7193891583010558E-13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216.94426559495264</v>
      </c>
      <c r="DU131" s="59">
        <f t="shared" si="98"/>
        <v>225.33715877618704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0.84886896138959456</v>
      </c>
      <c r="EC131" s="21">
        <f>EXP(-LN(2)/2)*EC130+(1-EXP(-LN(2)/2))/(LN(2)/2)*DW131*DZ131*VLOOKUP('Données projet'!$B$14,Paramètres!$A$1:$I$89,3,0)*0.475*44/12</f>
        <v>4.2151810706448194E-14</v>
      </c>
      <c r="ED131" s="22">
        <f t="shared" si="72"/>
        <v>0.84886896138963674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6.8212102632969618E-13</v>
      </c>
      <c r="EK131" s="17">
        <f>EJ131*VLOOKUP('Données projet'!$B$15,Paramètres!$A$1:$I$89,3,0)*VLOOKUP('Données projet'!$B$15,Paramètres!$A$1:$I$89,5,0)</f>
        <v>3.2810021366458383E-13</v>
      </c>
      <c r="EL131" s="13">
        <f t="shared" si="99"/>
        <v>4.2923528923937213E-12</v>
      </c>
      <c r="EM131" s="20">
        <f t="shared" si="73"/>
        <v>8.0472891597182151E-12</v>
      </c>
      <c r="EN131" s="59">
        <f t="shared" si="74"/>
        <v>293.33333333334139</v>
      </c>
      <c r="EO131" s="59">
        <f ca="1">AVERAGE(OFFSET($EN$3,0,0,'Données projet'!$E$15+1,1))-AVERAGE(OFFSET($H$3,0,0,'Données projet'!$E$15+1,1))</f>
        <v>292.1792787220852</v>
      </c>
      <c r="EP131" s="59">
        <f t="shared" si="100"/>
        <v>273.69206144662144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0.9675053231355708</v>
      </c>
      <c r="EW131" s="21">
        <f>EXP(-LN(2)/25)*EW130+(1-EXP(-LN(2)/25))/(LN(2)/25)*Calculateur!ER131*Calculateur!ET131*VLOOKUP('Données projet'!$B$15,Paramètres!$A$1:$I$89,3,0)*0.475*44/12</f>
        <v>0.88678105328276635</v>
      </c>
      <c r="EX131" s="21">
        <f>EXP(-LN(2)/2)*EX130+(1-EXP(-LN(2)/2))/(LN(2)/2)*ER131*EU131*VLOOKUP('Données projet'!$B$15,Paramètres!$A$1:$I$89,3,0)*0.475*44/12</f>
        <v>3.7148565873637614E-14</v>
      </c>
      <c r="EY131" s="22">
        <f t="shared" si="75"/>
        <v>1.8542863764183741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215.23235148064941</v>
      </c>
      <c r="T132" s="59">
        <f t="shared" si="88"/>
        <v>184.07239726900434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0.44126017747885826</v>
      </c>
      <c r="AA132" s="21">
        <f>EXP(-LN(2)/25)*AA131+(1-EXP(-LN(2)/25))/(LN(2)/25)*Calculateur!V132*Calculateur!X132*VLOOKUP('Données projet'!$B$9,Paramètres!$A$1:$I$89,3,0)*0.475*44/12</f>
        <v>0.50476946982151893</v>
      </c>
      <c r="AB132" s="21">
        <f>EXP(-LN(2)/2)*AB131+(1-EXP(-LN(2)/2))/(LN(2)/2)*V132*Y132*VLOOKUP('Données projet'!$B$9,Paramètres!$A$1:$I$89,3,0)*0.475*44/12</f>
        <v>1.2349940915328576E-14</v>
      </c>
      <c r="AC132" s="22">
        <f t="shared" ref="AC132:AC153" si="111">SUM(Z132:AB132)</f>
        <v>0.94602964730038952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-8.5265128291212022E-14</v>
      </c>
      <c r="AJ132" s="13">
        <f>AI132*VLOOKUP('Données projet'!$B$10,Paramètres!$A$1:$I$89,3,0)*VLOOKUP('Données projet'!$B$10,Paramètres!$A$1:$I$89,5,0)</f>
        <v>-7.7147888077888636E-14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225.28075317732998</v>
      </c>
      <c r="AO132" s="59">
        <f t="shared" si="90"/>
        <v>358.43407531256207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0.31582455387602992</v>
      </c>
      <c r="AV132" s="21">
        <f>EXP(-LN(2)/25)*AV131+(1-EXP(-LN(2)/25))/(LN(2)/25)*Calculateur!AQ132*Calculateur!AS132*VLOOKUP('Données projet'!$B$10,Paramètres!$A$1:$I$89,3,0)*0.475*44/12</f>
        <v>0.53153849047835178</v>
      </c>
      <c r="AW132" s="21">
        <f>EXP(-LN(2)/2)*AW131+(1-EXP(-LN(2)/2))/(LN(2)/2)*AQ132*AT132*VLOOKUP('Données projet'!$B$10,Paramètres!$A$1:$I$89,3,0)*0.475*44/12</f>
        <v>5.544337012067678E-15</v>
      </c>
      <c r="AX132" s="21">
        <f t="shared" ref="AX132:AX153" si="114">SUM(AU132:AW132)</f>
        <v>0.84736304435438725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-5.6843418860808015E-13</v>
      </c>
      <c r="BE132" s="13">
        <f>BD132*VLOOKUP('Données projet'!$B$11,Paramètres!$A$1:$I$89,3,0)*VLOOKUP('Données projet'!$B$11,Paramètres!$A$1:$I$89,5,0)</f>
        <v>-3.177547114319168E-13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326.31232746914907</v>
      </c>
      <c r="BJ132" s="59">
        <f t="shared" si="92"/>
        <v>330.17137761430297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0.64303710201470032</v>
      </c>
      <c r="BQ132" s="21">
        <f>EXP(-LN(2)/25)*BQ131+(1-EXP(-LN(2)/25))/(LN(2)/25)*Calculateur!BL132*Calculateur!BN132*VLOOKUP('Données projet'!$B$11,Paramètres!$A$1:$I$89,3,0)*0.475*44/12</f>
        <v>1.9388265816162369</v>
      </c>
      <c r="BR132" s="21">
        <f>EXP(-LN(2)/2)*BR131+(1-EXP(-LN(2)/2))/(LN(2)/2)*BL132*BO132*VLOOKUP('Données projet'!$B$11,Paramètres!$A$1:$I$89,3,0)*0.475*44/12</f>
        <v>4.0850148552854141E-14</v>
      </c>
      <c r="BS132" s="22">
        <f t="shared" ref="BS132:BS153" si="117">SUM(BP132:BR132)</f>
        <v>2.5818636836309778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210.04871822652808</v>
      </c>
      <c r="CE132" s="59">
        <f t="shared" si="94"/>
        <v>250.17540614049324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1.0277717740446362</v>
      </c>
      <c r="CL132" s="21">
        <f>EXP(-LN(2)/25)*CL131+(1-EXP(-LN(2)/25))/(LN(2)/25)*Calculateur!CG132*Calculateur!CI132*VLOOKUP('Données projet'!$B$12,Paramètres!$A$1:$I$89,3,0)*0.475*44/12</f>
        <v>1.788321340098566</v>
      </c>
      <c r="CM132" s="21">
        <f>EXP(-LN(2)/2)*CM131+(1-EXP(-LN(2)/2))/(LN(2)/2)*CG132*CJ132*VLOOKUP('Données projet'!$B$12,Paramètres!$A$1:$I$89,3,0)*0.475*44/12</f>
        <v>2.707327852946005E-14</v>
      </c>
      <c r="CN132" s="22">
        <f t="shared" ref="CN132:CN153" si="120">SUM(CK132:CM132)</f>
        <v>2.816093114143229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4.5224624045658861E-14</v>
      </c>
      <c r="CV132" s="13">
        <f t="shared" si="95"/>
        <v>7.4514601661523691E-13</v>
      </c>
      <c r="CW132" s="20">
        <f t="shared" ref="CW132:CW153" si="121">(CU132+CV132)*0.475*44/12</f>
        <v>1.3765621991510601E-12</v>
      </c>
      <c r="CX132" s="59">
        <f t="shared" ref="CX132:CX195" si="122">CW132+(CO132+CP132)*44/12</f>
        <v>293.33333333333468</v>
      </c>
      <c r="CY132" s="59">
        <f ca="1">AVERAGE(OFFSET($CX$3,0,0,'Données projet'!$E$13+1,1))-AVERAGE(OFFSET($H$3,0,0,'Données projet'!$E$13+1,1))</f>
        <v>199.58763537752952</v>
      </c>
      <c r="CZ132" s="59">
        <f t="shared" si="96"/>
        <v>242.62852778451929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0.66075439296133009</v>
      </c>
      <c r="DH132" s="21">
        <f>EXP(-LN(2)/2)*DH131+(1-EXP(-LN(2)/2))/(LN(2)/2)*DB132*DE132*VLOOKUP('Données projet'!$B$13,Paramètres!$A$1:$I$89,3,0)*0.475*44/12</f>
        <v>1.3517313341504121E-14</v>
      </c>
      <c r="DI132" s="22">
        <f t="shared" ref="DI132:DI153" si="123">SUM(DF132:DH132)</f>
        <v>0.66075439296134364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-4.5474735088646412E-13</v>
      </c>
      <c r="DP132" s="17">
        <f>DO132*VLOOKUP('Données projet'!$B$14,Paramètres!$A$1:$I$89,3,0)*VLOOKUP('Données projet'!$B$14,Paramètres!$A$1:$I$89,5,0)</f>
        <v>-2.7193891583010558E-13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216.94426559495264</v>
      </c>
      <c r="DU132" s="59">
        <f t="shared" si="98"/>
        <v>225.33715877618704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0.82565659500031752</v>
      </c>
      <c r="EC132" s="21">
        <f>EXP(-LN(2)/2)*EC131+(1-EXP(-LN(2)/2))/(LN(2)/2)*DW132*DZ132*VLOOKUP('Données projet'!$B$14,Paramètres!$A$1:$I$89,3,0)*0.475*44/12</f>
        <v>2.9805831189821234E-14</v>
      </c>
      <c r="ED132" s="22">
        <f t="shared" ref="ED132:ED153" si="126">SUM(EA132:EC132)</f>
        <v>0.82565659500034727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6.8212102632969618E-13</v>
      </c>
      <c r="EK132" s="17">
        <f>EJ132*VLOOKUP('Données projet'!$B$15,Paramètres!$A$1:$I$89,3,0)*VLOOKUP('Données projet'!$B$15,Paramètres!$A$1:$I$89,5,0)</f>
        <v>3.2810021366458383E-13</v>
      </c>
      <c r="EL132" s="13">
        <f t="shared" si="99"/>
        <v>4.2923528923937213E-12</v>
      </c>
      <c r="EM132" s="20">
        <f t="shared" ref="EM132:EM153" si="127">(EK132+EL132)*0.475*44/12</f>
        <v>8.0472891597182151E-12</v>
      </c>
      <c r="EN132" s="59">
        <f t="shared" ref="EN132:EN195" si="128">EM132+(EE132+EF132)*44/12</f>
        <v>293.33333333334139</v>
      </c>
      <c r="EO132" s="59">
        <f ca="1">AVERAGE(OFFSET($EN$3,0,0,'Données projet'!$E$15+1,1))-AVERAGE(OFFSET($H$3,0,0,'Données projet'!$E$15+1,1))</f>
        <v>292.1792787220852</v>
      </c>
      <c r="EP132" s="59">
        <f t="shared" si="100"/>
        <v>273.69206144662144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0.94853313386885985</v>
      </c>
      <c r="EW132" s="21">
        <f>EXP(-LN(2)/25)*EW131+(1-EXP(-LN(2)/25))/(LN(2)/25)*Calculateur!ER132*Calculateur!ET132*VLOOKUP('Données projet'!$B$15,Paramètres!$A$1:$I$89,3,0)*0.475*44/12</f>
        <v>0.8625319787469603</v>
      </c>
      <c r="EX132" s="21">
        <f>EXP(-LN(2)/2)*EX131+(1-EXP(-LN(2)/2))/(LN(2)/2)*ER132*EU132*VLOOKUP('Données projet'!$B$15,Paramètres!$A$1:$I$89,3,0)*0.475*44/12</f>
        <v>2.6268002840604319E-14</v>
      </c>
      <c r="EY132" s="22">
        <f t="shared" ref="EY132:EY153" si="129">SUM(EV132:EX132)</f>
        <v>1.8110651126158464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215.23235148064941</v>
      </c>
      <c r="T133" s="59">
        <f t="shared" ref="T133:T196" si="142">$T$3</f>
        <v>184.07239726900434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0.43260733454063055</v>
      </c>
      <c r="AA133" s="21">
        <f>EXP(-LN(2)/25)*AA132+(1-EXP(-LN(2)/25))/(LN(2)/25)*Calculateur!V133*Calculateur!X133*VLOOKUP('Données projet'!$B$9,Paramètres!$A$1:$I$89,3,0)*0.475*44/12</f>
        <v>0.49096652212457675</v>
      </c>
      <c r="AB133" s="21">
        <f>EXP(-LN(2)/2)*AB132+(1-EXP(-LN(2)/2))/(LN(2)/2)*V133*Y133*VLOOKUP('Données projet'!$B$9,Paramètres!$A$1:$I$89,3,0)*0.475*44/12</f>
        <v>8.7327269684820336E-15</v>
      </c>
      <c r="AC133" s="22">
        <f t="shared" si="111"/>
        <v>0.92357385666521608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-8.5265128291212022E-14</v>
      </c>
      <c r="AJ133" s="13">
        <f>AI133*VLOOKUP('Données projet'!$B$10,Paramètres!$A$1:$I$89,3,0)*VLOOKUP('Données projet'!$B$10,Paramètres!$A$1:$I$89,5,0)</f>
        <v>-7.7147888077888636E-14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225.28075317732998</v>
      </c>
      <c r="AO133" s="59">
        <f t="shared" ref="AO133:AO196" si="144">$AO$3</f>
        <v>358.43407531256207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0.30963142700847784</v>
      </c>
      <c r="AV133" s="21">
        <f>EXP(-LN(2)/25)*AV132+(1-EXP(-LN(2)/25))/(LN(2)/25)*Calculateur!AQ133*Calculateur!AS133*VLOOKUP('Données projet'!$B$10,Paramètres!$A$1:$I$89,3,0)*0.475*44/12</f>
        <v>0.51700354250382685</v>
      </c>
      <c r="AW133" s="21">
        <f>EXP(-LN(2)/2)*AW132+(1-EXP(-LN(2)/2))/(LN(2)/2)*AQ133*AT133*VLOOKUP('Données projet'!$B$10,Paramètres!$A$1:$I$89,3,0)*0.475*44/12</f>
        <v>3.9204382984166163E-15</v>
      </c>
      <c r="AX133" s="21">
        <f t="shared" si="114"/>
        <v>0.82663496951230864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-5.6843418860808015E-13</v>
      </c>
      <c r="BE133" s="13">
        <f>BD133*VLOOKUP('Données projet'!$B$11,Paramètres!$A$1:$I$89,3,0)*VLOOKUP('Données projet'!$B$11,Paramètres!$A$1:$I$89,5,0)</f>
        <v>-3.177547114319168E-13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326.31232746914907</v>
      </c>
      <c r="BJ133" s="59">
        <f t="shared" ref="BJ133:BJ196" si="146">$BJ$3</f>
        <v>330.17137761430297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0.63042753665809637</v>
      </c>
      <c r="BQ133" s="21">
        <f>EXP(-LN(2)/25)*BQ132+(1-EXP(-LN(2)/25))/(LN(2)/25)*Calculateur!BL133*Calculateur!BN133*VLOOKUP('Données projet'!$B$11,Paramètres!$A$1:$I$89,3,0)*0.475*44/12</f>
        <v>1.8858092667834823</v>
      </c>
      <c r="BR133" s="21">
        <f>EXP(-LN(2)/2)*BR132+(1-EXP(-LN(2)/2))/(LN(2)/2)*BL133*BO133*VLOOKUP('Données projet'!$B$11,Paramètres!$A$1:$I$89,3,0)*0.475*44/12</f>
        <v>2.8885417054200994E-14</v>
      </c>
      <c r="BS133" s="22">
        <f t="shared" si="117"/>
        <v>2.5162368034416076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210.04871822652808</v>
      </c>
      <c r="CE133" s="59">
        <f t="shared" ref="CE133:CE196" si="148">$CE$3</f>
        <v>250.17540614049324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1.0076177964345039</v>
      </c>
      <c r="CL133" s="21">
        <f>EXP(-LN(2)/25)*CL132+(1-EXP(-LN(2)/25))/(LN(2)/25)*Calculateur!CG133*Calculateur!CI133*VLOOKUP('Données projet'!$B$12,Paramètres!$A$1:$I$89,3,0)*0.475*44/12</f>
        <v>1.7394195990098387</v>
      </c>
      <c r="CM133" s="21">
        <f>EXP(-LN(2)/2)*CM132+(1-EXP(-LN(2)/2))/(LN(2)/2)*CG133*CJ133*VLOOKUP('Données projet'!$B$12,Paramètres!$A$1:$I$89,3,0)*0.475*44/12</f>
        <v>1.9143698837133362E-14</v>
      </c>
      <c r="CN133" s="22">
        <f t="shared" si="120"/>
        <v>2.7470373954443619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4.5224624045658861E-14</v>
      </c>
      <c r="CV133" s="13">
        <f t="shared" ref="CV133:CV153" si="149">EXP(-1.0587+0.8836*LN(CU133)+0.284)</f>
        <v>7.4514601661523691E-13</v>
      </c>
      <c r="CW133" s="20">
        <f t="shared" si="121"/>
        <v>1.3765621991510601E-12</v>
      </c>
      <c r="CX133" s="59">
        <f t="shared" si="122"/>
        <v>293.33333333333468</v>
      </c>
      <c r="CY133" s="59">
        <f ca="1">AVERAGE(OFFSET($CX$3,0,0,'Données projet'!$E$13+1,1))-AVERAGE(OFFSET($H$3,0,0,'Données projet'!$E$13+1,1))</f>
        <v>199.58763537752952</v>
      </c>
      <c r="CZ133" s="59">
        <f t="shared" ref="CZ133:CZ196" si="150">$CZ$3</f>
        <v>242.62852778451929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0.64268602933823915</v>
      </c>
      <c r="DH133" s="21">
        <f>EXP(-LN(2)/2)*DH132+(1-EXP(-LN(2)/2))/(LN(2)/2)*DB133*DE133*VLOOKUP('Données projet'!$B$13,Paramètres!$A$1:$I$89,3,0)*0.475*44/12</f>
        <v>9.5581839272009538E-15</v>
      </c>
      <c r="DI133" s="22">
        <f t="shared" si="123"/>
        <v>0.6426860293382487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-4.5474735088646412E-13</v>
      </c>
      <c r="DP133" s="17">
        <f>DO133*VLOOKUP('Données projet'!$B$14,Paramètres!$A$1:$I$89,3,0)*VLOOKUP('Données projet'!$B$14,Paramètres!$A$1:$I$89,5,0)</f>
        <v>-2.7193891583010558E-13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216.94426559495264</v>
      </c>
      <c r="DU133" s="59">
        <f t="shared" ref="DU133:DU196" si="152">$DU$3</f>
        <v>225.33715877618704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0.8030789719906406</v>
      </c>
      <c r="EC133" s="21">
        <f>EXP(-LN(2)/2)*EC132+(1-EXP(-LN(2)/2))/(LN(2)/2)*DW133*DZ133*VLOOKUP('Données projet'!$B$14,Paramètres!$A$1:$I$89,3,0)*0.475*44/12</f>
        <v>2.1075905353224097E-14</v>
      </c>
      <c r="ED133" s="22">
        <f t="shared" si="126"/>
        <v>0.80307897199066169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6.8212102632969618E-13</v>
      </c>
      <c r="EK133" s="17">
        <f>EJ133*VLOOKUP('Données projet'!$B$15,Paramètres!$A$1:$I$89,3,0)*VLOOKUP('Données projet'!$B$15,Paramètres!$A$1:$I$89,5,0)</f>
        <v>3.2810021366458383E-13</v>
      </c>
      <c r="EL133" s="13">
        <f t="shared" ref="EL133:EL153" si="153">EXP(-1.0587+0.8836*LN(EK133)+0.284)</f>
        <v>4.2923528923937213E-12</v>
      </c>
      <c r="EM133" s="20">
        <f t="shared" si="127"/>
        <v>8.0472891597182151E-12</v>
      </c>
      <c r="EN133" s="59">
        <f t="shared" si="128"/>
        <v>293.33333333334139</v>
      </c>
      <c r="EO133" s="59">
        <f ca="1">AVERAGE(OFFSET($EN$3,0,0,'Données projet'!$E$15+1,1))-AVERAGE(OFFSET($H$3,0,0,'Données projet'!$E$15+1,1))</f>
        <v>292.1792787220852</v>
      </c>
      <c r="EP133" s="59">
        <f t="shared" ref="EP133:EP196" si="154">$EP$3</f>
        <v>273.69206144662144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0.92993297766177629</v>
      </c>
      <c r="EW133" s="21">
        <f>EXP(-LN(2)/25)*EW132+(1-EXP(-LN(2)/25))/(LN(2)/25)*Calculateur!ER133*Calculateur!ET133*VLOOKUP('Données projet'!$B$15,Paramètres!$A$1:$I$89,3,0)*0.475*44/12</f>
        <v>0.83894599642953926</v>
      </c>
      <c r="EX133" s="21">
        <f>EXP(-LN(2)/2)*EX132+(1-EXP(-LN(2)/2))/(LN(2)/2)*ER133*EU133*VLOOKUP('Données projet'!$B$15,Paramètres!$A$1:$I$89,3,0)*0.475*44/12</f>
        <v>1.8574282936818807E-14</v>
      </c>
      <c r="EY133" s="22">
        <f t="shared" si="129"/>
        <v>1.7688789740913342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215.23235148064941</v>
      </c>
      <c r="T134" s="59">
        <f t="shared" si="142"/>
        <v>184.07239726900434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0.42412416857470842</v>
      </c>
      <c r="AA134" s="21">
        <f>EXP(-LN(2)/25)*AA133+(1-EXP(-LN(2)/25))/(LN(2)/25)*Calculateur!V134*Calculateur!X134*VLOOKUP('Données projet'!$B$9,Paramètres!$A$1:$I$89,3,0)*0.475*44/12</f>
        <v>0.47754101675827293</v>
      </c>
      <c r="AB134" s="21">
        <f>EXP(-LN(2)/2)*AB133+(1-EXP(-LN(2)/2))/(LN(2)/2)*V134*Y134*VLOOKUP('Données projet'!$B$9,Paramètres!$A$1:$I$89,3,0)*0.475*44/12</f>
        <v>6.1749704576642879E-15</v>
      </c>
      <c r="AC134" s="22">
        <f t="shared" si="111"/>
        <v>0.90166518533298756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-8.5265128291212022E-14</v>
      </c>
      <c r="AJ134" s="13">
        <f>AI134*VLOOKUP('Données projet'!$B$10,Paramètres!$A$1:$I$89,3,0)*VLOOKUP('Données projet'!$B$10,Paramètres!$A$1:$I$89,5,0)</f>
        <v>-7.7147888077888636E-14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225.28075317732998</v>
      </c>
      <c r="AO134" s="59">
        <f t="shared" si="144"/>
        <v>358.43407531256207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0.30355974358136406</v>
      </c>
      <c r="AV134" s="21">
        <f>EXP(-LN(2)/25)*AV133+(1-EXP(-LN(2)/25))/(LN(2)/25)*Calculateur!AQ134*Calculateur!AS134*VLOOKUP('Données projet'!$B$10,Paramètres!$A$1:$I$89,3,0)*0.475*44/12</f>
        <v>0.50286605344602509</v>
      </c>
      <c r="AW134" s="21">
        <f>EXP(-LN(2)/2)*AW133+(1-EXP(-LN(2)/2))/(LN(2)/2)*AQ134*AT134*VLOOKUP('Données projet'!$B$10,Paramètres!$A$1:$I$89,3,0)*0.475*44/12</f>
        <v>2.772168506033839E-15</v>
      </c>
      <c r="AX134" s="21">
        <f t="shared" si="114"/>
        <v>0.80642579702739192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-5.6843418860808015E-13</v>
      </c>
      <c r="BE134" s="13">
        <f>BD134*VLOOKUP('Données projet'!$B$11,Paramètres!$A$1:$I$89,3,0)*VLOOKUP('Données projet'!$B$11,Paramètres!$A$1:$I$89,5,0)</f>
        <v>-3.177547114319168E-13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326.31232746914907</v>
      </c>
      <c r="BJ134" s="59">
        <f t="shared" si="146"/>
        <v>330.17137761430297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0.61806523718705997</v>
      </c>
      <c r="BQ134" s="21">
        <f>EXP(-LN(2)/25)*BQ133+(1-EXP(-LN(2)/25))/(LN(2)/25)*Calculateur!BL134*Calculateur!BN134*VLOOKUP('Données projet'!$B$11,Paramètres!$A$1:$I$89,3,0)*0.475*44/12</f>
        <v>1.8342417132128888</v>
      </c>
      <c r="BR134" s="21">
        <f>EXP(-LN(2)/2)*BR133+(1-EXP(-LN(2)/2))/(LN(2)/2)*BL134*BO134*VLOOKUP('Données projet'!$B$11,Paramètres!$A$1:$I$89,3,0)*0.475*44/12</f>
        <v>2.042507427642707E-14</v>
      </c>
      <c r="BS134" s="22">
        <f t="shared" si="117"/>
        <v>2.452306950399969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210.04871822652808</v>
      </c>
      <c r="CE134" s="59">
        <f t="shared" si="148"/>
        <v>250.17540614049324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0.98785902603259379</v>
      </c>
      <c r="CL134" s="21">
        <f>EXP(-LN(2)/25)*CL133+(1-EXP(-LN(2)/25))/(LN(2)/25)*Calculateur!CG134*Calculateur!CI134*VLOOKUP('Données projet'!$B$12,Paramètres!$A$1:$I$89,3,0)*0.475*44/12</f>
        <v>1.6918550786028135</v>
      </c>
      <c r="CM134" s="21">
        <f>EXP(-LN(2)/2)*CM133+(1-EXP(-LN(2)/2))/(LN(2)/2)*CG134*CJ134*VLOOKUP('Données projet'!$B$12,Paramètres!$A$1:$I$89,3,0)*0.475*44/12</f>
        <v>1.3536639264730025E-14</v>
      </c>
      <c r="CN134" s="22">
        <f t="shared" si="120"/>
        <v>2.6797141046354205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4.5224624045658861E-14</v>
      </c>
      <c r="CV134" s="13">
        <f t="shared" si="149"/>
        <v>7.4514601661523691E-13</v>
      </c>
      <c r="CW134" s="20">
        <f t="shared" si="121"/>
        <v>1.3765621991510601E-12</v>
      </c>
      <c r="CX134" s="59">
        <f t="shared" si="122"/>
        <v>293.33333333333468</v>
      </c>
      <c r="CY134" s="59">
        <f ca="1">AVERAGE(OFFSET($CX$3,0,0,'Données projet'!$E$13+1,1))-AVERAGE(OFFSET($H$3,0,0,'Données projet'!$E$13+1,1))</f>
        <v>199.58763537752952</v>
      </c>
      <c r="CZ134" s="59">
        <f t="shared" si="150"/>
        <v>242.62852778451929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0.62511174606859554</v>
      </c>
      <c r="DH134" s="21">
        <f>EXP(-LN(2)/2)*DH133+(1-EXP(-LN(2)/2))/(LN(2)/2)*DB134*DE134*VLOOKUP('Données projet'!$B$13,Paramètres!$A$1:$I$89,3,0)*0.475*44/12</f>
        <v>6.7586566707520604E-15</v>
      </c>
      <c r="DI134" s="22">
        <f t="shared" si="123"/>
        <v>0.62511174606860231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-4.5474735088646412E-13</v>
      </c>
      <c r="DP134" s="17">
        <f>DO134*VLOOKUP('Données projet'!$B$14,Paramètres!$A$1:$I$89,3,0)*VLOOKUP('Données projet'!$B$14,Paramètres!$A$1:$I$89,5,0)</f>
        <v>-2.7193891583010558E-13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216.94426559495264</v>
      </c>
      <c r="DU134" s="59">
        <f t="shared" si="152"/>
        <v>225.33715877618704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0.78111873526946884</v>
      </c>
      <c r="EC134" s="21">
        <f>EXP(-LN(2)/2)*EC133+(1-EXP(-LN(2)/2))/(LN(2)/2)*DW134*DZ134*VLOOKUP('Données projet'!$B$14,Paramètres!$A$1:$I$89,3,0)*0.475*44/12</f>
        <v>1.4902915594910617E-14</v>
      </c>
      <c r="ED134" s="22">
        <f t="shared" si="126"/>
        <v>0.78111873526948372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6.8212102632969618E-13</v>
      </c>
      <c r="EK134" s="17">
        <f>EJ134*VLOOKUP('Données projet'!$B$15,Paramètres!$A$1:$I$89,3,0)*VLOOKUP('Données projet'!$B$15,Paramètres!$A$1:$I$89,5,0)</f>
        <v>3.2810021366458383E-13</v>
      </c>
      <c r="EL134" s="13">
        <f t="shared" si="153"/>
        <v>4.2923528923937213E-12</v>
      </c>
      <c r="EM134" s="20">
        <f t="shared" si="127"/>
        <v>8.0472891597182151E-12</v>
      </c>
      <c r="EN134" s="59">
        <f t="shared" si="128"/>
        <v>293.33333333334139</v>
      </c>
      <c r="EO134" s="59">
        <f ca="1">AVERAGE(OFFSET($EN$3,0,0,'Données projet'!$E$15+1,1))-AVERAGE(OFFSET($H$3,0,0,'Données projet'!$E$15+1,1))</f>
        <v>292.1792787220852</v>
      </c>
      <c r="EP134" s="59">
        <f t="shared" si="154"/>
        <v>273.69206144662144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0.9116975591729386</v>
      </c>
      <c r="EW134" s="21">
        <f>EXP(-LN(2)/25)*EW133+(1-EXP(-LN(2)/25))/(LN(2)/25)*Calculateur!ER134*Calculateur!ET134*VLOOKUP('Données projet'!$B$15,Paramètres!$A$1:$I$89,3,0)*0.475*44/12</f>
        <v>0.81600497403892103</v>
      </c>
      <c r="EX134" s="21">
        <f>EXP(-LN(2)/2)*EX133+(1-EXP(-LN(2)/2))/(LN(2)/2)*ER134*EU134*VLOOKUP('Données projet'!$B$15,Paramètres!$A$1:$I$89,3,0)*0.475*44/12</f>
        <v>1.313400142030216E-14</v>
      </c>
      <c r="EY134" s="22">
        <f t="shared" si="129"/>
        <v>1.7277025332118727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215.23235148064941</v>
      </c>
      <c r="T135" s="59">
        <f t="shared" si="142"/>
        <v>184.07239726900434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0.41580735231915766</v>
      </c>
      <c r="AA135" s="21">
        <f>EXP(-LN(2)/25)*AA134+(1-EXP(-LN(2)/25))/(LN(2)/25)*Calculateur!V135*Calculateur!X135*VLOOKUP('Données projet'!$B$9,Paramètres!$A$1:$I$89,3,0)*0.475*44/12</f>
        <v>0.46448263254222732</v>
      </c>
      <c r="AB135" s="21">
        <f>EXP(-LN(2)/2)*AB134+(1-EXP(-LN(2)/2))/(LN(2)/2)*V135*Y135*VLOOKUP('Données projet'!$B$9,Paramètres!$A$1:$I$89,3,0)*0.475*44/12</f>
        <v>4.3663634842410168E-15</v>
      </c>
      <c r="AC135" s="22">
        <f t="shared" si="111"/>
        <v>0.88028998486138932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-8.5265128291212022E-14</v>
      </c>
      <c r="AJ135" s="13">
        <f>AI135*VLOOKUP('Données projet'!$B$10,Paramètres!$A$1:$I$89,3,0)*VLOOKUP('Données projet'!$B$10,Paramètres!$A$1:$I$89,5,0)</f>
        <v>-7.7147888077888636E-14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225.28075317732998</v>
      </c>
      <c r="AO135" s="59">
        <f t="shared" si="144"/>
        <v>358.43407531256207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0.29760712216289475</v>
      </c>
      <c r="AV135" s="21">
        <f>EXP(-LN(2)/25)*AV134+(1-EXP(-LN(2)/25))/(LN(2)/25)*Calculateur!AQ135*Calculateur!AS135*VLOOKUP('Données projet'!$B$10,Paramètres!$A$1:$I$89,3,0)*0.475*44/12</f>
        <v>0.48911515476996709</v>
      </c>
      <c r="AW135" s="21">
        <f>EXP(-LN(2)/2)*AW134+(1-EXP(-LN(2)/2))/(LN(2)/2)*AQ135*AT135*VLOOKUP('Données projet'!$B$10,Paramètres!$A$1:$I$89,3,0)*0.475*44/12</f>
        <v>1.9602191492083082E-15</v>
      </c>
      <c r="AX135" s="21">
        <f t="shared" si="114"/>
        <v>0.7867222769328639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-5.6843418860808015E-13</v>
      </c>
      <c r="BE135" s="13">
        <f>BD135*VLOOKUP('Données projet'!$B$11,Paramètres!$A$1:$I$89,3,0)*VLOOKUP('Données projet'!$B$11,Paramètres!$A$1:$I$89,5,0)</f>
        <v>-3.177547114319168E-13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326.31232746914907</v>
      </c>
      <c r="BJ135" s="59">
        <f t="shared" si="146"/>
        <v>330.17137761430297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0.60594535486839252</v>
      </c>
      <c r="BQ135" s="21">
        <f>EXP(-LN(2)/25)*BQ134+(1-EXP(-LN(2)/25))/(LN(2)/25)*Calculateur!BL135*Calculateur!BN135*VLOOKUP('Données projet'!$B$11,Paramètres!$A$1:$I$89,3,0)*0.475*44/12</f>
        <v>1.7840842771065029</v>
      </c>
      <c r="BR135" s="21">
        <f>EXP(-LN(2)/2)*BR134+(1-EXP(-LN(2)/2))/(LN(2)/2)*BL135*BO135*VLOOKUP('Données projet'!$B$11,Paramètres!$A$1:$I$89,3,0)*0.475*44/12</f>
        <v>1.4442708527100497E-14</v>
      </c>
      <c r="BS135" s="22">
        <f t="shared" si="117"/>
        <v>2.3900296319749099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210.04871822652808</v>
      </c>
      <c r="CE135" s="59">
        <f t="shared" si="148"/>
        <v>250.17540614049324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0.96848771306660519</v>
      </c>
      <c r="CL135" s="21">
        <f>EXP(-LN(2)/25)*CL134+(1-EXP(-LN(2)/25))/(LN(2)/25)*Calculateur!CG135*Calculateur!CI135*VLOOKUP('Données projet'!$B$12,Paramètres!$A$1:$I$89,3,0)*0.475*44/12</f>
        <v>1.6455912125076277</v>
      </c>
      <c r="CM135" s="21">
        <f>EXP(-LN(2)/2)*CM134+(1-EXP(-LN(2)/2))/(LN(2)/2)*CG135*CJ135*VLOOKUP('Données projet'!$B$12,Paramètres!$A$1:$I$89,3,0)*0.475*44/12</f>
        <v>9.5718494185666812E-15</v>
      </c>
      <c r="CN135" s="22">
        <f t="shared" si="120"/>
        <v>2.6140789255742427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4.5224624045658861E-14</v>
      </c>
      <c r="CV135" s="13">
        <f t="shared" si="149"/>
        <v>7.4514601661523691E-13</v>
      </c>
      <c r="CW135" s="20">
        <f t="shared" si="121"/>
        <v>1.3765621991510601E-12</v>
      </c>
      <c r="CX135" s="59">
        <f t="shared" si="122"/>
        <v>293.33333333333468</v>
      </c>
      <c r="CY135" s="59">
        <f ca="1">AVERAGE(OFFSET($CX$3,0,0,'Données projet'!$E$13+1,1))-AVERAGE(OFFSET($H$3,0,0,'Données projet'!$E$13+1,1))</f>
        <v>199.58763537752952</v>
      </c>
      <c r="CZ135" s="59">
        <f t="shared" si="150"/>
        <v>242.62852778451929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0.60801803249915176</v>
      </c>
      <c r="DH135" s="21">
        <f>EXP(-LN(2)/2)*DH134+(1-EXP(-LN(2)/2))/(LN(2)/2)*DB135*DE135*VLOOKUP('Données projet'!$B$13,Paramètres!$A$1:$I$89,3,0)*0.475*44/12</f>
        <v>4.7790919636004769E-15</v>
      </c>
      <c r="DI135" s="22">
        <f t="shared" si="123"/>
        <v>0.60801803249915654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-4.5474735088646412E-13</v>
      </c>
      <c r="DP135" s="17">
        <f>DO135*VLOOKUP('Données projet'!$B$14,Paramètres!$A$1:$I$89,3,0)*VLOOKUP('Données projet'!$B$14,Paramètres!$A$1:$I$89,5,0)</f>
        <v>-2.7193891583010558E-13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216.94426559495264</v>
      </c>
      <c r="DU135" s="59">
        <f t="shared" si="152"/>
        <v>225.33715877618704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0.75975900237627625</v>
      </c>
      <c r="EC135" s="21">
        <f>EXP(-LN(2)/2)*EC134+(1-EXP(-LN(2)/2))/(LN(2)/2)*DW135*DZ135*VLOOKUP('Données projet'!$B$14,Paramètres!$A$1:$I$89,3,0)*0.475*44/12</f>
        <v>1.0537952676612049E-14</v>
      </c>
      <c r="ED135" s="22">
        <f t="shared" si="126"/>
        <v>0.7597590023762868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6.8212102632969618E-13</v>
      </c>
      <c r="EK135" s="17">
        <f>EJ135*VLOOKUP('Données projet'!$B$15,Paramètres!$A$1:$I$89,3,0)*VLOOKUP('Données projet'!$B$15,Paramètres!$A$1:$I$89,5,0)</f>
        <v>3.2810021366458383E-13</v>
      </c>
      <c r="EL135" s="13">
        <f t="shared" si="153"/>
        <v>4.2923528923937213E-12</v>
      </c>
      <c r="EM135" s="20">
        <f t="shared" si="127"/>
        <v>8.0472891597182151E-12</v>
      </c>
      <c r="EN135" s="59">
        <f t="shared" si="128"/>
        <v>293.33333333334139</v>
      </c>
      <c r="EO135" s="59">
        <f ca="1">AVERAGE(OFFSET($EN$3,0,0,'Données projet'!$E$15+1,1))-AVERAGE(OFFSET($H$3,0,0,'Données projet'!$E$15+1,1))</f>
        <v>292.1792787220852</v>
      </c>
      <c r="EP135" s="59">
        <f t="shared" si="154"/>
        <v>273.69206144662144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0.89381972611815996</v>
      </c>
      <c r="EW135" s="21">
        <f>EXP(-LN(2)/25)*EW134+(1-EXP(-LN(2)/25))/(LN(2)/25)*Calculateur!ER135*Calculateur!ET135*VLOOKUP('Données projet'!$B$15,Paramètres!$A$1:$I$89,3,0)*0.475*44/12</f>
        <v>0.79369127511199011</v>
      </c>
      <c r="EX135" s="21">
        <f>EXP(-LN(2)/2)*EX134+(1-EXP(-LN(2)/2))/(LN(2)/2)*ER135*EU135*VLOOKUP('Données projet'!$B$15,Paramètres!$A$1:$I$89,3,0)*0.475*44/12</f>
        <v>9.2871414684094034E-15</v>
      </c>
      <c r="EY135" s="22">
        <f t="shared" si="129"/>
        <v>1.6875110012301593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215.23235148064941</v>
      </c>
      <c r="T136" s="59">
        <f t="shared" si="142"/>
        <v>184.07239726900434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0.40765362375762126</v>
      </c>
      <c r="AA136" s="21">
        <f>EXP(-LN(2)/25)*AA135+(1-EXP(-LN(2)/25))/(LN(2)/25)*Calculateur!V136*Calculateur!X136*VLOOKUP('Données projet'!$B$9,Paramètres!$A$1:$I$89,3,0)*0.475*44/12</f>
        <v>0.45178133052928005</v>
      </c>
      <c r="AB136" s="21">
        <f>EXP(-LN(2)/2)*AB135+(1-EXP(-LN(2)/2))/(LN(2)/2)*V136*Y136*VLOOKUP('Données projet'!$B$9,Paramètres!$A$1:$I$89,3,0)*0.475*44/12</f>
        <v>3.087485228832144E-15</v>
      </c>
      <c r="AC136" s="22">
        <f t="shared" si="111"/>
        <v>0.85943495428690442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-8.5265128291212022E-14</v>
      </c>
      <c r="AJ136" s="13">
        <f>AI136*VLOOKUP('Données projet'!$B$10,Paramètres!$A$1:$I$89,3,0)*VLOOKUP('Données projet'!$B$10,Paramètres!$A$1:$I$89,5,0)</f>
        <v>-7.7147888077888636E-14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225.28075317732998</v>
      </c>
      <c r="AO136" s="59">
        <f t="shared" si="144"/>
        <v>358.43407531256207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0.29177122801970107</v>
      </c>
      <c r="AV136" s="21">
        <f>EXP(-LN(2)/25)*AV135+(1-EXP(-LN(2)/25))/(LN(2)/25)*Calculateur!AQ136*Calculateur!AS136*VLOOKUP('Données projet'!$B$10,Paramètres!$A$1:$I$89,3,0)*0.475*44/12</f>
        <v>0.47574027514133421</v>
      </c>
      <c r="AW136" s="21">
        <f>EXP(-LN(2)/2)*AW135+(1-EXP(-LN(2)/2))/(LN(2)/2)*AQ136*AT136*VLOOKUP('Données projet'!$B$10,Paramètres!$A$1:$I$89,3,0)*0.475*44/12</f>
        <v>1.3860842530169195E-15</v>
      </c>
      <c r="AX136" s="21">
        <f t="shared" si="114"/>
        <v>0.76751150316103667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-5.6843418860808015E-13</v>
      </c>
      <c r="BE136" s="13">
        <f>BD136*VLOOKUP('Données projet'!$B$11,Paramètres!$A$1:$I$89,3,0)*VLOOKUP('Données projet'!$B$11,Paramètres!$A$1:$I$89,5,0)</f>
        <v>-3.177547114319168E-13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326.31232746914907</v>
      </c>
      <c r="BJ136" s="59">
        <f t="shared" si="146"/>
        <v>330.17137761430297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0.59406313604959582</v>
      </c>
      <c r="BQ136" s="21">
        <f>EXP(-LN(2)/25)*BQ135+(1-EXP(-LN(2)/25))/(LN(2)/25)*Calculateur!BL136*Calculateur!BN136*VLOOKUP('Données projet'!$B$11,Paramètres!$A$1:$I$89,3,0)*0.475*44/12</f>
        <v>1.735298398728111</v>
      </c>
      <c r="BR136" s="21">
        <f>EXP(-LN(2)/2)*BR135+(1-EXP(-LN(2)/2))/(LN(2)/2)*BL136*BO136*VLOOKUP('Données projet'!$B$11,Paramètres!$A$1:$I$89,3,0)*0.475*44/12</f>
        <v>1.0212537138213535E-14</v>
      </c>
      <c r="BS136" s="22">
        <f t="shared" si="117"/>
        <v>2.3293615347777172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210.04871822652808</v>
      </c>
      <c r="CE136" s="59">
        <f t="shared" si="148"/>
        <v>250.17540614049324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0.94949625973254537</v>
      </c>
      <c r="CL136" s="21">
        <f>EXP(-LN(2)/25)*CL135+(1-EXP(-LN(2)/25))/(LN(2)/25)*Calculateur!CG136*Calculateur!CI136*VLOOKUP('Données projet'!$B$12,Paramètres!$A$1:$I$89,3,0)*0.475*44/12</f>
        <v>1.6005924342637259</v>
      </c>
      <c r="CM136" s="21">
        <f>EXP(-LN(2)/2)*CM135+(1-EXP(-LN(2)/2))/(LN(2)/2)*CG136*CJ136*VLOOKUP('Données projet'!$B$12,Paramètres!$A$1:$I$89,3,0)*0.475*44/12</f>
        <v>6.7683196323650125E-15</v>
      </c>
      <c r="CN136" s="22">
        <f t="shared" si="120"/>
        <v>2.5500886939962779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4.5224624045658861E-14</v>
      </c>
      <c r="CV136" s="13">
        <f t="shared" si="149"/>
        <v>7.4514601661523691E-13</v>
      </c>
      <c r="CW136" s="20">
        <f t="shared" si="121"/>
        <v>1.3765621991510601E-12</v>
      </c>
      <c r="CX136" s="59">
        <f t="shared" si="122"/>
        <v>293.33333333333468</v>
      </c>
      <c r="CY136" s="59">
        <f ca="1">AVERAGE(OFFSET($CX$3,0,0,'Données projet'!$E$13+1,1))-AVERAGE(OFFSET($H$3,0,0,'Données projet'!$E$13+1,1))</f>
        <v>199.58763537752952</v>
      </c>
      <c r="CZ136" s="59">
        <f t="shared" si="150"/>
        <v>242.62852778451929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0.59139174742618372</v>
      </c>
      <c r="DH136" s="21">
        <f>EXP(-LN(2)/2)*DH135+(1-EXP(-LN(2)/2))/(LN(2)/2)*DB136*DE136*VLOOKUP('Données projet'!$B$13,Paramètres!$A$1:$I$89,3,0)*0.475*44/12</f>
        <v>3.3793283353760302E-15</v>
      </c>
      <c r="DI136" s="22">
        <f t="shared" si="123"/>
        <v>0.59139174742618705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-4.5474735088646412E-13</v>
      </c>
      <c r="DP136" s="17">
        <f>DO136*VLOOKUP('Données projet'!$B$14,Paramètres!$A$1:$I$89,3,0)*VLOOKUP('Données projet'!$B$14,Paramètres!$A$1:$I$89,5,0)</f>
        <v>-2.7193891583010558E-13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216.94426559495264</v>
      </c>
      <c r="DU136" s="59">
        <f t="shared" si="152"/>
        <v>225.33715877618704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0.73898335250230751</v>
      </c>
      <c r="EC136" s="21">
        <f>EXP(-LN(2)/2)*EC135+(1-EXP(-LN(2)/2))/(LN(2)/2)*DW136*DZ136*VLOOKUP('Données projet'!$B$14,Paramètres!$A$1:$I$89,3,0)*0.475*44/12</f>
        <v>7.4514577974553085E-15</v>
      </c>
      <c r="ED136" s="22">
        <f t="shared" si="126"/>
        <v>0.73898335250231495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6.8212102632969618E-13</v>
      </c>
      <c r="EK136" s="17">
        <f>EJ136*VLOOKUP('Données projet'!$B$15,Paramètres!$A$1:$I$89,3,0)*VLOOKUP('Données projet'!$B$15,Paramètres!$A$1:$I$89,5,0)</f>
        <v>3.2810021366458383E-13</v>
      </c>
      <c r="EL136" s="13">
        <f t="shared" si="153"/>
        <v>4.2923528923937213E-12</v>
      </c>
      <c r="EM136" s="20">
        <f t="shared" si="127"/>
        <v>8.0472891597182151E-12</v>
      </c>
      <c r="EN136" s="59">
        <f t="shared" si="128"/>
        <v>293.33333333334139</v>
      </c>
      <c r="EO136" s="59">
        <f ca="1">AVERAGE(OFFSET($EN$3,0,0,'Données projet'!$E$15+1,1))-AVERAGE(OFFSET($H$3,0,0,'Données projet'!$E$15+1,1))</f>
        <v>292.1792787220852</v>
      </c>
      <c r="EP136" s="59">
        <f t="shared" si="154"/>
        <v>273.69206144662144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0.87629246646518411</v>
      </c>
      <c r="EW136" s="21">
        <f>EXP(-LN(2)/25)*EW135+(1-EXP(-LN(2)/25))/(LN(2)/25)*Calculateur!ER136*Calculateur!ET136*VLOOKUP('Données projet'!$B$15,Paramètres!$A$1:$I$89,3,0)*0.475*44/12</f>
        <v>0.77198774545564264</v>
      </c>
      <c r="EX136" s="21">
        <f>EXP(-LN(2)/2)*EX135+(1-EXP(-LN(2)/2))/(LN(2)/2)*ER136*EU136*VLOOKUP('Données projet'!$B$15,Paramètres!$A$1:$I$89,3,0)*0.475*44/12</f>
        <v>6.5670007101510798E-15</v>
      </c>
      <c r="EY136" s="22">
        <f t="shared" si="129"/>
        <v>1.6482802119208335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215.23235148064941</v>
      </c>
      <c r="T137" s="59">
        <f t="shared" si="142"/>
        <v>184.07239726900434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0.39965978483989323</v>
      </c>
      <c r="AA137" s="21">
        <f>EXP(-LN(2)/25)*AA136+(1-EXP(-LN(2)/25))/(LN(2)/25)*Calculateur!V137*Calculateur!X137*VLOOKUP('Données projet'!$B$9,Paramètres!$A$1:$I$89,3,0)*0.475*44/12</f>
        <v>0.43942734628780927</v>
      </c>
      <c r="AB137" s="21">
        <f>EXP(-LN(2)/2)*AB136+(1-EXP(-LN(2)/2))/(LN(2)/2)*V137*Y137*VLOOKUP('Données projet'!$B$9,Paramètres!$A$1:$I$89,3,0)*0.475*44/12</f>
        <v>2.1831817421205084E-15</v>
      </c>
      <c r="AC137" s="22">
        <f t="shared" si="111"/>
        <v>0.83908713112770472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-8.5265128291212022E-14</v>
      </c>
      <c r="AJ137" s="13">
        <f>AI137*VLOOKUP('Données projet'!$B$10,Paramètres!$A$1:$I$89,3,0)*VLOOKUP('Données projet'!$B$10,Paramètres!$A$1:$I$89,5,0)</f>
        <v>-7.7147888077888636E-14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225.28075317732998</v>
      </c>
      <c r="AO137" s="59">
        <f t="shared" si="144"/>
        <v>358.43407531256207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0.28604977220111144</v>
      </c>
      <c r="AV137" s="21">
        <f>EXP(-LN(2)/25)*AV136+(1-EXP(-LN(2)/25))/(LN(2)/25)*Calculateur!AQ137*Calculateur!AS137*VLOOKUP('Données projet'!$B$10,Paramètres!$A$1:$I$89,3,0)*0.475*44/12</f>
        <v>0.46273113229950069</v>
      </c>
      <c r="AW137" s="21">
        <f>EXP(-LN(2)/2)*AW136+(1-EXP(-LN(2)/2))/(LN(2)/2)*AQ137*AT137*VLOOKUP('Données projet'!$B$10,Paramètres!$A$1:$I$89,3,0)*0.475*44/12</f>
        <v>9.8010957460415408E-16</v>
      </c>
      <c r="AX137" s="21">
        <f t="shared" si="114"/>
        <v>0.74878090450061319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-5.6843418860808015E-13</v>
      </c>
      <c r="BE137" s="13">
        <f>BD137*VLOOKUP('Données projet'!$B$11,Paramètres!$A$1:$I$89,3,0)*VLOOKUP('Données projet'!$B$11,Paramètres!$A$1:$I$89,5,0)</f>
        <v>-3.177547114319168E-13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326.31232746914907</v>
      </c>
      <c r="BJ137" s="59">
        <f t="shared" si="146"/>
        <v>330.17137761430297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0.58241392029439787</v>
      </c>
      <c r="BQ137" s="21">
        <f>EXP(-LN(2)/25)*BQ136+(1-EXP(-LN(2)/25))/(LN(2)/25)*Calculateur!BL137*Calculateur!BN137*VLOOKUP('Données projet'!$B$11,Paramètres!$A$1:$I$89,3,0)*0.475*44/12</f>
        <v>1.687846572759514</v>
      </c>
      <c r="BR137" s="21">
        <f>EXP(-LN(2)/2)*BR136+(1-EXP(-LN(2)/2))/(LN(2)/2)*BL137*BO137*VLOOKUP('Données projet'!$B$11,Paramètres!$A$1:$I$89,3,0)*0.475*44/12</f>
        <v>7.2213542635502485E-15</v>
      </c>
      <c r="BS137" s="22">
        <f t="shared" si="117"/>
        <v>2.270260493053919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210.04871822652808</v>
      </c>
      <c r="CE137" s="59">
        <f t="shared" si="148"/>
        <v>250.17540614049324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0.93087721721472372</v>
      </c>
      <c r="CL137" s="21">
        <f>EXP(-LN(2)/25)*CL136+(1-EXP(-LN(2)/25))/(LN(2)/25)*Calculateur!CG137*Calculateur!CI137*VLOOKUP('Données projet'!$B$12,Paramètres!$A$1:$I$89,3,0)*0.475*44/12</f>
        <v>1.5568241499772864</v>
      </c>
      <c r="CM137" s="21">
        <f>EXP(-LN(2)/2)*CM136+(1-EXP(-LN(2)/2))/(LN(2)/2)*CG137*CJ137*VLOOKUP('Données projet'!$B$12,Paramètres!$A$1:$I$89,3,0)*0.475*44/12</f>
        <v>4.7859247092833406E-15</v>
      </c>
      <c r="CN137" s="22">
        <f t="shared" si="120"/>
        <v>2.487701367192015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4.5224624045658861E-14</v>
      </c>
      <c r="CV137" s="13">
        <f t="shared" si="149"/>
        <v>7.4514601661523691E-13</v>
      </c>
      <c r="CW137" s="20">
        <f t="shared" si="121"/>
        <v>1.3765621991510601E-12</v>
      </c>
      <c r="CX137" s="59">
        <f t="shared" si="122"/>
        <v>293.33333333333468</v>
      </c>
      <c r="CY137" s="59">
        <f ca="1">AVERAGE(OFFSET($CX$3,0,0,'Données projet'!$E$13+1,1))-AVERAGE(OFFSET($H$3,0,0,'Données projet'!$E$13+1,1))</f>
        <v>199.58763537752952</v>
      </c>
      <c r="CZ137" s="59">
        <f t="shared" si="150"/>
        <v>242.62852778451929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0.57522010899287435</v>
      </c>
      <c r="DH137" s="21">
        <f>EXP(-LN(2)/2)*DH136+(1-EXP(-LN(2)/2))/(LN(2)/2)*DB137*DE137*VLOOKUP('Données projet'!$B$13,Paramètres!$A$1:$I$89,3,0)*0.475*44/12</f>
        <v>2.3895459818002384E-15</v>
      </c>
      <c r="DI137" s="22">
        <f t="shared" si="123"/>
        <v>0.57522010899287679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-4.5474735088646412E-13</v>
      </c>
      <c r="DP137" s="17">
        <f>DO137*VLOOKUP('Données projet'!$B$14,Paramètres!$A$1:$I$89,3,0)*VLOOKUP('Données projet'!$B$14,Paramètres!$A$1:$I$89,5,0)</f>
        <v>-2.7193891583010558E-13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216.94426559495264</v>
      </c>
      <c r="DU137" s="59">
        <f t="shared" si="152"/>
        <v>225.33715877618704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0.71877581386668632</v>
      </c>
      <c r="EC137" s="21">
        <f>EXP(-LN(2)/2)*EC136+(1-EXP(-LN(2)/2))/(LN(2)/2)*DW137*DZ137*VLOOKUP('Données projet'!$B$14,Paramètres!$A$1:$I$89,3,0)*0.475*44/12</f>
        <v>5.2689763383060243E-15</v>
      </c>
      <c r="ED137" s="22">
        <f t="shared" si="126"/>
        <v>0.71877581386669154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6.8212102632969618E-13</v>
      </c>
      <c r="EK137" s="17">
        <f>EJ137*VLOOKUP('Données projet'!$B$15,Paramètres!$A$1:$I$89,3,0)*VLOOKUP('Données projet'!$B$15,Paramètres!$A$1:$I$89,5,0)</f>
        <v>3.2810021366458383E-13</v>
      </c>
      <c r="EL137" s="13">
        <f t="shared" si="153"/>
        <v>4.2923528923937213E-12</v>
      </c>
      <c r="EM137" s="20">
        <f t="shared" si="127"/>
        <v>8.0472891597182151E-12</v>
      </c>
      <c r="EN137" s="59">
        <f t="shared" si="128"/>
        <v>293.33333333334139</v>
      </c>
      <c r="EO137" s="59">
        <f ca="1">AVERAGE(OFFSET($EN$3,0,0,'Données projet'!$E$15+1,1))-AVERAGE(OFFSET($H$3,0,0,'Données projet'!$E$15+1,1))</f>
        <v>292.1792787220852</v>
      </c>
      <c r="EP137" s="59">
        <f t="shared" si="154"/>
        <v>273.69206144662144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0.85910890568343035</v>
      </c>
      <c r="EW137" s="21">
        <f>EXP(-LN(2)/25)*EW136+(1-EXP(-LN(2)/25))/(LN(2)/25)*Calculateur!ER137*Calculateur!ET137*VLOOKUP('Données projet'!$B$15,Paramètres!$A$1:$I$89,3,0)*0.475*44/12</f>
        <v>0.75087769995908693</v>
      </c>
      <c r="EX137" s="21">
        <f>EXP(-LN(2)/2)*EX136+(1-EXP(-LN(2)/2))/(LN(2)/2)*ER137*EU137*VLOOKUP('Données projet'!$B$15,Paramètres!$A$1:$I$89,3,0)*0.475*44/12</f>
        <v>4.6435707342047017E-15</v>
      </c>
      <c r="EY137" s="22">
        <f t="shared" si="129"/>
        <v>1.6099866056425218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215.23235148064941</v>
      </c>
      <c r="T138" s="59">
        <f t="shared" si="142"/>
        <v>184.07239726900434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0.39182270022758153</v>
      </c>
      <c r="AA138" s="21">
        <f>EXP(-LN(2)/25)*AA137+(1-EXP(-LN(2)/25))/(LN(2)/25)*Calculateur!V138*Calculateur!X138*VLOOKUP('Données projet'!$B$9,Paramètres!$A$1:$I$89,3,0)*0.475*44/12</f>
        <v>0.4274111823950893</v>
      </c>
      <c r="AB138" s="21">
        <f>EXP(-LN(2)/2)*AB137+(1-EXP(-LN(2)/2))/(LN(2)/2)*V138*Y138*VLOOKUP('Données projet'!$B$9,Paramètres!$A$1:$I$89,3,0)*0.475*44/12</f>
        <v>1.543742614416072E-15</v>
      </c>
      <c r="AC138" s="22">
        <f t="shared" si="111"/>
        <v>0.81923388262267238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-8.5265128291212022E-14</v>
      </c>
      <c r="AJ138" s="13">
        <f>AI138*VLOOKUP('Données projet'!$B$10,Paramètres!$A$1:$I$89,3,0)*VLOOKUP('Données projet'!$B$10,Paramètres!$A$1:$I$89,5,0)</f>
        <v>-7.7147888077888636E-14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225.28075317732998</v>
      </c>
      <c r="AO138" s="59">
        <f t="shared" si="144"/>
        <v>358.43407531256207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0.28044051064138092</v>
      </c>
      <c r="AV138" s="21">
        <f>EXP(-LN(2)/25)*AV137+(1-EXP(-LN(2)/25))/(LN(2)/25)*Calculateur!AQ138*Calculateur!AS138*VLOOKUP('Données projet'!$B$10,Paramètres!$A$1:$I$89,3,0)*0.475*44/12</f>
        <v>0.4500777251527982</v>
      </c>
      <c r="AW138" s="21">
        <f>EXP(-LN(2)/2)*AW137+(1-EXP(-LN(2)/2))/(LN(2)/2)*AQ138*AT138*VLOOKUP('Données projet'!$B$10,Paramètres!$A$1:$I$89,3,0)*0.475*44/12</f>
        <v>6.9304212650845975E-16</v>
      </c>
      <c r="AX138" s="21">
        <f t="shared" si="114"/>
        <v>0.73051823579417974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-5.6843418860808015E-13</v>
      </c>
      <c r="BE138" s="13">
        <f>BD138*VLOOKUP('Données projet'!$B$11,Paramètres!$A$1:$I$89,3,0)*VLOOKUP('Données projet'!$B$11,Paramètres!$A$1:$I$89,5,0)</f>
        <v>-3.177547114319168E-13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326.31232746914907</v>
      </c>
      <c r="BJ138" s="59">
        <f t="shared" si="146"/>
        <v>330.17137761430297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0.57099313855483935</v>
      </c>
      <c r="BQ138" s="21">
        <f>EXP(-LN(2)/25)*BQ137+(1-EXP(-LN(2)/25))/(LN(2)/25)*Calculateur!BL138*Calculateur!BN138*VLOOKUP('Données projet'!$B$11,Paramètres!$A$1:$I$89,3,0)*0.475*44/12</f>
        <v>1.6416923194674113</v>
      </c>
      <c r="BR138" s="21">
        <f>EXP(-LN(2)/2)*BR137+(1-EXP(-LN(2)/2))/(LN(2)/2)*BL138*BO138*VLOOKUP('Données projet'!$B$11,Paramètres!$A$1:$I$89,3,0)*0.475*44/12</f>
        <v>5.1062685691067676E-15</v>
      </c>
      <c r="BS138" s="22">
        <f t="shared" si="117"/>
        <v>2.2126854580222557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210.04871822652808</v>
      </c>
      <c r="CE138" s="59">
        <f t="shared" si="148"/>
        <v>250.17540614049324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0.91262328276418192</v>
      </c>
      <c r="CL138" s="21">
        <f>EXP(-LN(2)/25)*CL137+(1-EXP(-LN(2)/25))/(LN(2)/25)*Calculateur!CG138*Calculateur!CI138*VLOOKUP('Données projet'!$B$12,Paramètres!$A$1:$I$89,3,0)*0.475*44/12</f>
        <v>1.5142527117263336</v>
      </c>
      <c r="CM138" s="21">
        <f>EXP(-LN(2)/2)*CM137+(1-EXP(-LN(2)/2))/(LN(2)/2)*CG138*CJ138*VLOOKUP('Données projet'!$B$12,Paramètres!$A$1:$I$89,3,0)*0.475*44/12</f>
        <v>3.3841598161825062E-15</v>
      </c>
      <c r="CN138" s="22">
        <f t="shared" si="120"/>
        <v>2.4268759944905192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4.5224624045658861E-14</v>
      </c>
      <c r="CV138" s="13">
        <f t="shared" si="149"/>
        <v>7.4514601661523691E-13</v>
      </c>
      <c r="CW138" s="20">
        <f t="shared" si="121"/>
        <v>1.3765621991510601E-12</v>
      </c>
      <c r="CX138" s="59">
        <f t="shared" si="122"/>
        <v>293.33333333333468</v>
      </c>
      <c r="CY138" s="59">
        <f ca="1">AVERAGE(OFFSET($CX$3,0,0,'Données projet'!$E$13+1,1))-AVERAGE(OFFSET($H$3,0,0,'Données projet'!$E$13+1,1))</f>
        <v>199.58763537752952</v>
      </c>
      <c r="CZ138" s="59">
        <f t="shared" si="150"/>
        <v>242.62852778451929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0.55949068486295339</v>
      </c>
      <c r="DH138" s="21">
        <f>EXP(-LN(2)/2)*DH137+(1-EXP(-LN(2)/2))/(LN(2)/2)*DB138*DE138*VLOOKUP('Données projet'!$B$13,Paramètres!$A$1:$I$89,3,0)*0.475*44/12</f>
        <v>1.6896641676880151E-15</v>
      </c>
      <c r="DI138" s="22">
        <f t="shared" si="123"/>
        <v>0.55949068486295506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-4.5474735088646412E-13</v>
      </c>
      <c r="DP138" s="17">
        <f>DO138*VLOOKUP('Données projet'!$B$14,Paramètres!$A$1:$I$89,3,0)*VLOOKUP('Données projet'!$B$14,Paramètres!$A$1:$I$89,5,0)</f>
        <v>-2.7193891583010558E-13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216.94426559495264</v>
      </c>
      <c r="DU138" s="59">
        <f t="shared" si="152"/>
        <v>225.33715877618704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0.69912085143772451</v>
      </c>
      <c r="EC138" s="21">
        <f>EXP(-LN(2)/2)*EC137+(1-EXP(-LN(2)/2))/(LN(2)/2)*DW138*DZ138*VLOOKUP('Données projet'!$B$14,Paramètres!$A$1:$I$89,3,0)*0.475*44/12</f>
        <v>3.7257288987276542E-15</v>
      </c>
      <c r="ED138" s="22">
        <f t="shared" si="126"/>
        <v>0.69912085143772829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6.8212102632969618E-13</v>
      </c>
      <c r="EK138" s="17">
        <f>EJ138*VLOOKUP('Données projet'!$B$15,Paramètres!$A$1:$I$89,3,0)*VLOOKUP('Données projet'!$B$15,Paramètres!$A$1:$I$89,5,0)</f>
        <v>3.2810021366458383E-13</v>
      </c>
      <c r="EL138" s="13">
        <f t="shared" si="153"/>
        <v>4.2923528923937213E-12</v>
      </c>
      <c r="EM138" s="20">
        <f t="shared" si="127"/>
        <v>8.0472891597182151E-12</v>
      </c>
      <c r="EN138" s="59">
        <f t="shared" si="128"/>
        <v>293.33333333334139</v>
      </c>
      <c r="EO138" s="59">
        <f ca="1">AVERAGE(OFFSET($EN$3,0,0,'Données projet'!$E$15+1,1))-AVERAGE(OFFSET($H$3,0,0,'Données projet'!$E$15+1,1))</f>
        <v>292.1792787220852</v>
      </c>
      <c r="EP138" s="59">
        <f t="shared" si="154"/>
        <v>273.69206144662144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0.84226230404766955</v>
      </c>
      <c r="EW138" s="21">
        <f>EXP(-LN(2)/25)*EW137+(1-EXP(-LN(2)/25))/(LN(2)/25)*Calculateur!ER138*Calculateur!ET138*VLOOKUP('Données projet'!$B$15,Paramètres!$A$1:$I$89,3,0)*0.475*44/12</f>
        <v>0.73034490976676358</v>
      </c>
      <c r="EX138" s="21">
        <f>EXP(-LN(2)/2)*EX137+(1-EXP(-LN(2)/2))/(LN(2)/2)*ER138*EU138*VLOOKUP('Données projet'!$B$15,Paramètres!$A$1:$I$89,3,0)*0.475*44/12</f>
        <v>3.2835003550755399E-15</v>
      </c>
      <c r="EY138" s="22">
        <f t="shared" si="129"/>
        <v>1.5726072138144365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215.23235148064941</v>
      </c>
      <c r="T139" s="59">
        <f t="shared" si="142"/>
        <v>184.07239726900434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0.38413929606436764</v>
      </c>
      <c r="AA139" s="21">
        <f>EXP(-LN(2)/25)*AA138+(1-EXP(-LN(2)/25))/(LN(2)/25)*Calculateur!V139*Calculateur!X139*VLOOKUP('Données projet'!$B$9,Paramètres!$A$1:$I$89,3,0)*0.475*44/12</f>
        <v>0.41572360113591833</v>
      </c>
      <c r="AB139" s="21">
        <f>EXP(-LN(2)/2)*AB138+(1-EXP(-LN(2)/2))/(LN(2)/2)*V139*Y139*VLOOKUP('Données projet'!$B$9,Paramètres!$A$1:$I$89,3,0)*0.475*44/12</f>
        <v>1.0915908710602542E-15</v>
      </c>
      <c r="AC139" s="22">
        <f t="shared" si="111"/>
        <v>0.79986289720028703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-8.5265128291212022E-14</v>
      </c>
      <c r="AJ139" s="13">
        <f>AI139*VLOOKUP('Données projet'!$B$10,Paramètres!$A$1:$I$89,3,0)*VLOOKUP('Données projet'!$B$10,Paramètres!$A$1:$I$89,5,0)</f>
        <v>-7.7147888077888636E-14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225.28075317732998</v>
      </c>
      <c r="AO139" s="59">
        <f t="shared" si="144"/>
        <v>358.43407531256207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0.27494124327952496</v>
      </c>
      <c r="AV139" s="21">
        <f>EXP(-LN(2)/25)*AV138+(1-EXP(-LN(2)/25))/(LN(2)/25)*Calculateur!AQ139*Calculateur!AS139*VLOOKUP('Données projet'!$B$10,Paramètres!$A$1:$I$89,3,0)*0.475*44/12</f>
        <v>0.43777032608993605</v>
      </c>
      <c r="AW139" s="21">
        <f>EXP(-LN(2)/2)*AW138+(1-EXP(-LN(2)/2))/(LN(2)/2)*AQ139*AT139*VLOOKUP('Données projet'!$B$10,Paramètres!$A$1:$I$89,3,0)*0.475*44/12</f>
        <v>4.9005478730207704E-16</v>
      </c>
      <c r="AX139" s="21">
        <f t="shared" si="114"/>
        <v>0.71271156936946145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-5.6843418860808015E-13</v>
      </c>
      <c r="BE139" s="13">
        <f>BD139*VLOOKUP('Données projet'!$B$11,Paramètres!$A$1:$I$89,3,0)*VLOOKUP('Données projet'!$B$11,Paramètres!$A$1:$I$89,5,0)</f>
        <v>-3.177547114319168E-13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326.31232746914907</v>
      </c>
      <c r="BJ139" s="59">
        <f t="shared" si="146"/>
        <v>330.17137761430297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0.55979631137920449</v>
      </c>
      <c r="BQ139" s="21">
        <f>EXP(-LN(2)/25)*BQ138+(1-EXP(-LN(2)/25))/(LN(2)/25)*Calculateur!BL139*Calculateur!BN139*VLOOKUP('Données projet'!$B$11,Paramètres!$A$1:$I$89,3,0)*0.475*44/12</f>
        <v>1.596800156658728</v>
      </c>
      <c r="BR139" s="21">
        <f>EXP(-LN(2)/2)*BR138+(1-EXP(-LN(2)/2))/(LN(2)/2)*BL139*BO139*VLOOKUP('Données projet'!$B$11,Paramètres!$A$1:$I$89,3,0)*0.475*44/12</f>
        <v>3.6106771317751242E-15</v>
      </c>
      <c r="BS139" s="22">
        <f t="shared" si="117"/>
        <v>2.1565964680379359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210.04871822652808</v>
      </c>
      <c r="CE139" s="59">
        <f t="shared" si="148"/>
        <v>250.17540614049324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0.89472729683441465</v>
      </c>
      <c r="CL139" s="21">
        <f>EXP(-LN(2)/25)*CL138+(1-EXP(-LN(2)/25))/(LN(2)/25)*Calculateur!CG139*Calculateur!CI139*VLOOKUP('Données projet'!$B$12,Paramètres!$A$1:$I$89,3,0)*0.475*44/12</f>
        <v>1.4728453916930877</v>
      </c>
      <c r="CM139" s="21">
        <f>EXP(-LN(2)/2)*CM138+(1-EXP(-LN(2)/2))/(LN(2)/2)*CG139*CJ139*VLOOKUP('Données projet'!$B$12,Paramètres!$A$1:$I$89,3,0)*0.475*44/12</f>
        <v>2.3929623546416703E-15</v>
      </c>
      <c r="CN139" s="22">
        <f t="shared" si="120"/>
        <v>2.3675726885275048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4.5224624045658861E-14</v>
      </c>
      <c r="CV139" s="13">
        <f t="shared" si="149"/>
        <v>7.4514601661523691E-13</v>
      </c>
      <c r="CW139" s="20">
        <f t="shared" si="121"/>
        <v>1.3765621991510601E-12</v>
      </c>
      <c r="CX139" s="59">
        <f t="shared" si="122"/>
        <v>293.33333333333468</v>
      </c>
      <c r="CY139" s="59">
        <f ca="1">AVERAGE(OFFSET($CX$3,0,0,'Données projet'!$E$13+1,1))-AVERAGE(OFFSET($H$3,0,0,'Données projet'!$E$13+1,1))</f>
        <v>199.58763537752952</v>
      </c>
      <c r="CZ139" s="59">
        <f t="shared" si="150"/>
        <v>242.62852778451929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0.54419138266303957</v>
      </c>
      <c r="DH139" s="21">
        <f>EXP(-LN(2)/2)*DH138+(1-EXP(-LN(2)/2))/(LN(2)/2)*DB139*DE139*VLOOKUP('Données projet'!$B$13,Paramètres!$A$1:$I$89,3,0)*0.475*44/12</f>
        <v>1.1947729909001192E-15</v>
      </c>
      <c r="DI139" s="22">
        <f t="shared" si="123"/>
        <v>0.54419138266304079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-4.5474735088646412E-13</v>
      </c>
      <c r="DP139" s="17">
        <f>DO139*VLOOKUP('Données projet'!$B$14,Paramètres!$A$1:$I$89,3,0)*VLOOKUP('Données projet'!$B$14,Paramètres!$A$1:$I$89,5,0)</f>
        <v>-2.7193891583010558E-13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216.94426559495264</v>
      </c>
      <c r="DU139" s="59">
        <f t="shared" si="152"/>
        <v>225.33715877618704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0.6800033549899922</v>
      </c>
      <c r="EC139" s="21">
        <f>EXP(-LN(2)/2)*EC138+(1-EXP(-LN(2)/2))/(LN(2)/2)*DW139*DZ139*VLOOKUP('Données projet'!$B$14,Paramètres!$A$1:$I$89,3,0)*0.475*44/12</f>
        <v>2.6344881691530121E-15</v>
      </c>
      <c r="ED139" s="22">
        <f t="shared" si="126"/>
        <v>0.68000335498999487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6.8212102632969618E-13</v>
      </c>
      <c r="EK139" s="17">
        <f>EJ139*VLOOKUP('Données projet'!$B$15,Paramètres!$A$1:$I$89,3,0)*VLOOKUP('Données projet'!$B$15,Paramètres!$A$1:$I$89,5,0)</f>
        <v>3.2810021366458383E-13</v>
      </c>
      <c r="EL139" s="13">
        <f t="shared" si="153"/>
        <v>4.2923528923937213E-12</v>
      </c>
      <c r="EM139" s="20">
        <f t="shared" si="127"/>
        <v>8.0472891597182151E-12</v>
      </c>
      <c r="EN139" s="59">
        <f t="shared" si="128"/>
        <v>293.33333333334139</v>
      </c>
      <c r="EO139" s="59">
        <f ca="1">AVERAGE(OFFSET($EN$3,0,0,'Données projet'!$E$15+1,1))-AVERAGE(OFFSET($H$3,0,0,'Données projet'!$E$15+1,1))</f>
        <v>292.1792787220852</v>
      </c>
      <c r="EP139" s="59">
        <f t="shared" si="154"/>
        <v>273.69206144662144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0.82574605399457368</v>
      </c>
      <c r="EW139" s="21">
        <f>EXP(-LN(2)/25)*EW138+(1-EXP(-LN(2)/25))/(LN(2)/25)*Calculateur!ER139*Calculateur!ET139*VLOOKUP('Données projet'!$B$15,Paramètres!$A$1:$I$89,3,0)*0.475*44/12</f>
        <v>0.71037358980202181</v>
      </c>
      <c r="EX139" s="21">
        <f>EXP(-LN(2)/2)*EX138+(1-EXP(-LN(2)/2))/(LN(2)/2)*ER139*EU139*VLOOKUP('Données projet'!$B$15,Paramètres!$A$1:$I$89,3,0)*0.475*44/12</f>
        <v>2.3217853671023508E-15</v>
      </c>
      <c r="EY139" s="22">
        <f t="shared" si="129"/>
        <v>1.5361196437965976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215.23235148064941</v>
      </c>
      <c r="T140" s="59">
        <f t="shared" si="142"/>
        <v>184.07239726900434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0.37660655877038063</v>
      </c>
      <c r="AA140" s="21">
        <f>EXP(-LN(2)/25)*AA139+(1-EXP(-LN(2)/25))/(LN(2)/25)*Calculateur!V140*Calculateur!X140*VLOOKUP('Données projet'!$B$9,Paramètres!$A$1:$I$89,3,0)*0.475*44/12</f>
        <v>0.40435561740090259</v>
      </c>
      <c r="AB140" s="21">
        <f>EXP(-LN(2)/2)*AB139+(1-EXP(-LN(2)/2))/(LN(2)/2)*V140*Y140*VLOOKUP('Données projet'!$B$9,Paramètres!$A$1:$I$89,3,0)*0.475*44/12</f>
        <v>7.7187130720803599E-16</v>
      </c>
      <c r="AC140" s="22">
        <f t="shared" si="111"/>
        <v>0.78096217617128405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-8.5265128291212022E-14</v>
      </c>
      <c r="AJ140" s="13">
        <f>AI140*VLOOKUP('Données projet'!$B$10,Paramètres!$A$1:$I$89,3,0)*VLOOKUP('Données projet'!$B$10,Paramètres!$A$1:$I$89,5,0)</f>
        <v>-7.7147888077888636E-14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225.28075317732998</v>
      </c>
      <c r="AO140" s="59">
        <f t="shared" si="144"/>
        <v>358.43407531256207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0.26954981319641313</v>
      </c>
      <c r="AV140" s="21">
        <f>EXP(-LN(2)/25)*AV139+(1-EXP(-LN(2)/25))/(LN(2)/25)*Calculateur!AQ140*Calculateur!AS140*VLOOKUP('Données projet'!$B$10,Paramètres!$A$1:$I$89,3,0)*0.475*44/12</f>
        <v>0.42579947350166586</v>
      </c>
      <c r="AW140" s="21">
        <f>EXP(-LN(2)/2)*AW139+(1-EXP(-LN(2)/2))/(LN(2)/2)*AQ140*AT140*VLOOKUP('Données projet'!$B$10,Paramètres!$A$1:$I$89,3,0)*0.475*44/12</f>
        <v>3.4652106325422988E-16</v>
      </c>
      <c r="AX140" s="21">
        <f t="shared" si="114"/>
        <v>0.69534928669807938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-5.6843418860808015E-13</v>
      </c>
      <c r="BE140" s="13">
        <f>BD140*VLOOKUP('Données projet'!$B$11,Paramètres!$A$1:$I$89,3,0)*VLOOKUP('Données projet'!$B$11,Paramètres!$A$1:$I$89,5,0)</f>
        <v>-3.177547114319168E-13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326.31232746914907</v>
      </c>
      <c r="BJ140" s="59">
        <f t="shared" si="146"/>
        <v>330.17137761430297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0.54881904715509366</v>
      </c>
      <c r="BQ140" s="21">
        <f>EXP(-LN(2)/25)*BQ139+(1-EXP(-LN(2)/25))/(LN(2)/25)*Calculateur!BL140*Calculateur!BN140*VLOOKUP('Données projet'!$B$11,Paramètres!$A$1:$I$89,3,0)*0.475*44/12</f>
        <v>1.5531355724028244</v>
      </c>
      <c r="BR140" s="21">
        <f>EXP(-LN(2)/2)*BR139+(1-EXP(-LN(2)/2))/(LN(2)/2)*BL140*BO140*VLOOKUP('Données projet'!$B$11,Paramètres!$A$1:$I$89,3,0)*0.475*44/12</f>
        <v>2.5531342845533838E-15</v>
      </c>
      <c r="BS140" s="22">
        <f t="shared" si="117"/>
        <v>2.1019546195579206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210.04871822652808</v>
      </c>
      <c r="CE140" s="59">
        <f t="shared" si="148"/>
        <v>250.17540614049324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0.87718224027325653</v>
      </c>
      <c r="CL140" s="21">
        <f>EXP(-LN(2)/25)*CL139+(1-EXP(-LN(2)/25))/(LN(2)/25)*Calculateur!CG140*Calculateur!CI140*VLOOKUP('Données projet'!$B$12,Paramètres!$A$1:$I$89,3,0)*0.475*44/12</f>
        <v>1.4325703570036672</v>
      </c>
      <c r="CM140" s="21">
        <f>EXP(-LN(2)/2)*CM139+(1-EXP(-LN(2)/2))/(LN(2)/2)*CG140*CJ140*VLOOKUP('Données projet'!$B$12,Paramètres!$A$1:$I$89,3,0)*0.475*44/12</f>
        <v>1.6920799080912531E-15</v>
      </c>
      <c r="CN140" s="22">
        <f t="shared" si="120"/>
        <v>2.3097525972769253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4.5224624045658861E-14</v>
      </c>
      <c r="CV140" s="13">
        <f t="shared" si="149"/>
        <v>7.4514601661523691E-13</v>
      </c>
      <c r="CW140" s="20">
        <f t="shared" si="121"/>
        <v>1.3765621991510601E-12</v>
      </c>
      <c r="CX140" s="59">
        <f t="shared" si="122"/>
        <v>293.33333333333468</v>
      </c>
      <c r="CY140" s="59">
        <f ca="1">AVERAGE(OFFSET($CX$3,0,0,'Données projet'!$E$13+1,1))-AVERAGE(OFFSET($H$3,0,0,'Données projet'!$E$13+1,1))</f>
        <v>199.58763537752952</v>
      </c>
      <c r="CZ140" s="59">
        <f t="shared" si="150"/>
        <v>242.62852778451929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0.5293104406863377</v>
      </c>
      <c r="DH140" s="21">
        <f>EXP(-LN(2)/2)*DH139+(1-EXP(-LN(2)/2))/(LN(2)/2)*DB140*DE140*VLOOKUP('Données projet'!$B$13,Paramètres!$A$1:$I$89,3,0)*0.475*44/12</f>
        <v>8.4483208384400755E-16</v>
      </c>
      <c r="DI140" s="22">
        <f t="shared" si="123"/>
        <v>0.52931044068633859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-4.5474735088646412E-13</v>
      </c>
      <c r="DP140" s="17">
        <f>DO140*VLOOKUP('Données projet'!$B$14,Paramètres!$A$1:$I$89,3,0)*VLOOKUP('Données projet'!$B$14,Paramètres!$A$1:$I$89,5,0)</f>
        <v>-2.7193891583010558E-13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216.94426559495264</v>
      </c>
      <c r="DU140" s="59">
        <f t="shared" si="152"/>
        <v>225.33715877618704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0.66140862748796858</v>
      </c>
      <c r="EC140" s="21">
        <f>EXP(-LN(2)/2)*EC139+(1-EXP(-LN(2)/2))/(LN(2)/2)*DW140*DZ140*VLOOKUP('Données projet'!$B$14,Paramètres!$A$1:$I$89,3,0)*0.475*44/12</f>
        <v>1.8628644493638271E-15</v>
      </c>
      <c r="ED140" s="22">
        <f t="shared" si="126"/>
        <v>0.66140862748797047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6.8212102632969618E-13</v>
      </c>
      <c r="EK140" s="17">
        <f>EJ140*VLOOKUP('Données projet'!$B$15,Paramètres!$A$1:$I$89,3,0)*VLOOKUP('Données projet'!$B$15,Paramètres!$A$1:$I$89,5,0)</f>
        <v>3.2810021366458383E-13</v>
      </c>
      <c r="EL140" s="13">
        <f t="shared" si="153"/>
        <v>4.2923528923937213E-12</v>
      </c>
      <c r="EM140" s="20">
        <f t="shared" si="127"/>
        <v>8.0472891597182151E-12</v>
      </c>
      <c r="EN140" s="59">
        <f t="shared" si="128"/>
        <v>293.33333333334139</v>
      </c>
      <c r="EO140" s="59">
        <f ca="1">AVERAGE(OFFSET($EN$3,0,0,'Données projet'!$E$15+1,1))-AVERAGE(OFFSET($H$3,0,0,'Données projet'!$E$15+1,1))</f>
        <v>292.1792787220852</v>
      </c>
      <c r="EP140" s="59">
        <f t="shared" si="154"/>
        <v>273.69206144662144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0.80955367753110119</v>
      </c>
      <c r="EW140" s="21">
        <f>EXP(-LN(2)/25)*EW139+(1-EXP(-LN(2)/25))/(LN(2)/25)*Calculateur!ER140*Calculateur!ET140*VLOOKUP('Données projet'!$B$15,Paramètres!$A$1:$I$89,3,0)*0.475*44/12</f>
        <v>0.69094838663196201</v>
      </c>
      <c r="EX140" s="21">
        <f>EXP(-LN(2)/2)*EX139+(1-EXP(-LN(2)/2))/(LN(2)/2)*ER140*EU140*VLOOKUP('Données projet'!$B$15,Paramètres!$A$1:$I$89,3,0)*0.475*44/12</f>
        <v>1.6417501775377699E-15</v>
      </c>
      <c r="EY140" s="22">
        <f t="shared" si="129"/>
        <v>1.5005020641630649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215.23235148064941</v>
      </c>
      <c r="T141" s="59">
        <f t="shared" si="142"/>
        <v>184.07239726900434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0.36922153386021261</v>
      </c>
      <c r="AA141" s="21">
        <f>EXP(-LN(2)/25)*AA140+(1-EXP(-LN(2)/25))/(LN(2)/25)*Calculateur!V141*Calculateur!X141*VLOOKUP('Données projet'!$B$9,Paramètres!$A$1:$I$89,3,0)*0.475*44/12</f>
        <v>0.39329849177893716</v>
      </c>
      <c r="AB141" s="21">
        <f>EXP(-LN(2)/2)*AB140+(1-EXP(-LN(2)/2))/(LN(2)/2)*V141*Y141*VLOOKUP('Données projet'!$B$9,Paramètres!$A$1:$I$89,3,0)*0.475*44/12</f>
        <v>5.457954355301271E-16</v>
      </c>
      <c r="AC141" s="22">
        <f t="shared" si="111"/>
        <v>0.76252002563915033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-8.5265128291212022E-14</v>
      </c>
      <c r="AJ141" s="13">
        <f>AI141*VLOOKUP('Données projet'!$B$10,Paramètres!$A$1:$I$89,3,0)*VLOOKUP('Données projet'!$B$10,Paramètres!$A$1:$I$89,5,0)</f>
        <v>-7.7147888077888636E-14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225.28075317732998</v>
      </c>
      <c r="AO141" s="59">
        <f t="shared" si="144"/>
        <v>358.43407531256207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0.26426410576878345</v>
      </c>
      <c r="AV141" s="21">
        <f>EXP(-LN(2)/25)*AV140+(1-EXP(-LN(2)/25))/(LN(2)/25)*Calculateur!AQ141*Calculateur!AS141*VLOOKUP('Données projet'!$B$10,Paramètres!$A$1:$I$89,3,0)*0.475*44/12</f>
        <v>0.4141559645069417</v>
      </c>
      <c r="AW141" s="21">
        <f>EXP(-LN(2)/2)*AW140+(1-EXP(-LN(2)/2))/(LN(2)/2)*AQ141*AT141*VLOOKUP('Données projet'!$B$10,Paramètres!$A$1:$I$89,3,0)*0.475*44/12</f>
        <v>2.4502739365103852E-16</v>
      </c>
      <c r="AX141" s="21">
        <f t="shared" si="114"/>
        <v>0.67842007027572537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-5.6843418860808015E-13</v>
      </c>
      <c r="BE141" s="13">
        <f>BD141*VLOOKUP('Données projet'!$B$11,Paramètres!$A$1:$I$89,3,0)*VLOOKUP('Données projet'!$B$11,Paramètres!$A$1:$I$89,5,0)</f>
        <v>-3.177547114319168E-13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326.31232746914907</v>
      </c>
      <c r="BJ141" s="59">
        <f t="shared" si="146"/>
        <v>330.17137761430297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0.53805704038694757</v>
      </c>
      <c r="BQ141" s="21">
        <f>EXP(-LN(2)/25)*BQ140+(1-EXP(-LN(2)/25))/(LN(2)/25)*Calculateur!BL141*Calculateur!BN141*VLOOKUP('Données projet'!$B$11,Paramètres!$A$1:$I$89,3,0)*0.475*44/12</f>
        <v>1.5106649984996192</v>
      </c>
      <c r="BR141" s="21">
        <f>EXP(-LN(2)/2)*BR140+(1-EXP(-LN(2)/2))/(LN(2)/2)*BL141*BO141*VLOOKUP('Données projet'!$B$11,Paramètres!$A$1:$I$89,3,0)*0.475*44/12</f>
        <v>1.8053385658875621E-15</v>
      </c>
      <c r="BS141" s="22">
        <f t="shared" si="117"/>
        <v>2.0487220388865683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210.04871822652808</v>
      </c>
      <c r="CE141" s="59">
        <f t="shared" si="148"/>
        <v>250.17540614049324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0.85998123156983486</v>
      </c>
      <c r="CL141" s="21">
        <f>EXP(-LN(2)/25)*CL140+(1-EXP(-LN(2)/25))/(LN(2)/25)*Calculateur!CG141*Calculateur!CI141*VLOOKUP('Données projet'!$B$12,Paramètres!$A$1:$I$89,3,0)*0.475*44/12</f>
        <v>1.3933966452558011</v>
      </c>
      <c r="CM141" s="21">
        <f>EXP(-LN(2)/2)*CM140+(1-EXP(-LN(2)/2))/(LN(2)/2)*CG141*CJ141*VLOOKUP('Données projet'!$B$12,Paramètres!$A$1:$I$89,3,0)*0.475*44/12</f>
        <v>1.1964811773208351E-15</v>
      </c>
      <c r="CN141" s="22">
        <f t="shared" si="120"/>
        <v>2.2533778768256374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4.5224624045658861E-14</v>
      </c>
      <c r="CV141" s="13">
        <f t="shared" si="149"/>
        <v>7.4514601661523691E-13</v>
      </c>
      <c r="CW141" s="20">
        <f t="shared" si="121"/>
        <v>1.3765621991510601E-12</v>
      </c>
      <c r="CX141" s="59">
        <f t="shared" si="122"/>
        <v>293.33333333333468</v>
      </c>
      <c r="CY141" s="59">
        <f ca="1">AVERAGE(OFFSET($CX$3,0,0,'Données projet'!$E$13+1,1))-AVERAGE(OFFSET($H$3,0,0,'Données projet'!$E$13+1,1))</f>
        <v>199.58763537752952</v>
      </c>
      <c r="CZ141" s="59">
        <f t="shared" si="150"/>
        <v>242.62852778451929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0.51483641885054343</v>
      </c>
      <c r="DH141" s="21">
        <f>EXP(-LN(2)/2)*DH140+(1-EXP(-LN(2)/2))/(LN(2)/2)*DB141*DE141*VLOOKUP('Données projet'!$B$13,Paramètres!$A$1:$I$89,3,0)*0.475*44/12</f>
        <v>5.9738649545005961E-16</v>
      </c>
      <c r="DI141" s="22">
        <f t="shared" si="123"/>
        <v>0.51483641885054399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-4.5474735088646412E-13</v>
      </c>
      <c r="DP141" s="17">
        <f>DO141*VLOOKUP('Données projet'!$B$14,Paramètres!$A$1:$I$89,3,0)*VLOOKUP('Données projet'!$B$14,Paramètres!$A$1:$I$89,5,0)</f>
        <v>-2.7193891583010558E-13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216.94426559495264</v>
      </c>
      <c r="DU141" s="59">
        <f t="shared" si="152"/>
        <v>225.33715877618704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0.64332237378734203</v>
      </c>
      <c r="EC141" s="21">
        <f>EXP(-LN(2)/2)*EC140+(1-EXP(-LN(2)/2))/(LN(2)/2)*DW141*DZ141*VLOOKUP('Données projet'!$B$14,Paramètres!$A$1:$I$89,3,0)*0.475*44/12</f>
        <v>1.3172440845765061E-15</v>
      </c>
      <c r="ED141" s="22">
        <f t="shared" si="126"/>
        <v>0.64332237378734336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6.8212102632969618E-13</v>
      </c>
      <c r="EK141" s="17">
        <f>EJ141*VLOOKUP('Données projet'!$B$15,Paramètres!$A$1:$I$89,3,0)*VLOOKUP('Données projet'!$B$15,Paramètres!$A$1:$I$89,5,0)</f>
        <v>3.2810021366458383E-13</v>
      </c>
      <c r="EL141" s="13">
        <f t="shared" si="153"/>
        <v>4.2923528923937213E-12</v>
      </c>
      <c r="EM141" s="20">
        <f t="shared" si="127"/>
        <v>8.0472891597182151E-12</v>
      </c>
      <c r="EN141" s="59">
        <f t="shared" si="128"/>
        <v>293.33333333334139</v>
      </c>
      <c r="EO141" s="59">
        <f ca="1">AVERAGE(OFFSET($EN$3,0,0,'Données projet'!$E$15+1,1))-AVERAGE(OFFSET($H$3,0,0,'Données projet'!$E$15+1,1))</f>
        <v>292.1792787220852</v>
      </c>
      <c r="EP141" s="59">
        <f t="shared" si="154"/>
        <v>273.69206144662144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0.79367882369370302</v>
      </c>
      <c r="EW141" s="21">
        <f>EXP(-LN(2)/25)*EW140+(1-EXP(-LN(2)/25))/(LN(2)/25)*Calculateur!ER141*Calculateur!ET141*VLOOKUP('Données projet'!$B$15,Paramètres!$A$1:$I$89,3,0)*0.475*44/12</f>
        <v>0.67205436666411456</v>
      </c>
      <c r="EX141" s="21">
        <f>EXP(-LN(2)/2)*EX140+(1-EXP(-LN(2)/2))/(LN(2)/2)*ER141*EU141*VLOOKUP('Données projet'!$B$15,Paramètres!$A$1:$I$89,3,0)*0.475*44/12</f>
        <v>1.1608926835511754E-15</v>
      </c>
      <c r="EY141" s="22">
        <f t="shared" si="129"/>
        <v>1.4657331903578188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215.23235148064941</v>
      </c>
      <c r="T142" s="59">
        <f t="shared" si="142"/>
        <v>184.07239726900434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0.36198132478411255</v>
      </c>
      <c r="AA142" s="21">
        <f>EXP(-LN(2)/25)*AA141+(1-EXP(-LN(2)/25))/(LN(2)/25)*Calculateur!V142*Calculateur!X142*VLOOKUP('Données projet'!$B$9,Paramètres!$A$1:$I$89,3,0)*0.475*44/12</f>
        <v>0.38254372383857332</v>
      </c>
      <c r="AB142" s="21">
        <f>EXP(-LN(2)/2)*AB141+(1-EXP(-LN(2)/2))/(LN(2)/2)*V142*Y142*VLOOKUP('Données projet'!$B$9,Paramètres!$A$1:$I$89,3,0)*0.475*44/12</f>
        <v>3.85935653604018E-16</v>
      </c>
      <c r="AC142" s="22">
        <f t="shared" si="111"/>
        <v>0.7445250486226862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-8.5265128291212022E-14</v>
      </c>
      <c r="AJ142" s="13">
        <f>AI142*VLOOKUP('Données projet'!$B$10,Paramètres!$A$1:$I$89,3,0)*VLOOKUP('Données projet'!$B$10,Paramètres!$A$1:$I$89,5,0)</f>
        <v>-7.7147888077888636E-14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225.28075317732998</v>
      </c>
      <c r="AO142" s="59">
        <f t="shared" si="144"/>
        <v>358.43407531256207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0.2590820478398464</v>
      </c>
      <c r="AV142" s="21">
        <f>EXP(-LN(2)/25)*AV141+(1-EXP(-LN(2)/25))/(LN(2)/25)*Calculateur!AQ142*Calculateur!AS142*VLOOKUP('Données projet'!$B$10,Paramètres!$A$1:$I$89,3,0)*0.475*44/12</f>
        <v>0.40283084787798379</v>
      </c>
      <c r="AW142" s="21">
        <f>EXP(-LN(2)/2)*AW141+(1-EXP(-LN(2)/2))/(LN(2)/2)*AQ142*AT142*VLOOKUP('Données projet'!$B$10,Paramètres!$A$1:$I$89,3,0)*0.475*44/12</f>
        <v>1.7326053162711494E-16</v>
      </c>
      <c r="AX142" s="21">
        <f t="shared" si="114"/>
        <v>0.66191289571783041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-5.6843418860808015E-13</v>
      </c>
      <c r="BE142" s="13">
        <f>BD142*VLOOKUP('Données projet'!$B$11,Paramètres!$A$1:$I$89,3,0)*VLOOKUP('Données projet'!$B$11,Paramètres!$A$1:$I$89,5,0)</f>
        <v>-3.177547114319168E-13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326.31232746914907</v>
      </c>
      <c r="BJ142" s="59">
        <f t="shared" si="146"/>
        <v>330.17137761430297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0.52750607000734884</v>
      </c>
      <c r="BQ142" s="21">
        <f>EXP(-LN(2)/25)*BQ141+(1-EXP(-LN(2)/25))/(LN(2)/25)*Calculateur!BL142*Calculateur!BN142*VLOOKUP('Données projet'!$B$11,Paramètres!$A$1:$I$89,3,0)*0.475*44/12</f>
        <v>1.4693557846732275</v>
      </c>
      <c r="BR142" s="21">
        <f>EXP(-LN(2)/2)*BR141+(1-EXP(-LN(2)/2))/(LN(2)/2)*BL142*BO142*VLOOKUP('Données projet'!$B$11,Paramètres!$A$1:$I$89,3,0)*0.475*44/12</f>
        <v>1.2765671422766919E-15</v>
      </c>
      <c r="BS142" s="22">
        <f t="shared" si="117"/>
        <v>1.9968618546805776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210.04871822652808</v>
      </c>
      <c r="CE142" s="59">
        <f t="shared" si="148"/>
        <v>250.17540614049324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0.843117524155508</v>
      </c>
      <c r="CL142" s="21">
        <f>EXP(-LN(2)/25)*CL141+(1-EXP(-LN(2)/25))/(LN(2)/25)*Calculateur!CG142*Calculateur!CI142*VLOOKUP('Données projet'!$B$12,Paramètres!$A$1:$I$89,3,0)*0.475*44/12</f>
        <v>1.3552941407157364</v>
      </c>
      <c r="CM142" s="21">
        <f>EXP(-LN(2)/2)*CM141+(1-EXP(-LN(2)/2))/(LN(2)/2)*CG142*CJ142*VLOOKUP('Données projet'!$B$12,Paramètres!$A$1:$I$89,3,0)*0.475*44/12</f>
        <v>8.4603995404562656E-16</v>
      </c>
      <c r="CN142" s="22">
        <f t="shared" si="120"/>
        <v>2.1984116648712453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4.5224624045658861E-14</v>
      </c>
      <c r="CV142" s="13">
        <f t="shared" si="149"/>
        <v>7.4514601661523691E-13</v>
      </c>
      <c r="CW142" s="20">
        <f t="shared" si="121"/>
        <v>1.3765621991510601E-12</v>
      </c>
      <c r="CX142" s="59">
        <f t="shared" si="122"/>
        <v>293.33333333333468</v>
      </c>
      <c r="CY142" s="59">
        <f ca="1">AVERAGE(OFFSET($CX$3,0,0,'Données projet'!$E$13+1,1))-AVERAGE(OFFSET($H$3,0,0,'Données projet'!$E$13+1,1))</f>
        <v>199.58763537752952</v>
      </c>
      <c r="CZ142" s="59">
        <f t="shared" si="150"/>
        <v>242.62852778451929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0.50075818990300469</v>
      </c>
      <c r="DH142" s="21">
        <f>EXP(-LN(2)/2)*DH141+(1-EXP(-LN(2)/2))/(LN(2)/2)*DB142*DE142*VLOOKUP('Données projet'!$B$13,Paramètres!$A$1:$I$89,3,0)*0.475*44/12</f>
        <v>4.2241604192200378E-16</v>
      </c>
      <c r="DI142" s="22">
        <f t="shared" si="123"/>
        <v>0.50075818990300514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-4.5474735088646412E-13</v>
      </c>
      <c r="DP142" s="17">
        <f>DO142*VLOOKUP('Données projet'!$B$14,Paramètres!$A$1:$I$89,3,0)*VLOOKUP('Données projet'!$B$14,Paramètres!$A$1:$I$89,5,0)</f>
        <v>-2.7193891583010558E-13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216.94426559495264</v>
      </c>
      <c r="DU142" s="59">
        <f t="shared" si="152"/>
        <v>225.33715877618704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0.6257306896452739</v>
      </c>
      <c r="EC142" s="21">
        <f>EXP(-LN(2)/2)*EC141+(1-EXP(-LN(2)/2))/(LN(2)/2)*DW142*DZ142*VLOOKUP('Données projet'!$B$14,Paramètres!$A$1:$I$89,3,0)*0.475*44/12</f>
        <v>9.3143222468191356E-16</v>
      </c>
      <c r="ED142" s="22">
        <f t="shared" si="126"/>
        <v>0.62573068964527478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6.8212102632969618E-13</v>
      </c>
      <c r="EK142" s="17">
        <f>EJ142*VLOOKUP('Données projet'!$B$15,Paramètres!$A$1:$I$89,3,0)*VLOOKUP('Données projet'!$B$15,Paramètres!$A$1:$I$89,5,0)</f>
        <v>3.2810021366458383E-13</v>
      </c>
      <c r="EL142" s="13">
        <f t="shared" si="153"/>
        <v>4.2923528923937213E-12</v>
      </c>
      <c r="EM142" s="20">
        <f t="shared" si="127"/>
        <v>8.0472891597182151E-12</v>
      </c>
      <c r="EN142" s="59">
        <f t="shared" si="128"/>
        <v>293.33333333334139</v>
      </c>
      <c r="EO142" s="59">
        <f ca="1">AVERAGE(OFFSET($EN$3,0,0,'Données projet'!$E$15+1,1))-AVERAGE(OFFSET($H$3,0,0,'Données projet'!$E$15+1,1))</f>
        <v>292.1792787220852</v>
      </c>
      <c r="EP142" s="59">
        <f t="shared" si="154"/>
        <v>273.69206144662144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0.77811526605735137</v>
      </c>
      <c r="EW142" s="21">
        <f>EXP(-LN(2)/25)*EW141+(1-EXP(-LN(2)/25))/(LN(2)/25)*Calculateur!ER142*Calculateur!ET142*VLOOKUP('Données projet'!$B$15,Paramètres!$A$1:$I$89,3,0)*0.475*44/12</f>
        <v>0.65367700466588119</v>
      </c>
      <c r="EX142" s="21">
        <f>EXP(-LN(2)/2)*EX141+(1-EXP(-LN(2)/2))/(LN(2)/2)*ER142*EU142*VLOOKUP('Données projet'!$B$15,Paramètres!$A$1:$I$89,3,0)*0.475*44/12</f>
        <v>8.2087508876888497E-16</v>
      </c>
      <c r="EY142" s="22">
        <f t="shared" si="129"/>
        <v>1.4317922707232333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215.23235148064941</v>
      </c>
      <c r="T143" s="59">
        <f t="shared" si="142"/>
        <v>184.07239726900434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0.3548830917919033</v>
      </c>
      <c r="AA143" s="21">
        <f>EXP(-LN(2)/25)*AA142+(1-EXP(-LN(2)/25))/(LN(2)/25)*Calculateur!V143*Calculateur!X143*VLOOKUP('Données projet'!$B$9,Paramètres!$A$1:$I$89,3,0)*0.475*44/12</f>
        <v>0.3720830455931074</v>
      </c>
      <c r="AB143" s="21">
        <f>EXP(-LN(2)/2)*AB142+(1-EXP(-LN(2)/2))/(LN(2)/2)*V143*Y143*VLOOKUP('Données projet'!$B$9,Paramètres!$A$1:$I$89,3,0)*0.475*44/12</f>
        <v>2.7289771776506355E-16</v>
      </c>
      <c r="AC143" s="22">
        <f t="shared" si="111"/>
        <v>0.72696613738501092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-8.5265128291212022E-14</v>
      </c>
      <c r="AJ143" s="13">
        <f>AI143*VLOOKUP('Données projet'!$B$10,Paramètres!$A$1:$I$89,3,0)*VLOOKUP('Données projet'!$B$10,Paramètres!$A$1:$I$89,5,0)</f>
        <v>-7.7147888077888636E-14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225.28075317732998</v>
      </c>
      <c r="AO143" s="59">
        <f t="shared" si="144"/>
        <v>358.43407531256207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0.25400160690615259</v>
      </c>
      <c r="AV143" s="21">
        <f>EXP(-LN(2)/25)*AV142+(1-EXP(-LN(2)/25))/(LN(2)/25)*Calculateur!AQ143*Calculateur!AS143*VLOOKUP('Données projet'!$B$10,Paramètres!$A$1:$I$89,3,0)*0.475*44/12</f>
        <v>0.39181541715880669</v>
      </c>
      <c r="AW143" s="21">
        <f>EXP(-LN(2)/2)*AW142+(1-EXP(-LN(2)/2))/(LN(2)/2)*AQ143*AT143*VLOOKUP('Données projet'!$B$10,Paramètres!$A$1:$I$89,3,0)*0.475*44/12</f>
        <v>1.2251369682551926E-16</v>
      </c>
      <c r="AX143" s="21">
        <f t="shared" si="114"/>
        <v>0.64581702406495933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-5.6843418860808015E-13</v>
      </c>
      <c r="BE143" s="13">
        <f>BD143*VLOOKUP('Données projet'!$B$11,Paramètres!$A$1:$I$89,3,0)*VLOOKUP('Données projet'!$B$11,Paramètres!$A$1:$I$89,5,0)</f>
        <v>-3.177547114319168E-13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326.31232746914907</v>
      </c>
      <c r="BJ143" s="59">
        <f t="shared" si="146"/>
        <v>330.17137761430297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0.51716199772143756</v>
      </c>
      <c r="BQ143" s="21">
        <f>EXP(-LN(2)/25)*BQ142+(1-EXP(-LN(2)/25))/(LN(2)/25)*Calculateur!BL143*Calculateur!BN143*VLOOKUP('Données projet'!$B$11,Paramètres!$A$1:$I$89,3,0)*0.475*44/12</f>
        <v>1.4291761734712756</v>
      </c>
      <c r="BR143" s="21">
        <f>EXP(-LN(2)/2)*BR142+(1-EXP(-LN(2)/2))/(LN(2)/2)*BL143*BO143*VLOOKUP('Données projet'!$B$11,Paramètres!$A$1:$I$89,3,0)*0.475*44/12</f>
        <v>9.0266928294378106E-16</v>
      </c>
      <c r="BS143" s="22">
        <f t="shared" si="117"/>
        <v>1.9463381711927141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210.04871822652808</v>
      </c>
      <c r="CE143" s="59">
        <f t="shared" si="148"/>
        <v>250.17540614049324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0.82658450375773018</v>
      </c>
      <c r="CL143" s="21">
        <f>EXP(-LN(2)/25)*CL142+(1-EXP(-LN(2)/25))/(LN(2)/25)*Calculateur!CG143*Calculateur!CI143*VLOOKUP('Données projet'!$B$12,Paramètres!$A$1:$I$89,3,0)*0.475*44/12</f>
        <v>1.3182335511660432</v>
      </c>
      <c r="CM143" s="21">
        <f>EXP(-LN(2)/2)*CM142+(1-EXP(-LN(2)/2))/(LN(2)/2)*CG143*CJ143*VLOOKUP('Données projet'!$B$12,Paramètres!$A$1:$I$89,3,0)*0.475*44/12</f>
        <v>5.9824058866041757E-16</v>
      </c>
      <c r="CN143" s="22">
        <f t="shared" si="120"/>
        <v>2.1448180549237739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4.5224624045658861E-14</v>
      </c>
      <c r="CV143" s="13">
        <f t="shared" si="149"/>
        <v>7.4514601661523691E-13</v>
      </c>
      <c r="CW143" s="20">
        <f t="shared" si="121"/>
        <v>1.3765621991510601E-12</v>
      </c>
      <c r="CX143" s="59">
        <f t="shared" si="122"/>
        <v>293.33333333333468</v>
      </c>
      <c r="CY143" s="59">
        <f ca="1">AVERAGE(OFFSET($CX$3,0,0,'Données projet'!$E$13+1,1))-AVERAGE(OFFSET($H$3,0,0,'Données projet'!$E$13+1,1))</f>
        <v>199.58763537752952</v>
      </c>
      <c r="CZ143" s="59">
        <f t="shared" si="150"/>
        <v>242.62852778451929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0.48706493086637831</v>
      </c>
      <c r="DH143" s="21">
        <f>EXP(-LN(2)/2)*DH142+(1-EXP(-LN(2)/2))/(LN(2)/2)*DB143*DE143*VLOOKUP('Données projet'!$B$13,Paramètres!$A$1:$I$89,3,0)*0.475*44/12</f>
        <v>2.9869324772502981E-16</v>
      </c>
      <c r="DI143" s="22">
        <f t="shared" si="123"/>
        <v>0.48706493086637859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-4.5474735088646412E-13</v>
      </c>
      <c r="DP143" s="17">
        <f>DO143*VLOOKUP('Données projet'!$B$14,Paramètres!$A$1:$I$89,3,0)*VLOOKUP('Données projet'!$B$14,Paramètres!$A$1:$I$89,5,0)</f>
        <v>-2.7193891583010558E-13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216.94426559495264</v>
      </c>
      <c r="DU143" s="59">
        <f t="shared" si="152"/>
        <v>225.33715877618704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0.608620051031177</v>
      </c>
      <c r="EC143" s="21">
        <f>EXP(-LN(2)/2)*EC142+(1-EXP(-LN(2)/2))/(LN(2)/2)*DW143*DZ143*VLOOKUP('Données projet'!$B$14,Paramètres!$A$1:$I$89,3,0)*0.475*44/12</f>
        <v>6.5862204228825304E-16</v>
      </c>
      <c r="ED143" s="22">
        <f t="shared" si="126"/>
        <v>0.60862005103117767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6.8212102632969618E-13</v>
      </c>
      <c r="EK143" s="17">
        <f>EJ143*VLOOKUP('Données projet'!$B$15,Paramètres!$A$1:$I$89,3,0)*VLOOKUP('Données projet'!$B$15,Paramètres!$A$1:$I$89,5,0)</f>
        <v>3.2810021366458383E-13</v>
      </c>
      <c r="EL143" s="13">
        <f t="shared" si="153"/>
        <v>4.2923528923937213E-12</v>
      </c>
      <c r="EM143" s="20">
        <f t="shared" si="127"/>
        <v>8.0472891597182151E-12</v>
      </c>
      <c r="EN143" s="59">
        <f t="shared" si="128"/>
        <v>293.33333333334139</v>
      </c>
      <c r="EO143" s="59">
        <f ca="1">AVERAGE(OFFSET($EN$3,0,0,'Données projet'!$E$15+1,1))-AVERAGE(OFFSET($H$3,0,0,'Données projet'!$E$15+1,1))</f>
        <v>292.1792787220852</v>
      </c>
      <c r="EP143" s="59">
        <f t="shared" si="154"/>
        <v>273.69206144662144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0.7628569002934158</v>
      </c>
      <c r="EW143" s="21">
        <f>EXP(-LN(2)/25)*EW142+(1-EXP(-LN(2)/25))/(LN(2)/25)*Calculateur!ER143*Calculateur!ET143*VLOOKUP('Données projet'!$B$15,Paramètres!$A$1:$I$89,3,0)*0.475*44/12</f>
        <v>0.63580217259791294</v>
      </c>
      <c r="EX143" s="21">
        <f>EXP(-LN(2)/2)*EX142+(1-EXP(-LN(2)/2))/(LN(2)/2)*ER143*EU143*VLOOKUP('Données projet'!$B$15,Paramètres!$A$1:$I$89,3,0)*0.475*44/12</f>
        <v>5.8044634177558771E-16</v>
      </c>
      <c r="EY143" s="22">
        <f t="shared" si="129"/>
        <v>1.3986590728913295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215.23235148064941</v>
      </c>
      <c r="T144" s="59">
        <f t="shared" si="142"/>
        <v>184.07239726900434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0.34792405081917671</v>
      </c>
      <c r="AA144" s="21">
        <f>EXP(-LN(2)/25)*AA143+(1-EXP(-LN(2)/25))/(LN(2)/25)*Calculateur!V144*Calculateur!X144*VLOOKUP('Données projet'!$B$9,Paramètres!$A$1:$I$89,3,0)*0.475*44/12</f>
        <v>0.36190841514436689</v>
      </c>
      <c r="AB144" s="21">
        <f>EXP(-LN(2)/2)*AB143+(1-EXP(-LN(2)/2))/(LN(2)/2)*V144*Y144*VLOOKUP('Données projet'!$B$9,Paramètres!$A$1:$I$89,3,0)*0.475*44/12</f>
        <v>1.92967826802009E-16</v>
      </c>
      <c r="AC144" s="22">
        <f t="shared" si="111"/>
        <v>0.70983246596354377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-8.5265128291212022E-14</v>
      </c>
      <c r="AJ144" s="13">
        <f>AI144*VLOOKUP('Données projet'!$B$10,Paramètres!$A$1:$I$89,3,0)*VLOOKUP('Données projet'!$B$10,Paramètres!$A$1:$I$89,5,0)</f>
        <v>-7.7147888077888636E-14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225.28075317732998</v>
      </c>
      <c r="AO144" s="59">
        <f t="shared" si="144"/>
        <v>358.43407531256207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0.2490207903204055</v>
      </c>
      <c r="AV144" s="21">
        <f>EXP(-LN(2)/25)*AV143+(1-EXP(-LN(2)/25))/(LN(2)/25)*Calculateur!AQ144*Calculateur!AS144*VLOOKUP('Données projet'!$B$10,Paramètres!$A$1:$I$89,3,0)*0.475*44/12</f>
        <v>0.38110120397192182</v>
      </c>
      <c r="AW144" s="21">
        <f>EXP(-LN(2)/2)*AW143+(1-EXP(-LN(2)/2))/(LN(2)/2)*AQ144*AT144*VLOOKUP('Données projet'!$B$10,Paramètres!$A$1:$I$89,3,0)*0.475*44/12</f>
        <v>8.6630265813557469E-17</v>
      </c>
      <c r="AX144" s="21">
        <f t="shared" si="114"/>
        <v>0.6301219942923274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-5.6843418860808015E-13</v>
      </c>
      <c r="BE144" s="13">
        <f>BD144*VLOOKUP('Données projet'!$B$11,Paramètres!$A$1:$I$89,3,0)*VLOOKUP('Données projet'!$B$11,Paramètres!$A$1:$I$89,5,0)</f>
        <v>-3.177547114319168E-13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326.31232746914907</v>
      </c>
      <c r="BJ144" s="59">
        <f t="shared" si="146"/>
        <v>330.17137761430297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0.5070207663837919</v>
      </c>
      <c r="BQ144" s="21">
        <f>EXP(-LN(2)/25)*BQ143+(1-EXP(-LN(2)/25))/(LN(2)/25)*Calculateur!BL144*Calculateur!BN144*VLOOKUP('Données projet'!$B$11,Paramètres!$A$1:$I$89,3,0)*0.475*44/12</f>
        <v>1.3900952758505949</v>
      </c>
      <c r="BR144" s="21">
        <f>EXP(-LN(2)/2)*BR143+(1-EXP(-LN(2)/2))/(LN(2)/2)*BL144*BO144*VLOOKUP('Données projet'!$B$11,Paramètres!$A$1:$I$89,3,0)*0.475*44/12</f>
        <v>6.3828357113834595E-16</v>
      </c>
      <c r="BS144" s="22">
        <f t="shared" si="117"/>
        <v>1.8971160422343873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210.04871822652808</v>
      </c>
      <c r="CE144" s="59">
        <f t="shared" si="148"/>
        <v>250.17540614049324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0.8103756858058061</v>
      </c>
      <c r="CL144" s="21">
        <f>EXP(-LN(2)/25)*CL143+(1-EXP(-LN(2)/25))/(LN(2)/25)*Calculateur!CG144*Calculateur!CI144*VLOOKUP('Données projet'!$B$12,Paramètres!$A$1:$I$89,3,0)*0.475*44/12</f>
        <v>1.2821863853865183</v>
      </c>
      <c r="CM144" s="21">
        <f>EXP(-LN(2)/2)*CM143+(1-EXP(-LN(2)/2))/(LN(2)/2)*CG144*CJ144*VLOOKUP('Données projet'!$B$12,Paramètres!$A$1:$I$89,3,0)*0.475*44/12</f>
        <v>4.2301997702281328E-16</v>
      </c>
      <c r="CN144" s="22">
        <f t="shared" si="120"/>
        <v>2.092562071192325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4.5224624045658861E-14</v>
      </c>
      <c r="CV144" s="13">
        <f t="shared" si="149"/>
        <v>7.4514601661523691E-13</v>
      </c>
      <c r="CW144" s="20">
        <f t="shared" si="121"/>
        <v>1.3765621991510601E-12</v>
      </c>
      <c r="CX144" s="59">
        <f t="shared" si="122"/>
        <v>293.33333333333468</v>
      </c>
      <c r="CY144" s="59">
        <f ca="1">AVERAGE(OFFSET($CX$3,0,0,'Données projet'!$E$13+1,1))-AVERAGE(OFFSET($H$3,0,0,'Données projet'!$E$13+1,1))</f>
        <v>199.58763537752952</v>
      </c>
      <c r="CZ144" s="59">
        <f t="shared" si="150"/>
        <v>242.62852778451929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0.47374611471820566</v>
      </c>
      <c r="DH144" s="21">
        <f>EXP(-LN(2)/2)*DH143+(1-EXP(-LN(2)/2))/(LN(2)/2)*DB144*DE144*VLOOKUP('Données projet'!$B$13,Paramètres!$A$1:$I$89,3,0)*0.475*44/12</f>
        <v>2.1120802096100189E-16</v>
      </c>
      <c r="DI144" s="22">
        <f t="shared" si="123"/>
        <v>0.47374611471820588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-4.5474735088646412E-13</v>
      </c>
      <c r="DP144" s="17">
        <f>DO144*VLOOKUP('Données projet'!$B$14,Paramètres!$A$1:$I$89,3,0)*VLOOKUP('Données projet'!$B$14,Paramètres!$A$1:$I$89,5,0)</f>
        <v>-2.7193891583010558E-13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216.94426559495264</v>
      </c>
      <c r="DU144" s="59">
        <f t="shared" si="152"/>
        <v>225.33715877618704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0.59197730372979196</v>
      </c>
      <c r="EC144" s="21">
        <f>EXP(-LN(2)/2)*EC143+(1-EXP(-LN(2)/2))/(LN(2)/2)*DW144*DZ144*VLOOKUP('Données projet'!$B$14,Paramètres!$A$1:$I$89,3,0)*0.475*44/12</f>
        <v>4.6571611234095678E-16</v>
      </c>
      <c r="ED144" s="22">
        <f t="shared" si="126"/>
        <v>0.5919773037297924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6.8212102632969618E-13</v>
      </c>
      <c r="EK144" s="17">
        <f>EJ144*VLOOKUP('Données projet'!$B$15,Paramètres!$A$1:$I$89,3,0)*VLOOKUP('Données projet'!$B$15,Paramètres!$A$1:$I$89,5,0)</f>
        <v>3.2810021366458383E-13</v>
      </c>
      <c r="EL144" s="13">
        <f t="shared" si="153"/>
        <v>4.2923528923937213E-12</v>
      </c>
      <c r="EM144" s="20">
        <f t="shared" si="127"/>
        <v>8.0472891597182151E-12</v>
      </c>
      <c r="EN144" s="59">
        <f t="shared" si="128"/>
        <v>293.33333333334139</v>
      </c>
      <c r="EO144" s="59">
        <f ca="1">AVERAGE(OFFSET($EN$3,0,0,'Données projet'!$E$15+1,1))-AVERAGE(OFFSET($H$3,0,0,'Données projet'!$E$15+1,1))</f>
        <v>292.1792787220852</v>
      </c>
      <c r="EP144" s="59">
        <f t="shared" si="154"/>
        <v>273.69206144662144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0.74789774177542689</v>
      </c>
      <c r="EW144" s="21">
        <f>EXP(-LN(2)/25)*EW143+(1-EXP(-LN(2)/25))/(LN(2)/25)*Calculateur!ER144*Calculateur!ET144*VLOOKUP('Données projet'!$B$15,Paramètres!$A$1:$I$89,3,0)*0.475*44/12</f>
        <v>0.61841612875283991</v>
      </c>
      <c r="EX144" s="21">
        <f>EXP(-LN(2)/2)*EX143+(1-EXP(-LN(2)/2))/(LN(2)/2)*ER144*EU144*VLOOKUP('Données projet'!$B$15,Paramètres!$A$1:$I$89,3,0)*0.475*44/12</f>
        <v>4.1043754438444249E-16</v>
      </c>
      <c r="EY144" s="22">
        <f t="shared" si="129"/>
        <v>1.3663138705282671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215.23235148064941</v>
      </c>
      <c r="T145" s="59">
        <f t="shared" si="142"/>
        <v>184.07239726900434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0.3411014723953294</v>
      </c>
      <c r="AA145" s="21">
        <f>EXP(-LN(2)/25)*AA144+(1-EXP(-LN(2)/25))/(LN(2)/25)*Calculateur!V145*Calculateur!X145*VLOOKUP('Données projet'!$B$9,Paramètres!$A$1:$I$89,3,0)*0.475*44/12</f>
        <v>0.35201201050030778</v>
      </c>
      <c r="AB145" s="21">
        <f>EXP(-LN(2)/2)*AB144+(1-EXP(-LN(2)/2))/(LN(2)/2)*V145*Y145*VLOOKUP('Données projet'!$B$9,Paramètres!$A$1:$I$89,3,0)*0.475*44/12</f>
        <v>1.3644885888253177E-16</v>
      </c>
      <c r="AC145" s="22">
        <f t="shared" si="111"/>
        <v>0.69311348289563723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-8.5265128291212022E-14</v>
      </c>
      <c r="AJ145" s="13">
        <f>AI145*VLOOKUP('Données projet'!$B$10,Paramètres!$A$1:$I$89,3,0)*VLOOKUP('Données projet'!$B$10,Paramètres!$A$1:$I$89,5,0)</f>
        <v>-7.7147888077888636E-14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225.28075317732998</v>
      </c>
      <c r="AO145" s="59">
        <f t="shared" si="144"/>
        <v>358.43407531256207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0.24413764450990677</v>
      </c>
      <c r="AV145" s="21">
        <f>EXP(-LN(2)/25)*AV144+(1-EXP(-LN(2)/25))/(LN(2)/25)*Calculateur!AQ145*Calculateur!AS145*VLOOKUP('Données projet'!$B$10,Paramètres!$A$1:$I$89,3,0)*0.475*44/12</f>
        <v>0.37067997150806831</v>
      </c>
      <c r="AW145" s="21">
        <f>EXP(-LN(2)/2)*AW144+(1-EXP(-LN(2)/2))/(LN(2)/2)*AQ145*AT145*VLOOKUP('Données projet'!$B$10,Paramètres!$A$1:$I$89,3,0)*0.475*44/12</f>
        <v>6.125684841275963E-17</v>
      </c>
      <c r="AX145" s="21">
        <f t="shared" si="114"/>
        <v>0.61481761601797513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-5.6843418860808015E-13</v>
      </c>
      <c r="BE145" s="13">
        <f>BD145*VLOOKUP('Données projet'!$B$11,Paramètres!$A$1:$I$89,3,0)*VLOOKUP('Données projet'!$B$11,Paramètres!$A$1:$I$89,5,0)</f>
        <v>-3.177547114319168E-13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326.31232746914907</v>
      </c>
      <c r="BJ145" s="59">
        <f t="shared" si="146"/>
        <v>330.17137761430297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0.49707839840713713</v>
      </c>
      <c r="BQ145" s="21">
        <f>EXP(-LN(2)/25)*BQ144+(1-EXP(-LN(2)/25))/(LN(2)/25)*Calculateur!BL145*Calculateur!BN145*VLOOKUP('Données projet'!$B$11,Paramètres!$A$1:$I$89,3,0)*0.475*44/12</f>
        <v>1.352083047430527</v>
      </c>
      <c r="BR145" s="21">
        <f>EXP(-LN(2)/2)*BR144+(1-EXP(-LN(2)/2))/(LN(2)/2)*BL145*BO145*VLOOKUP('Données projet'!$B$11,Paramètres!$A$1:$I$89,3,0)*0.475*44/12</f>
        <v>4.5133464147189053E-16</v>
      </c>
      <c r="BS145" s="22">
        <f t="shared" si="117"/>
        <v>1.8491614458376646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210.04871822652808</v>
      </c>
      <c r="CE145" s="59">
        <f t="shared" si="148"/>
        <v>250.17540614049324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0.79448471288751643</v>
      </c>
      <c r="CL145" s="21">
        <f>EXP(-LN(2)/25)*CL144+(1-EXP(-LN(2)/25))/(LN(2)/25)*Calculateur!CG145*Calculateur!CI145*VLOOKUP('Données projet'!$B$12,Paramètres!$A$1:$I$89,3,0)*0.475*44/12</f>
        <v>1.2471249312508725</v>
      </c>
      <c r="CM145" s="21">
        <f>EXP(-LN(2)/2)*CM144+(1-EXP(-LN(2)/2))/(LN(2)/2)*CG145*CJ145*VLOOKUP('Données projet'!$B$12,Paramètres!$A$1:$I$89,3,0)*0.475*44/12</f>
        <v>2.9912029433020879E-16</v>
      </c>
      <c r="CN145" s="22">
        <f t="shared" si="120"/>
        <v>2.0416096441383895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4.5224624045658861E-14</v>
      </c>
      <c r="CV145" s="13">
        <f t="shared" si="149"/>
        <v>7.4514601661523691E-13</v>
      </c>
      <c r="CW145" s="20">
        <f t="shared" si="121"/>
        <v>1.3765621991510601E-12</v>
      </c>
      <c r="CX145" s="59">
        <f t="shared" si="122"/>
        <v>293.33333333333468</v>
      </c>
      <c r="CY145" s="59">
        <f ca="1">AVERAGE(OFFSET($CX$3,0,0,'Données projet'!$E$13+1,1))-AVERAGE(OFFSET($H$3,0,0,'Données projet'!$E$13+1,1))</f>
        <v>199.58763537752952</v>
      </c>
      <c r="CZ145" s="59">
        <f t="shared" si="150"/>
        <v>242.62852778451929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0.46079150229801091</v>
      </c>
      <c r="DH145" s="21">
        <f>EXP(-LN(2)/2)*DH144+(1-EXP(-LN(2)/2))/(LN(2)/2)*DB145*DE145*VLOOKUP('Données projet'!$B$13,Paramètres!$A$1:$I$89,3,0)*0.475*44/12</f>
        <v>1.493466238625149E-16</v>
      </c>
      <c r="DI145" s="22">
        <f t="shared" si="123"/>
        <v>0.46079150229801108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-4.5474735088646412E-13</v>
      </c>
      <c r="DP145" s="17">
        <f>DO145*VLOOKUP('Données projet'!$B$14,Paramètres!$A$1:$I$89,3,0)*VLOOKUP('Données projet'!$B$14,Paramètres!$A$1:$I$89,5,0)</f>
        <v>-2.7193891583010558E-13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216.94426559495264</v>
      </c>
      <c r="DU145" s="59">
        <f t="shared" si="152"/>
        <v>225.33715877618704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0.57578965322856734</v>
      </c>
      <c r="EC145" s="21">
        <f>EXP(-LN(2)/2)*EC144+(1-EXP(-LN(2)/2))/(LN(2)/2)*DW145*DZ145*VLOOKUP('Données projet'!$B$14,Paramètres!$A$1:$I$89,3,0)*0.475*44/12</f>
        <v>3.2931102114412652E-16</v>
      </c>
      <c r="ED145" s="22">
        <f t="shared" si="126"/>
        <v>0.57578965322856768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6.8212102632969618E-13</v>
      </c>
      <c r="EK145" s="17">
        <f>EJ145*VLOOKUP('Données projet'!$B$15,Paramètres!$A$1:$I$89,3,0)*VLOOKUP('Données projet'!$B$15,Paramètres!$A$1:$I$89,5,0)</f>
        <v>3.2810021366458383E-13</v>
      </c>
      <c r="EL145" s="13">
        <f t="shared" si="153"/>
        <v>4.2923528923937213E-12</v>
      </c>
      <c r="EM145" s="20">
        <f t="shared" si="127"/>
        <v>8.0472891597182151E-12</v>
      </c>
      <c r="EN145" s="59">
        <f t="shared" si="128"/>
        <v>293.33333333334139</v>
      </c>
      <c r="EO145" s="59">
        <f ca="1">AVERAGE(OFFSET($EN$3,0,0,'Données projet'!$E$15+1,1))-AVERAGE(OFFSET($H$3,0,0,'Données projet'!$E$15+1,1))</f>
        <v>292.1792787220852</v>
      </c>
      <c r="EP145" s="59">
        <f t="shared" si="154"/>
        <v>273.69206144662144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0.73323192323178998</v>
      </c>
      <c r="EW145" s="21">
        <f>EXP(-LN(2)/25)*EW144+(1-EXP(-LN(2)/25))/(LN(2)/25)*Calculateur!ER145*Calculateur!ET145*VLOOKUP('Données projet'!$B$15,Paramètres!$A$1:$I$89,3,0)*0.475*44/12</f>
        <v>0.60150550719100271</v>
      </c>
      <c r="EX145" s="21">
        <f>EXP(-LN(2)/2)*EX144+(1-EXP(-LN(2)/2))/(LN(2)/2)*ER145*EU145*VLOOKUP('Données projet'!$B$15,Paramètres!$A$1:$I$89,3,0)*0.475*44/12</f>
        <v>2.9022317088779386E-16</v>
      </c>
      <c r="EY145" s="22">
        <f t="shared" si="129"/>
        <v>1.3347374304227928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215.23235148064941</v>
      </c>
      <c r="T146" s="59">
        <f t="shared" si="142"/>
        <v>184.07239726900434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0.33441268057301177</v>
      </c>
      <c r="AA146" s="21">
        <f>EXP(-LN(2)/25)*AA145+(1-EXP(-LN(2)/25))/(LN(2)/25)*Calculateur!V146*Calculateur!X146*VLOOKUP('Données projet'!$B$9,Paramètres!$A$1:$I$89,3,0)*0.475*44/12</f>
        <v>0.34238622356166976</v>
      </c>
      <c r="AB146" s="21">
        <f>EXP(-LN(2)/2)*AB145+(1-EXP(-LN(2)/2))/(LN(2)/2)*V146*Y146*VLOOKUP('Données projet'!$B$9,Paramètres!$A$1:$I$89,3,0)*0.475*44/12</f>
        <v>9.6483913401004499E-17</v>
      </c>
      <c r="AC146" s="22">
        <f t="shared" si="111"/>
        <v>0.67679890413468169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-8.5265128291212022E-14</v>
      </c>
      <c r="AJ146" s="13">
        <f>AI146*VLOOKUP('Données projet'!$B$10,Paramètres!$A$1:$I$89,3,0)*VLOOKUP('Données projet'!$B$10,Paramètres!$A$1:$I$89,5,0)</f>
        <v>-7.7147888077888636E-14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225.28075317732998</v>
      </c>
      <c r="AO146" s="59">
        <f t="shared" si="144"/>
        <v>358.43407531256207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0.23935025421032707</v>
      </c>
      <c r="AV146" s="21">
        <f>EXP(-LN(2)/25)*AV145+(1-EXP(-LN(2)/25))/(LN(2)/25)*Calculateur!AQ146*Calculateur!AS146*VLOOKUP('Données projet'!$B$10,Paramètres!$A$1:$I$89,3,0)*0.475*44/12</f>
        <v>0.36054370819396769</v>
      </c>
      <c r="AW146" s="21">
        <f>EXP(-LN(2)/2)*AW145+(1-EXP(-LN(2)/2))/(LN(2)/2)*AQ146*AT146*VLOOKUP('Données projet'!$B$10,Paramètres!$A$1:$I$89,3,0)*0.475*44/12</f>
        <v>4.3315132906778735E-17</v>
      </c>
      <c r="AX146" s="21">
        <f t="shared" si="114"/>
        <v>0.59989396240429471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-5.6843418860808015E-13</v>
      </c>
      <c r="BE146" s="13">
        <f>BD146*VLOOKUP('Données projet'!$B$11,Paramètres!$A$1:$I$89,3,0)*VLOOKUP('Données projet'!$B$11,Paramètres!$A$1:$I$89,5,0)</f>
        <v>-3.177547114319168E-13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326.31232746914907</v>
      </c>
      <c r="BJ146" s="59">
        <f t="shared" si="146"/>
        <v>330.17137761430297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0.48733099420225889</v>
      </c>
      <c r="BQ146" s="21">
        <f>EXP(-LN(2)/25)*BQ145+(1-EXP(-LN(2)/25))/(LN(2)/25)*Calculateur!BL146*Calculateur!BN146*VLOOKUP('Données projet'!$B$11,Paramètres!$A$1:$I$89,3,0)*0.475*44/12</f>
        <v>1.315110265395582</v>
      </c>
      <c r="BR146" s="21">
        <f>EXP(-LN(2)/2)*BR145+(1-EXP(-LN(2)/2))/(LN(2)/2)*BL146*BO146*VLOOKUP('Données projet'!$B$11,Paramètres!$A$1:$I$89,3,0)*0.475*44/12</f>
        <v>3.1914178556917297E-16</v>
      </c>
      <c r="BS146" s="22">
        <f t="shared" si="117"/>
        <v>1.8024412595978412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210.04871822652808</v>
      </c>
      <c r="CE146" s="59">
        <f t="shared" si="148"/>
        <v>250.17540614049324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0.77890535225561797</v>
      </c>
      <c r="CL146" s="21">
        <f>EXP(-LN(2)/25)*CL145+(1-EXP(-LN(2)/25))/(LN(2)/25)*Calculateur!CG146*Calculateur!CI146*VLOOKUP('Données projet'!$B$12,Paramètres!$A$1:$I$89,3,0)*0.475*44/12</f>
        <v>1.2130222344223676</v>
      </c>
      <c r="CM146" s="21">
        <f>EXP(-LN(2)/2)*CM145+(1-EXP(-LN(2)/2))/(LN(2)/2)*CG146*CJ146*VLOOKUP('Données projet'!$B$12,Paramètres!$A$1:$I$89,3,0)*0.475*44/12</f>
        <v>2.1150998851140664E-16</v>
      </c>
      <c r="CN146" s="22">
        <f t="shared" si="120"/>
        <v>1.9919275866779858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4.5224624045658861E-14</v>
      </c>
      <c r="CV146" s="13">
        <f t="shared" si="149"/>
        <v>7.4514601661523691E-13</v>
      </c>
      <c r="CW146" s="20">
        <f t="shared" si="121"/>
        <v>1.3765621991510601E-12</v>
      </c>
      <c r="CX146" s="59">
        <f t="shared" si="122"/>
        <v>293.33333333333468</v>
      </c>
      <c r="CY146" s="59">
        <f ca="1">AVERAGE(OFFSET($CX$3,0,0,'Données projet'!$E$13+1,1))-AVERAGE(OFFSET($H$3,0,0,'Données projet'!$E$13+1,1))</f>
        <v>199.58763537752952</v>
      </c>
      <c r="CZ146" s="59">
        <f t="shared" si="150"/>
        <v>242.62852778451929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0.44819113443569986</v>
      </c>
      <c r="DH146" s="21">
        <f>EXP(-LN(2)/2)*DH145+(1-EXP(-LN(2)/2))/(LN(2)/2)*DB146*DE146*VLOOKUP('Données projet'!$B$13,Paramètres!$A$1:$I$89,3,0)*0.475*44/12</f>
        <v>1.0560401048050094E-16</v>
      </c>
      <c r="DI146" s="22">
        <f t="shared" si="123"/>
        <v>0.44819113443569997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-4.5474735088646412E-13</v>
      </c>
      <c r="DP146" s="17">
        <f>DO146*VLOOKUP('Données projet'!$B$14,Paramètres!$A$1:$I$89,3,0)*VLOOKUP('Données projet'!$B$14,Paramètres!$A$1:$I$89,5,0)</f>
        <v>-2.7193891583010558E-13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216.94426559495264</v>
      </c>
      <c r="DU146" s="59">
        <f t="shared" si="152"/>
        <v>225.33715877618704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0.56004465488157029</v>
      </c>
      <c r="EC146" s="21">
        <f>EXP(-LN(2)/2)*EC145+(1-EXP(-LN(2)/2))/(LN(2)/2)*DW146*DZ146*VLOOKUP('Données projet'!$B$14,Paramètres!$A$1:$I$89,3,0)*0.475*44/12</f>
        <v>2.3285805617047839E-16</v>
      </c>
      <c r="ED146" s="22">
        <f t="shared" si="126"/>
        <v>0.56004465488157051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6.8212102632969618E-13</v>
      </c>
      <c r="EK146" s="17">
        <f>EJ146*VLOOKUP('Données projet'!$B$15,Paramètres!$A$1:$I$89,3,0)*VLOOKUP('Données projet'!$B$15,Paramètres!$A$1:$I$89,5,0)</f>
        <v>3.2810021366458383E-13</v>
      </c>
      <c r="EL146" s="13">
        <f t="shared" si="153"/>
        <v>4.2923528923937213E-12</v>
      </c>
      <c r="EM146" s="20">
        <f t="shared" si="127"/>
        <v>8.0472891597182151E-12</v>
      </c>
      <c r="EN146" s="59">
        <f t="shared" si="128"/>
        <v>293.33333333334139</v>
      </c>
      <c r="EO146" s="59">
        <f ca="1">AVERAGE(OFFSET($EN$3,0,0,'Données projet'!$E$15+1,1))-AVERAGE(OFFSET($H$3,0,0,'Données projet'!$E$15+1,1))</f>
        <v>292.1792787220852</v>
      </c>
      <c r="EP146" s="59">
        <f t="shared" si="154"/>
        <v>273.69206144662144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0.71885369244452768</v>
      </c>
      <c r="EW146" s="21">
        <f>EXP(-LN(2)/25)*EW145+(1-EXP(-LN(2)/25))/(LN(2)/25)*Calculateur!ER146*Calculateur!ET146*VLOOKUP('Données projet'!$B$15,Paramètres!$A$1:$I$89,3,0)*0.475*44/12</f>
        <v>0.5850573074650649</v>
      </c>
      <c r="EX146" s="21">
        <f>EXP(-LN(2)/2)*EX145+(1-EXP(-LN(2)/2))/(LN(2)/2)*ER146*EU146*VLOOKUP('Données projet'!$B$15,Paramètres!$A$1:$I$89,3,0)*0.475*44/12</f>
        <v>2.0521877219222124E-16</v>
      </c>
      <c r="EY146" s="22">
        <f t="shared" si="129"/>
        <v>1.3039109999095928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215.23235148064941</v>
      </c>
      <c r="T147" s="59">
        <f t="shared" si="142"/>
        <v>184.07239726900434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0.32785505187856961</v>
      </c>
      <c r="AA147" s="21">
        <f>EXP(-LN(2)/25)*AA146+(1-EXP(-LN(2)/25))/(LN(2)/25)*Calculateur!V147*Calculateur!X147*VLOOKUP('Données projet'!$B$9,Paramètres!$A$1:$I$89,3,0)*0.475*44/12</f>
        <v>0.33302365427306696</v>
      </c>
      <c r="AB147" s="21">
        <f>EXP(-LN(2)/2)*AB146+(1-EXP(-LN(2)/2))/(LN(2)/2)*V147*Y147*VLOOKUP('Données projet'!$B$9,Paramètres!$A$1:$I$89,3,0)*0.475*44/12</f>
        <v>6.8224429441265887E-17</v>
      </c>
      <c r="AC147" s="22">
        <f t="shared" si="111"/>
        <v>0.66087870615163669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-8.5265128291212022E-14</v>
      </c>
      <c r="AJ147" s="13">
        <f>AI147*VLOOKUP('Données projet'!$B$10,Paramètres!$A$1:$I$89,3,0)*VLOOKUP('Données projet'!$B$10,Paramètres!$A$1:$I$89,5,0)</f>
        <v>-7.7147888077888636E-14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225.28075317732998</v>
      </c>
      <c r="AO147" s="59">
        <f t="shared" si="144"/>
        <v>358.43407531256207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0.23465674171450238</v>
      </c>
      <c r="AV147" s="21">
        <f>EXP(-LN(2)/25)*AV146+(1-EXP(-LN(2)/25))/(LN(2)/25)*Calculateur!AQ147*Calculateur!AS147*VLOOKUP('Données projet'!$B$10,Paramètres!$A$1:$I$89,3,0)*0.475*44/12</f>
        <v>0.35068462153323404</v>
      </c>
      <c r="AW147" s="21">
        <f>EXP(-LN(2)/2)*AW146+(1-EXP(-LN(2)/2))/(LN(2)/2)*AQ147*AT147*VLOOKUP('Données projet'!$B$10,Paramètres!$A$1:$I$89,3,0)*0.475*44/12</f>
        <v>3.0628424206379815E-17</v>
      </c>
      <c r="AX147" s="21">
        <f t="shared" si="114"/>
        <v>0.58534136324773645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-5.6843418860808015E-13</v>
      </c>
      <c r="BE147" s="13">
        <f>BD147*VLOOKUP('Données projet'!$B$11,Paramètres!$A$1:$I$89,3,0)*VLOOKUP('Données projet'!$B$11,Paramètres!$A$1:$I$89,5,0)</f>
        <v>-3.177547114319168E-13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326.31232746914907</v>
      </c>
      <c r="BJ147" s="59">
        <f t="shared" si="146"/>
        <v>330.17137761430297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0.47777473064850878</v>
      </c>
      <c r="BQ147" s="21">
        <f>EXP(-LN(2)/25)*BQ146+(1-EXP(-LN(2)/25))/(LN(2)/25)*Calculateur!BL147*Calculateur!BN147*VLOOKUP('Données projet'!$B$11,Paramètres!$A$1:$I$89,3,0)*0.475*44/12</f>
        <v>1.2791485060296965</v>
      </c>
      <c r="BR147" s="21">
        <f>EXP(-LN(2)/2)*BR146+(1-EXP(-LN(2)/2))/(LN(2)/2)*BL147*BO147*VLOOKUP('Données projet'!$B$11,Paramètres!$A$1:$I$89,3,0)*0.475*44/12</f>
        <v>2.2566732073594527E-16</v>
      </c>
      <c r="BS147" s="22">
        <f t="shared" si="117"/>
        <v>1.7569232366782055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210.04871822652808</v>
      </c>
      <c r="CE147" s="59">
        <f t="shared" si="148"/>
        <v>250.17540614049324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0.76363149338323943</v>
      </c>
      <c r="CL147" s="21">
        <f>EXP(-LN(2)/25)*CL146+(1-EXP(-LN(2)/25))/(LN(2)/25)*Calculateur!CG147*Calculateur!CI147*VLOOKUP('Données projet'!$B$12,Paramètres!$A$1:$I$89,3,0)*0.475*44/12</f>
        <v>1.1798520776320209</v>
      </c>
      <c r="CM147" s="21">
        <f>EXP(-LN(2)/2)*CM146+(1-EXP(-LN(2)/2))/(LN(2)/2)*CG147*CJ147*VLOOKUP('Données projet'!$B$12,Paramètres!$A$1:$I$89,3,0)*0.475*44/12</f>
        <v>1.4956014716510439E-16</v>
      </c>
      <c r="CN147" s="22">
        <f t="shared" si="120"/>
        <v>1.9434835710152607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4.5224624045658861E-14</v>
      </c>
      <c r="CV147" s="13">
        <f t="shared" si="149"/>
        <v>7.4514601661523691E-13</v>
      </c>
      <c r="CW147" s="20">
        <f t="shared" si="121"/>
        <v>1.3765621991510601E-12</v>
      </c>
      <c r="CX147" s="59">
        <f t="shared" si="122"/>
        <v>293.33333333333468</v>
      </c>
      <c r="CY147" s="59">
        <f ca="1">AVERAGE(OFFSET($CX$3,0,0,'Données projet'!$E$13+1,1))-AVERAGE(OFFSET($H$3,0,0,'Données projet'!$E$13+1,1))</f>
        <v>199.58763537752952</v>
      </c>
      <c r="CZ147" s="59">
        <f t="shared" si="150"/>
        <v>242.62852778451929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0.43593532429520826</v>
      </c>
      <c r="DH147" s="21">
        <f>EXP(-LN(2)/2)*DH146+(1-EXP(-LN(2)/2))/(LN(2)/2)*DB147*DE147*VLOOKUP('Données projet'!$B$13,Paramètres!$A$1:$I$89,3,0)*0.475*44/12</f>
        <v>7.4673311931257452E-17</v>
      </c>
      <c r="DI147" s="22">
        <f t="shared" si="123"/>
        <v>0.43593532429520832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-4.5474735088646412E-13</v>
      </c>
      <c r="DP147" s="17">
        <f>DO147*VLOOKUP('Données projet'!$B$14,Paramètres!$A$1:$I$89,3,0)*VLOOKUP('Données projet'!$B$14,Paramètres!$A$1:$I$89,5,0)</f>
        <v>-2.7193891583010558E-13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216.94426559495264</v>
      </c>
      <c r="DU147" s="59">
        <f t="shared" si="152"/>
        <v>225.33715877618704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0.5447302043423653</v>
      </c>
      <c r="EC147" s="21">
        <f>EXP(-LN(2)/2)*EC146+(1-EXP(-LN(2)/2))/(LN(2)/2)*DW147*DZ147*VLOOKUP('Données projet'!$B$14,Paramètres!$A$1:$I$89,3,0)*0.475*44/12</f>
        <v>1.6465551057206326E-16</v>
      </c>
      <c r="ED147" s="22">
        <f t="shared" si="126"/>
        <v>0.54473020434236541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6.8212102632969618E-13</v>
      </c>
      <c r="EK147" s="17">
        <f>EJ147*VLOOKUP('Données projet'!$B$15,Paramètres!$A$1:$I$89,3,0)*VLOOKUP('Données projet'!$B$15,Paramètres!$A$1:$I$89,5,0)</f>
        <v>3.2810021366458383E-13</v>
      </c>
      <c r="EL147" s="13">
        <f t="shared" si="153"/>
        <v>4.2923528923937213E-12</v>
      </c>
      <c r="EM147" s="20">
        <f t="shared" si="127"/>
        <v>8.0472891597182151E-12</v>
      </c>
      <c r="EN147" s="59">
        <f t="shared" si="128"/>
        <v>293.33333333334139</v>
      </c>
      <c r="EO147" s="59">
        <f ca="1">AVERAGE(OFFSET($EN$3,0,0,'Données projet'!$E$15+1,1))-AVERAGE(OFFSET($H$3,0,0,'Données projet'!$E$15+1,1))</f>
        <v>292.1792787220852</v>
      </c>
      <c r="EP147" s="59">
        <f t="shared" si="154"/>
        <v>273.69206144662144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0.70475740999314884</v>
      </c>
      <c r="EW147" s="21">
        <f>EXP(-LN(2)/25)*EW146+(1-EXP(-LN(2)/25))/(LN(2)/25)*Calculateur!ER147*Calculateur!ET147*VLOOKUP('Données projet'!$B$15,Paramètres!$A$1:$I$89,3,0)*0.475*44/12</f>
        <v>0.56905888462560605</v>
      </c>
      <c r="EX147" s="21">
        <f>EXP(-LN(2)/2)*EX146+(1-EXP(-LN(2)/2))/(LN(2)/2)*ER147*EU147*VLOOKUP('Données projet'!$B$15,Paramètres!$A$1:$I$89,3,0)*0.475*44/12</f>
        <v>1.4511158544389693E-16</v>
      </c>
      <c r="EY147" s="22">
        <f t="shared" si="129"/>
        <v>1.273816294618755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215.23235148064941</v>
      </c>
      <c r="T148" s="59">
        <f t="shared" si="142"/>
        <v>184.07239726900434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0.32142601428306694</v>
      </c>
      <c r="AA148" s="21">
        <f>EXP(-LN(2)/25)*AA147+(1-EXP(-LN(2)/25))/(LN(2)/25)*Calculateur!V148*Calculateur!X148*VLOOKUP('Données projet'!$B$9,Paramètres!$A$1:$I$89,3,0)*0.475*44/12</f>
        <v>0.3239171049340171</v>
      </c>
      <c r="AB148" s="21">
        <f>EXP(-LN(2)/2)*AB147+(1-EXP(-LN(2)/2))/(LN(2)/2)*V148*Y148*VLOOKUP('Données projet'!$B$9,Paramètres!$A$1:$I$89,3,0)*0.475*44/12</f>
        <v>4.8241956700502249E-17</v>
      </c>
      <c r="AC148" s="22">
        <f t="shared" si="111"/>
        <v>0.64534311921708398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-8.5265128291212022E-14</v>
      </c>
      <c r="AJ148" s="13">
        <f>AI148*VLOOKUP('Données projet'!$B$10,Paramètres!$A$1:$I$89,3,0)*VLOOKUP('Données projet'!$B$10,Paramètres!$A$1:$I$89,5,0)</f>
        <v>-7.7147888077888636E-14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225.28075317732998</v>
      </c>
      <c r="AO148" s="59">
        <f t="shared" si="144"/>
        <v>358.43407531256207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0.23005526613596086</v>
      </c>
      <c r="AV148" s="21">
        <f>EXP(-LN(2)/25)*AV147+(1-EXP(-LN(2)/25))/(LN(2)/25)*Calculateur!AQ148*Calculateur!AS148*VLOOKUP('Données projet'!$B$10,Paramètres!$A$1:$I$89,3,0)*0.475*44/12</f>
        <v>0.34109513211570502</v>
      </c>
      <c r="AW148" s="21">
        <f>EXP(-LN(2)/2)*AW147+(1-EXP(-LN(2)/2))/(LN(2)/2)*AQ148*AT148*VLOOKUP('Données projet'!$B$10,Paramètres!$A$1:$I$89,3,0)*0.475*44/12</f>
        <v>2.1657566453389367E-17</v>
      </c>
      <c r="AX148" s="21">
        <f t="shared" si="114"/>
        <v>0.57115039825166591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-5.6843418860808015E-13</v>
      </c>
      <c r="BE148" s="13">
        <f>BD148*VLOOKUP('Données projet'!$B$11,Paramètres!$A$1:$I$89,3,0)*VLOOKUP('Données projet'!$B$11,Paramètres!$A$1:$I$89,5,0)</f>
        <v>-3.177547114319168E-13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326.31232746914907</v>
      </c>
      <c r="BJ148" s="59">
        <f t="shared" si="146"/>
        <v>330.17137761430297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0.46840585959430248</v>
      </c>
      <c r="BQ148" s="21">
        <f>EXP(-LN(2)/25)*BQ147+(1-EXP(-LN(2)/25))/(LN(2)/25)*Calculateur!BL148*Calculateur!BN148*VLOOKUP('Données projet'!$B$11,Paramètres!$A$1:$I$89,3,0)*0.475*44/12</f>
        <v>1.2441701228648181</v>
      </c>
      <c r="BR148" s="21">
        <f>EXP(-LN(2)/2)*BR147+(1-EXP(-LN(2)/2))/(LN(2)/2)*BL148*BO148*VLOOKUP('Données projet'!$B$11,Paramètres!$A$1:$I$89,3,0)*0.475*44/12</f>
        <v>1.5957089278458649E-16</v>
      </c>
      <c r="BS148" s="22">
        <f t="shared" si="117"/>
        <v>1.7125759824591207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210.04871822652808</v>
      </c>
      <c r="CE148" s="59">
        <f t="shared" si="148"/>
        <v>250.17540614049324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0.74865714556721419</v>
      </c>
      <c r="CL148" s="21">
        <f>EXP(-LN(2)/25)*CL147+(1-EXP(-LN(2)/25))/(LN(2)/25)*Calculateur!CG148*Calculateur!CI148*VLOOKUP('Données projet'!$B$12,Paramètres!$A$1:$I$89,3,0)*0.475*44/12</f>
        <v>1.1475889605234491</v>
      </c>
      <c r="CM148" s="21">
        <f>EXP(-LN(2)/2)*CM147+(1-EXP(-LN(2)/2))/(LN(2)/2)*CG148*CJ148*VLOOKUP('Données projet'!$B$12,Paramètres!$A$1:$I$89,3,0)*0.475*44/12</f>
        <v>1.0575499425570332E-16</v>
      </c>
      <c r="CN148" s="22">
        <f t="shared" si="120"/>
        <v>1.8962461060906632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4.5224624045658861E-14</v>
      </c>
      <c r="CV148" s="13">
        <f t="shared" si="149"/>
        <v>7.4514601661523691E-13</v>
      </c>
      <c r="CW148" s="20">
        <f t="shared" si="121"/>
        <v>1.3765621991510601E-12</v>
      </c>
      <c r="CX148" s="59">
        <f t="shared" si="122"/>
        <v>293.33333333333468</v>
      </c>
      <c r="CY148" s="59">
        <f ca="1">AVERAGE(OFFSET($CX$3,0,0,'Données projet'!$E$13+1,1))-AVERAGE(OFFSET($H$3,0,0,'Données projet'!$E$13+1,1))</f>
        <v>199.58763537752952</v>
      </c>
      <c r="CZ148" s="59">
        <f t="shared" si="150"/>
        <v>242.62852778451929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0.42401464992751342</v>
      </c>
      <c r="DH148" s="21">
        <f>EXP(-LN(2)/2)*DH147+(1-EXP(-LN(2)/2))/(LN(2)/2)*DB148*DE148*VLOOKUP('Données projet'!$B$13,Paramètres!$A$1:$I$89,3,0)*0.475*44/12</f>
        <v>5.2802005240250472E-17</v>
      </c>
      <c r="DI148" s="22">
        <f t="shared" si="123"/>
        <v>0.42401464992751348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-4.5474735088646412E-13</v>
      </c>
      <c r="DP148" s="17">
        <f>DO148*VLOOKUP('Données projet'!$B$14,Paramètres!$A$1:$I$89,3,0)*VLOOKUP('Données projet'!$B$14,Paramètres!$A$1:$I$89,5,0)</f>
        <v>-2.7193891583010558E-13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216.94426559495264</v>
      </c>
      <c r="DU148" s="59">
        <f t="shared" si="152"/>
        <v>225.33715877618704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0.52983452825850685</v>
      </c>
      <c r="EC148" s="21">
        <f>EXP(-LN(2)/2)*EC147+(1-EXP(-LN(2)/2))/(LN(2)/2)*DW148*DZ148*VLOOKUP('Données projet'!$B$14,Paramètres!$A$1:$I$89,3,0)*0.475*44/12</f>
        <v>1.1642902808523919E-16</v>
      </c>
      <c r="ED148" s="22">
        <f t="shared" si="126"/>
        <v>0.52983452825850696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6.8212102632969618E-13</v>
      </c>
      <c r="EK148" s="17">
        <f>EJ148*VLOOKUP('Données projet'!$B$15,Paramètres!$A$1:$I$89,3,0)*VLOOKUP('Données projet'!$B$15,Paramètres!$A$1:$I$89,5,0)</f>
        <v>3.2810021366458383E-13</v>
      </c>
      <c r="EL148" s="13">
        <f t="shared" si="153"/>
        <v>4.2923528923937213E-12</v>
      </c>
      <c r="EM148" s="20">
        <f t="shared" si="127"/>
        <v>8.0472891597182151E-12</v>
      </c>
      <c r="EN148" s="59">
        <f t="shared" si="128"/>
        <v>293.33333333334139</v>
      </c>
      <c r="EO148" s="59">
        <f ca="1">AVERAGE(OFFSET($EN$3,0,0,'Données projet'!$E$15+1,1))-AVERAGE(OFFSET($H$3,0,0,'Données projet'!$E$15+1,1))</f>
        <v>292.1792787220852</v>
      </c>
      <c r="EP148" s="59">
        <f t="shared" si="154"/>
        <v>273.69206144662144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0.69093754704275823</v>
      </c>
      <c r="EW148" s="21">
        <f>EXP(-LN(2)/25)*EW147+(1-EXP(-LN(2)/25))/(LN(2)/25)*Calculateur!ER148*Calculateur!ET148*VLOOKUP('Données projet'!$B$15,Paramètres!$A$1:$I$89,3,0)*0.475*44/12</f>
        <v>0.55349793950001269</v>
      </c>
      <c r="EX148" s="21">
        <f>EXP(-LN(2)/2)*EX147+(1-EXP(-LN(2)/2))/(LN(2)/2)*ER148*EU148*VLOOKUP('Données projet'!$B$15,Paramètres!$A$1:$I$89,3,0)*0.475*44/12</f>
        <v>1.0260938609611062E-16</v>
      </c>
      <c r="EY148" s="22">
        <f t="shared" si="129"/>
        <v>1.2444354865427709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215.23235148064941</v>
      </c>
      <c r="T149" s="59">
        <f t="shared" si="142"/>
        <v>184.07239726900434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0.31512304619348636</v>
      </c>
      <c r="AA149" s="21">
        <f>EXP(-LN(2)/25)*AA148+(1-EXP(-LN(2)/25))/(LN(2)/25)*Calculateur!V149*Calculateur!X149*VLOOKUP('Données projet'!$B$9,Paramètres!$A$1:$I$89,3,0)*0.475*44/12</f>
        <v>0.31505957466553619</v>
      </c>
      <c r="AB149" s="21">
        <f>EXP(-LN(2)/2)*AB148+(1-EXP(-LN(2)/2))/(LN(2)/2)*V149*Y149*VLOOKUP('Données projet'!$B$9,Paramètres!$A$1:$I$89,3,0)*0.475*44/12</f>
        <v>3.4112214720632944E-17</v>
      </c>
      <c r="AC149" s="22">
        <f t="shared" si="111"/>
        <v>0.63018262085902255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-8.5265128291212022E-14</v>
      </c>
      <c r="AJ149" s="13">
        <f>AI149*VLOOKUP('Données projet'!$B$10,Paramètres!$A$1:$I$89,3,0)*VLOOKUP('Données projet'!$B$10,Paramètres!$A$1:$I$89,5,0)</f>
        <v>-7.7147888077888636E-14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225.28075317732998</v>
      </c>
      <c r="AO149" s="59">
        <f t="shared" si="144"/>
        <v>358.43407531256207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0.22554402268689158</v>
      </c>
      <c r="AV149" s="21">
        <f>EXP(-LN(2)/25)*AV148+(1-EXP(-LN(2)/25))/(LN(2)/25)*Calculateur!AQ149*Calculateur!AS149*VLOOKUP('Données projet'!$B$10,Paramètres!$A$1:$I$89,3,0)*0.475*44/12</f>
        <v>0.33176786779058764</v>
      </c>
      <c r="AW149" s="21">
        <f>EXP(-LN(2)/2)*AW148+(1-EXP(-LN(2)/2))/(LN(2)/2)*AQ149*AT149*VLOOKUP('Données projet'!$B$10,Paramètres!$A$1:$I$89,3,0)*0.475*44/12</f>
        <v>1.5314212103189907E-17</v>
      </c>
      <c r="AX149" s="21">
        <f t="shared" si="114"/>
        <v>0.5573118904774792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-5.6843418860808015E-13</v>
      </c>
      <c r="BE149" s="13">
        <f>BD149*VLOOKUP('Données projet'!$B$11,Paramètres!$A$1:$I$89,3,0)*VLOOKUP('Données projet'!$B$11,Paramètres!$A$1:$I$89,5,0)</f>
        <v>-3.177547114319168E-13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326.31232746914907</v>
      </c>
      <c r="BJ149" s="59">
        <f t="shared" si="146"/>
        <v>330.17137761430297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0.45922070638702212</v>
      </c>
      <c r="BQ149" s="21">
        <f>EXP(-LN(2)/25)*BQ148+(1-EXP(-LN(2)/25))/(LN(2)/25)*Calculateur!BL149*Calculateur!BN149*VLOOKUP('Données projet'!$B$11,Paramètres!$A$1:$I$89,3,0)*0.475*44/12</f>
        <v>1.2101482254270164</v>
      </c>
      <c r="BR149" s="21">
        <f>EXP(-LN(2)/2)*BR148+(1-EXP(-LN(2)/2))/(LN(2)/2)*BL149*BO149*VLOOKUP('Données projet'!$B$11,Paramètres!$A$1:$I$89,3,0)*0.475*44/12</f>
        <v>1.1283366036797263E-16</v>
      </c>
      <c r="BS149" s="22">
        <f t="shared" si="117"/>
        <v>1.6693689318140388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210.04871822652808</v>
      </c>
      <c r="CE149" s="59">
        <f t="shared" si="148"/>
        <v>250.17540614049324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0.73397643557841086</v>
      </c>
      <c r="CL149" s="21">
        <f>EXP(-LN(2)/25)*CL148+(1-EXP(-LN(2)/25))/(LN(2)/25)*Calculateur!CG149*Calculateur!CI149*VLOOKUP('Données projet'!$B$12,Paramètres!$A$1:$I$89,3,0)*0.475*44/12</f>
        <v>1.1162080800488547</v>
      </c>
      <c r="CM149" s="21">
        <f>EXP(-LN(2)/2)*CM148+(1-EXP(-LN(2)/2))/(LN(2)/2)*CG149*CJ149*VLOOKUP('Données projet'!$B$12,Paramètres!$A$1:$I$89,3,0)*0.475*44/12</f>
        <v>7.4780073582552197E-17</v>
      </c>
      <c r="CN149" s="22">
        <f t="shared" si="120"/>
        <v>1.8501845156272656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4.5224624045658861E-14</v>
      </c>
      <c r="CV149" s="13">
        <f t="shared" si="149"/>
        <v>7.4514601661523691E-13</v>
      </c>
      <c r="CW149" s="20">
        <f t="shared" si="121"/>
        <v>1.3765621991510601E-12</v>
      </c>
      <c r="CX149" s="59">
        <f t="shared" si="122"/>
        <v>293.33333333333468</v>
      </c>
      <c r="CY149" s="59">
        <f ca="1">AVERAGE(OFFSET($CX$3,0,0,'Données projet'!$E$13+1,1))-AVERAGE(OFFSET($H$3,0,0,'Données projet'!$E$13+1,1))</f>
        <v>199.58763537752952</v>
      </c>
      <c r="CZ149" s="59">
        <f t="shared" si="150"/>
        <v>242.62852778451929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0.41241994702728424</v>
      </c>
      <c r="DH149" s="21">
        <f>EXP(-LN(2)/2)*DH148+(1-EXP(-LN(2)/2))/(LN(2)/2)*DB149*DE149*VLOOKUP('Données projet'!$B$13,Paramètres!$A$1:$I$89,3,0)*0.475*44/12</f>
        <v>3.7336655965628726E-17</v>
      </c>
      <c r="DI149" s="22">
        <f t="shared" si="123"/>
        <v>0.41241994702728429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-4.5474735088646412E-13</v>
      </c>
      <c r="DP149" s="17">
        <f>DO149*VLOOKUP('Données projet'!$B$14,Paramètres!$A$1:$I$89,3,0)*VLOOKUP('Données projet'!$B$14,Paramètres!$A$1:$I$89,5,0)</f>
        <v>-2.7193891583010558E-13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216.94426559495264</v>
      </c>
      <c r="DU149" s="59">
        <f t="shared" si="152"/>
        <v>225.33715877618704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0.51534617522049109</v>
      </c>
      <c r="EC149" s="21">
        <f>EXP(-LN(2)/2)*EC148+(1-EXP(-LN(2)/2))/(LN(2)/2)*DW149*DZ149*VLOOKUP('Données projet'!$B$14,Paramètres!$A$1:$I$89,3,0)*0.475*44/12</f>
        <v>8.232775528603163E-17</v>
      </c>
      <c r="ED149" s="22">
        <f t="shared" si="126"/>
        <v>0.5153461752204912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6.8212102632969618E-13</v>
      </c>
      <c r="EK149" s="17">
        <f>EJ149*VLOOKUP('Données projet'!$B$15,Paramètres!$A$1:$I$89,3,0)*VLOOKUP('Données projet'!$B$15,Paramètres!$A$1:$I$89,5,0)</f>
        <v>3.2810021366458383E-13</v>
      </c>
      <c r="EL149" s="13">
        <f t="shared" si="153"/>
        <v>4.2923528923937213E-12</v>
      </c>
      <c r="EM149" s="20">
        <f t="shared" si="127"/>
        <v>8.0472891597182151E-12</v>
      </c>
      <c r="EN149" s="59">
        <f t="shared" si="128"/>
        <v>293.33333333334139</v>
      </c>
      <c r="EO149" s="59">
        <f ca="1">AVERAGE(OFFSET($EN$3,0,0,'Données projet'!$E$15+1,1))-AVERAGE(OFFSET($H$3,0,0,'Données projet'!$E$15+1,1))</f>
        <v>292.1792787220852</v>
      </c>
      <c r="EP149" s="59">
        <f t="shared" si="154"/>
        <v>273.69206144662144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0.67738868317554068</v>
      </c>
      <c r="EW149" s="21">
        <f>EXP(-LN(2)/25)*EW148+(1-EXP(-LN(2)/25))/(LN(2)/25)*Calculateur!ER149*Calculateur!ET149*VLOOKUP('Données projet'!$B$15,Paramètres!$A$1:$I$89,3,0)*0.475*44/12</f>
        <v>0.5383625092371932</v>
      </c>
      <c r="EX149" s="21">
        <f>EXP(-LN(2)/2)*EX148+(1-EXP(-LN(2)/2))/(LN(2)/2)*ER149*EU149*VLOOKUP('Données projet'!$B$15,Paramètres!$A$1:$I$89,3,0)*0.475*44/12</f>
        <v>7.2555792721948464E-17</v>
      </c>
      <c r="EY149" s="22">
        <f t="shared" si="129"/>
        <v>1.2157511924127338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215.23235148064941</v>
      </c>
      <c r="T150" s="59">
        <f t="shared" si="142"/>
        <v>184.07239726900434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0.30894367546371149</v>
      </c>
      <c r="AA150" s="21">
        <f>EXP(-LN(2)/25)*AA149+(1-EXP(-LN(2)/25))/(LN(2)/25)*Calculateur!V150*Calculateur!X150*VLOOKUP('Données projet'!$B$9,Paramètres!$A$1:$I$89,3,0)*0.475*44/12</f>
        <v>0.30644425402804415</v>
      </c>
      <c r="AB150" s="21">
        <f>EXP(-LN(2)/2)*AB149+(1-EXP(-LN(2)/2))/(LN(2)/2)*V150*Y150*VLOOKUP('Données projet'!$B$9,Paramètres!$A$1:$I$89,3,0)*0.475*44/12</f>
        <v>2.4120978350251125E-17</v>
      </c>
      <c r="AC150" s="22">
        <f t="shared" si="111"/>
        <v>0.61538792949175569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-8.5265128291212022E-14</v>
      </c>
      <c r="AJ150" s="13">
        <f>AI150*VLOOKUP('Données projet'!$B$10,Paramètres!$A$1:$I$89,3,0)*VLOOKUP('Données projet'!$B$10,Paramètres!$A$1:$I$89,5,0)</f>
        <v>-7.7147888077888636E-14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225.28075317732998</v>
      </c>
      <c r="AO150" s="59">
        <f t="shared" si="144"/>
        <v>358.43407531256207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0.22112124197027175</v>
      </c>
      <c r="AV150" s="21">
        <f>EXP(-LN(2)/25)*AV149+(1-EXP(-LN(2)/25))/(LN(2)/25)*Calculateur!AQ150*Calculateur!AS150*VLOOKUP('Données projet'!$B$10,Paramètres!$A$1:$I$89,3,0)*0.475*44/12</f>
        <v>0.32269565799894012</v>
      </c>
      <c r="AW150" s="21">
        <f>EXP(-LN(2)/2)*AW149+(1-EXP(-LN(2)/2))/(LN(2)/2)*AQ150*AT150*VLOOKUP('Données projet'!$B$10,Paramètres!$A$1:$I$89,3,0)*0.475*44/12</f>
        <v>1.0828783226694684E-17</v>
      </c>
      <c r="AX150" s="21">
        <f t="shared" si="114"/>
        <v>0.5438168999692119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-5.6843418860808015E-13</v>
      </c>
      <c r="BE150" s="13">
        <f>BD150*VLOOKUP('Données projet'!$B$11,Paramètres!$A$1:$I$89,3,0)*VLOOKUP('Données projet'!$B$11,Paramètres!$A$1:$I$89,5,0)</f>
        <v>-3.177547114319168E-13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326.31232746914907</v>
      </c>
      <c r="BJ150" s="59">
        <f t="shared" si="146"/>
        <v>330.17137761430297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0.45021566843174621</v>
      </c>
      <c r="BQ150" s="21">
        <f>EXP(-LN(2)/25)*BQ149+(1-EXP(-LN(2)/25))/(LN(2)/25)*Calculateur!BL150*Calculateur!BN150*VLOOKUP('Données projet'!$B$11,Paramètres!$A$1:$I$89,3,0)*0.475*44/12</f>
        <v>1.1770566585637854</v>
      </c>
      <c r="BR150" s="21">
        <f>EXP(-LN(2)/2)*BR149+(1-EXP(-LN(2)/2))/(LN(2)/2)*BL150*BO150*VLOOKUP('Données projet'!$B$11,Paramètres!$A$1:$I$89,3,0)*0.475*44/12</f>
        <v>7.9785446392293243E-17</v>
      </c>
      <c r="BS150" s="22">
        <f t="shared" si="117"/>
        <v>1.6272723269955316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210.04871822652808</v>
      </c>
      <c r="CE150" s="59">
        <f t="shared" si="148"/>
        <v>250.17540614049324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0.71958360535813903</v>
      </c>
      <c r="CL150" s="21">
        <f>EXP(-LN(2)/25)*CL149+(1-EXP(-LN(2)/25))/(LN(2)/25)*Calculateur!CG150*Calculateur!CI150*VLOOKUP('Données projet'!$B$12,Paramètres!$A$1:$I$89,3,0)*0.475*44/12</f>
        <v>1.0856853114010869</v>
      </c>
      <c r="CM150" s="21">
        <f>EXP(-LN(2)/2)*CM149+(1-EXP(-LN(2)/2))/(LN(2)/2)*CG150*CJ150*VLOOKUP('Données projet'!$B$12,Paramètres!$A$1:$I$89,3,0)*0.475*44/12</f>
        <v>5.287749712785166E-17</v>
      </c>
      <c r="CN150" s="22">
        <f t="shared" si="120"/>
        <v>1.805268916759226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4.5224624045658861E-14</v>
      </c>
      <c r="CV150" s="13">
        <f t="shared" si="149"/>
        <v>7.4514601661523691E-13</v>
      </c>
      <c r="CW150" s="20">
        <f t="shared" si="121"/>
        <v>1.3765621991510601E-12</v>
      </c>
      <c r="CX150" s="59">
        <f t="shared" si="122"/>
        <v>293.33333333333468</v>
      </c>
      <c r="CY150" s="59">
        <f ca="1">AVERAGE(OFFSET($CX$3,0,0,'Données projet'!$E$13+1,1))-AVERAGE(OFFSET($H$3,0,0,'Données projet'!$E$13+1,1))</f>
        <v>199.58763537752952</v>
      </c>
      <c r="CZ150" s="59">
        <f t="shared" si="150"/>
        <v>242.62852778451929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0.40114230188760075</v>
      </c>
      <c r="DH150" s="21">
        <f>EXP(-LN(2)/2)*DH149+(1-EXP(-LN(2)/2))/(LN(2)/2)*DB150*DE150*VLOOKUP('Données projet'!$B$13,Paramètres!$A$1:$I$89,3,0)*0.475*44/12</f>
        <v>2.6401002620125236E-17</v>
      </c>
      <c r="DI150" s="22">
        <f t="shared" si="123"/>
        <v>0.40114230188760075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-4.5474735088646412E-13</v>
      </c>
      <c r="DP150" s="17">
        <f>DO150*VLOOKUP('Données projet'!$B$14,Paramètres!$A$1:$I$89,3,0)*VLOOKUP('Données projet'!$B$14,Paramètres!$A$1:$I$89,5,0)</f>
        <v>-2.7193891583010558E-13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216.94426559495264</v>
      </c>
      <c r="DU150" s="59">
        <f t="shared" si="152"/>
        <v>225.33715877618704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0.50125400695820921</v>
      </c>
      <c r="EC150" s="21">
        <f>EXP(-LN(2)/2)*EC149+(1-EXP(-LN(2)/2))/(LN(2)/2)*DW150*DZ150*VLOOKUP('Données projet'!$B$14,Paramètres!$A$1:$I$89,3,0)*0.475*44/12</f>
        <v>5.8214514042619597E-17</v>
      </c>
      <c r="ED150" s="22">
        <f t="shared" si="126"/>
        <v>0.50125400695820932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6.8212102632969618E-13</v>
      </c>
      <c r="EK150" s="17">
        <f>EJ150*VLOOKUP('Données projet'!$B$15,Paramètres!$A$1:$I$89,3,0)*VLOOKUP('Données projet'!$B$15,Paramètres!$A$1:$I$89,5,0)</f>
        <v>3.2810021366458383E-13</v>
      </c>
      <c r="EL150" s="13">
        <f t="shared" si="153"/>
        <v>4.2923528923937213E-12</v>
      </c>
      <c r="EM150" s="20">
        <f t="shared" si="127"/>
        <v>8.0472891597182151E-12</v>
      </c>
      <c r="EN150" s="59">
        <f t="shared" si="128"/>
        <v>293.33333333334139</v>
      </c>
      <c r="EO150" s="59">
        <f ca="1">AVERAGE(OFFSET($EN$3,0,0,'Données projet'!$E$15+1,1))-AVERAGE(OFFSET($H$3,0,0,'Données projet'!$E$15+1,1))</f>
        <v>292.1792787220852</v>
      </c>
      <c r="EP150" s="59">
        <f t="shared" si="154"/>
        <v>273.69206144662144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0.66410550426476833</v>
      </c>
      <c r="EW150" s="21">
        <f>EXP(-LN(2)/25)*EW149+(1-EXP(-LN(2)/25))/(LN(2)/25)*Calculateur!ER150*Calculateur!ET150*VLOOKUP('Données projet'!$B$15,Paramètres!$A$1:$I$89,3,0)*0.475*44/12</f>
        <v>0.52364095811084821</v>
      </c>
      <c r="EX150" s="21">
        <f>EXP(-LN(2)/2)*EX149+(1-EXP(-LN(2)/2))/(LN(2)/2)*ER150*EU150*VLOOKUP('Données projet'!$B$15,Paramètres!$A$1:$I$89,3,0)*0.475*44/12</f>
        <v>5.1304693048055311E-17</v>
      </c>
      <c r="EY150" s="22">
        <f t="shared" si="129"/>
        <v>1.1877464623756167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215.23235148064941</v>
      </c>
      <c r="T151" s="59">
        <f t="shared" si="142"/>
        <v>184.07239726900434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0.30288547842490354</v>
      </c>
      <c r="AA151" s="21">
        <f>EXP(-LN(2)/25)*AA150+(1-EXP(-LN(2)/25))/(LN(2)/25)*Calculateur!V151*Calculateur!X151*VLOOKUP('Données projet'!$B$9,Paramètres!$A$1:$I$89,3,0)*0.475*44/12</f>
        <v>0.29806451978644433</v>
      </c>
      <c r="AB151" s="21">
        <f>EXP(-LN(2)/2)*AB150+(1-EXP(-LN(2)/2))/(LN(2)/2)*V151*Y151*VLOOKUP('Données projet'!$B$9,Paramètres!$A$1:$I$89,3,0)*0.475*44/12</f>
        <v>1.7056107360316472E-17</v>
      </c>
      <c r="AC151" s="22">
        <f t="shared" si="111"/>
        <v>0.60094999821134787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-8.5265128291212022E-14</v>
      </c>
      <c r="AJ151" s="13">
        <f>AI151*VLOOKUP('Données projet'!$B$10,Paramètres!$A$1:$I$89,3,0)*VLOOKUP('Données projet'!$B$10,Paramètres!$A$1:$I$89,5,0)</f>
        <v>-7.7147888077888636E-14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225.28075317732998</v>
      </c>
      <c r="AO151" s="59">
        <f t="shared" si="144"/>
        <v>358.43407531256207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0.21678518928587495</v>
      </c>
      <c r="AV151" s="21">
        <f>EXP(-LN(2)/25)*AV150+(1-EXP(-LN(2)/25))/(LN(2)/25)*Calculateur!AQ151*Calculateur!AS151*VLOOKUP('Données projet'!$B$10,Paramètres!$A$1:$I$89,3,0)*0.475*44/12</f>
        <v>0.31387152826113196</v>
      </c>
      <c r="AW151" s="21">
        <f>EXP(-LN(2)/2)*AW150+(1-EXP(-LN(2)/2))/(LN(2)/2)*AQ151*AT151*VLOOKUP('Données projet'!$B$10,Paramètres!$A$1:$I$89,3,0)*0.475*44/12</f>
        <v>7.6571060515949537E-18</v>
      </c>
      <c r="AX151" s="21">
        <f t="shared" si="114"/>
        <v>0.53065671754700694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-5.6843418860808015E-13</v>
      </c>
      <c r="BE151" s="13">
        <f>BD151*VLOOKUP('Données projet'!$B$11,Paramètres!$A$1:$I$89,3,0)*VLOOKUP('Données projet'!$B$11,Paramètres!$A$1:$I$89,5,0)</f>
        <v>-3.177547114319168E-13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326.31232746914907</v>
      </c>
      <c r="BJ151" s="59">
        <f t="shared" si="146"/>
        <v>330.17137761430297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0.44138721377824247</v>
      </c>
      <c r="BQ151" s="21">
        <f>EXP(-LN(2)/25)*BQ150+(1-EXP(-LN(2)/25))/(LN(2)/25)*Calculateur!BL151*Calculateur!BN151*VLOOKUP('Données projet'!$B$11,Paramètres!$A$1:$I$89,3,0)*0.475*44/12</f>
        <v>1.1448699823366393</v>
      </c>
      <c r="BR151" s="21">
        <f>EXP(-LN(2)/2)*BR150+(1-EXP(-LN(2)/2))/(LN(2)/2)*BL151*BO151*VLOOKUP('Données projet'!$B$11,Paramètres!$A$1:$I$89,3,0)*0.475*44/12</f>
        <v>5.6416830183986316E-17</v>
      </c>
      <c r="BS151" s="22">
        <f t="shared" si="117"/>
        <v>1.5862571961148817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210.04871822652808</v>
      </c>
      <c r="CE151" s="59">
        <f t="shared" si="148"/>
        <v>250.17540614049324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0.70547300975972715</v>
      </c>
      <c r="CL151" s="21">
        <f>EXP(-LN(2)/25)*CL150+(1-EXP(-LN(2)/25))/(LN(2)/25)*Calculateur!CG151*Calculateur!CI151*VLOOKUP('Données projet'!$B$12,Paramètres!$A$1:$I$89,3,0)*0.475*44/12</f>
        <v>1.055997189467115</v>
      </c>
      <c r="CM151" s="21">
        <f>EXP(-LN(2)/2)*CM150+(1-EXP(-LN(2)/2))/(LN(2)/2)*CG151*CJ151*VLOOKUP('Données projet'!$B$12,Paramètres!$A$1:$I$89,3,0)*0.475*44/12</f>
        <v>3.7390036791276098E-17</v>
      </c>
      <c r="CN151" s="22">
        <f t="shared" si="120"/>
        <v>1.7614701992268422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4.5224624045658861E-14</v>
      </c>
      <c r="CV151" s="13">
        <f t="shared" si="149"/>
        <v>7.4514601661523691E-13</v>
      </c>
      <c r="CW151" s="20">
        <f t="shared" si="121"/>
        <v>1.3765621991510601E-12</v>
      </c>
      <c r="CX151" s="59">
        <f t="shared" si="122"/>
        <v>293.33333333333468</v>
      </c>
      <c r="CY151" s="59">
        <f ca="1">AVERAGE(OFFSET($CX$3,0,0,'Données projet'!$E$13+1,1))-AVERAGE(OFFSET($H$3,0,0,'Données projet'!$E$13+1,1))</f>
        <v>199.58763537752952</v>
      </c>
      <c r="CZ151" s="59">
        <f t="shared" si="150"/>
        <v>242.62852778451929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0.39017304454732749</v>
      </c>
      <c r="DH151" s="21">
        <f>EXP(-LN(2)/2)*DH150+(1-EXP(-LN(2)/2))/(LN(2)/2)*DB151*DE151*VLOOKUP('Données projet'!$B$13,Paramètres!$A$1:$I$89,3,0)*0.475*44/12</f>
        <v>1.8668327982814363E-17</v>
      </c>
      <c r="DI151" s="22">
        <f t="shared" si="123"/>
        <v>0.39017304454732749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-4.5474735088646412E-13</v>
      </c>
      <c r="DP151" s="17">
        <f>DO151*VLOOKUP('Données projet'!$B$14,Paramètres!$A$1:$I$89,3,0)*VLOOKUP('Données projet'!$B$14,Paramètres!$A$1:$I$89,5,0)</f>
        <v>-2.7193891583010558E-13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216.94426559495264</v>
      </c>
      <c r="DU151" s="59">
        <f t="shared" si="152"/>
        <v>225.33715877618704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0.48754718977813438</v>
      </c>
      <c r="EC151" s="21">
        <f>EXP(-LN(2)/2)*EC150+(1-EXP(-LN(2)/2))/(LN(2)/2)*DW151*DZ151*VLOOKUP('Données projet'!$B$14,Paramètres!$A$1:$I$89,3,0)*0.475*44/12</f>
        <v>4.1163877643015815E-17</v>
      </c>
      <c r="ED151" s="22">
        <f t="shared" si="126"/>
        <v>0.48754718977813444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6.8212102632969618E-13</v>
      </c>
      <c r="EK151" s="17">
        <f>EJ151*VLOOKUP('Données projet'!$B$15,Paramètres!$A$1:$I$89,3,0)*VLOOKUP('Données projet'!$B$15,Paramètres!$A$1:$I$89,5,0)</f>
        <v>3.2810021366458383E-13</v>
      </c>
      <c r="EL151" s="13">
        <f t="shared" si="153"/>
        <v>4.2923528923937213E-12</v>
      </c>
      <c r="EM151" s="20">
        <f t="shared" si="127"/>
        <v>8.0472891597182151E-12</v>
      </c>
      <c r="EN151" s="59">
        <f t="shared" si="128"/>
        <v>293.33333333334139</v>
      </c>
      <c r="EO151" s="59">
        <f ca="1">AVERAGE(OFFSET($EN$3,0,0,'Données projet'!$E$15+1,1))-AVERAGE(OFFSET($H$3,0,0,'Données projet'!$E$15+1,1))</f>
        <v>292.1792787220852</v>
      </c>
      <c r="EP151" s="59">
        <f t="shared" si="154"/>
        <v>273.69206144662144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0.65108280039049704</v>
      </c>
      <c r="EW151" s="21">
        <f>EXP(-LN(2)/25)*EW150+(1-EXP(-LN(2)/25))/(LN(2)/25)*Calculateur!ER151*Calculateur!ET151*VLOOKUP('Données projet'!$B$15,Paramètres!$A$1:$I$89,3,0)*0.475*44/12</f>
        <v>0.50932196857422585</v>
      </c>
      <c r="EX151" s="21">
        <f>EXP(-LN(2)/2)*EX150+(1-EXP(-LN(2)/2))/(LN(2)/2)*ER151*EU151*VLOOKUP('Données projet'!$B$15,Paramètres!$A$1:$I$89,3,0)*0.475*44/12</f>
        <v>3.6277896360974232E-17</v>
      </c>
      <c r="EY151" s="22">
        <f t="shared" si="129"/>
        <v>1.1604047689647228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215.23235148064941</v>
      </c>
      <c r="T152" s="59">
        <f t="shared" si="142"/>
        <v>184.07239726900434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0.29694607893489128</v>
      </c>
      <c r="AA152" s="21">
        <f>EXP(-LN(2)/25)*AA151+(1-EXP(-LN(2)/25))/(LN(2)/25)*Calculateur!V152*Calculateur!X152*VLOOKUP('Données projet'!$B$9,Paramètres!$A$1:$I$89,3,0)*0.475*44/12</f>
        <v>0.28991392981835212</v>
      </c>
      <c r="AB152" s="21">
        <f>EXP(-LN(2)/2)*AB151+(1-EXP(-LN(2)/2))/(LN(2)/2)*V152*Y152*VLOOKUP('Données projet'!$B$9,Paramètres!$A$1:$I$89,3,0)*0.475*44/12</f>
        <v>1.2060489175125562E-17</v>
      </c>
      <c r="AC152" s="22">
        <f t="shared" si="111"/>
        <v>0.5868600087532434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-8.5265128291212022E-14</v>
      </c>
      <c r="AJ152" s="13">
        <f>AI152*VLOOKUP('Données projet'!$B$10,Paramètres!$A$1:$I$89,3,0)*VLOOKUP('Données projet'!$B$10,Paramètres!$A$1:$I$89,5,0)</f>
        <v>-7.7147888077888636E-14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225.28075317732998</v>
      </c>
      <c r="AO152" s="59">
        <f t="shared" si="144"/>
        <v>358.43407531256207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0.21253416394988819</v>
      </c>
      <c r="AV152" s="21">
        <f>EXP(-LN(2)/25)*AV151+(1-EXP(-LN(2)/25))/(LN(2)/25)*Calculateur!AQ152*Calculateur!AS152*VLOOKUP('Données projet'!$B$10,Paramètres!$A$1:$I$89,3,0)*0.475*44/12</f>
        <v>0.305288694815045</v>
      </c>
      <c r="AW152" s="21">
        <f>EXP(-LN(2)/2)*AW151+(1-EXP(-LN(2)/2))/(LN(2)/2)*AQ152*AT152*VLOOKUP('Données projet'!$B$10,Paramètres!$A$1:$I$89,3,0)*0.475*44/12</f>
        <v>5.4143916133473418E-18</v>
      </c>
      <c r="AX152" s="21">
        <f t="shared" si="114"/>
        <v>0.51782285876493317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-5.6843418860808015E-13</v>
      </c>
      <c r="BE152" s="13">
        <f>BD152*VLOOKUP('Données projet'!$B$11,Paramètres!$A$1:$I$89,3,0)*VLOOKUP('Données projet'!$B$11,Paramètres!$A$1:$I$89,5,0)</f>
        <v>-3.177547114319168E-13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326.31232746914907</v>
      </c>
      <c r="BJ152" s="59">
        <f t="shared" si="146"/>
        <v>330.17137761430297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0.43273187973566829</v>
      </c>
      <c r="BQ152" s="21">
        <f>EXP(-LN(2)/25)*BQ151+(1-EXP(-LN(2)/25))/(LN(2)/25)*Calculateur!BL152*Calculateur!BN152*VLOOKUP('Données projet'!$B$11,Paramètres!$A$1:$I$89,3,0)*0.475*44/12</f>
        <v>1.113563452463548</v>
      </c>
      <c r="BR152" s="21">
        <f>EXP(-LN(2)/2)*BR151+(1-EXP(-LN(2)/2))/(LN(2)/2)*BL152*BO152*VLOOKUP('Données projet'!$B$11,Paramètres!$A$1:$I$89,3,0)*0.475*44/12</f>
        <v>3.9892723196146622E-17</v>
      </c>
      <c r="BS152" s="22">
        <f t="shared" si="117"/>
        <v>1.5462953321992163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210.04871822652808</v>
      </c>
      <c r="CE152" s="59">
        <f t="shared" si="148"/>
        <v>250.17540614049324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0.69163911433438663</v>
      </c>
      <c r="CL152" s="21">
        <f>EXP(-LN(2)/25)*CL151+(1-EXP(-LN(2)/25))/(LN(2)/25)*Calculateur!CG152*Calculateur!CI152*VLOOKUP('Données projet'!$B$12,Paramètres!$A$1:$I$89,3,0)*0.475*44/12</f>
        <v>1.027120890788658</v>
      </c>
      <c r="CM152" s="21">
        <f>EXP(-LN(2)/2)*CM151+(1-EXP(-LN(2)/2))/(LN(2)/2)*CG152*CJ152*VLOOKUP('Données projet'!$B$12,Paramètres!$A$1:$I$89,3,0)*0.475*44/12</f>
        <v>2.643874856392583E-17</v>
      </c>
      <c r="CN152" s="22">
        <f t="shared" si="120"/>
        <v>1.7187600051230447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4.5224624045658861E-14</v>
      </c>
      <c r="CV152" s="13">
        <f t="shared" si="149"/>
        <v>7.4514601661523691E-13</v>
      </c>
      <c r="CW152" s="20">
        <f t="shared" si="121"/>
        <v>1.3765621991510601E-12</v>
      </c>
      <c r="CX152" s="59">
        <f t="shared" si="122"/>
        <v>293.33333333333468</v>
      </c>
      <c r="CY152" s="59">
        <f ca="1">AVERAGE(OFFSET($CX$3,0,0,'Données projet'!$E$13+1,1))-AVERAGE(OFFSET($H$3,0,0,'Données projet'!$E$13+1,1))</f>
        <v>199.58763537752952</v>
      </c>
      <c r="CZ152" s="59">
        <f t="shared" si="150"/>
        <v>242.62852778451929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0.37950374212587218</v>
      </c>
      <c r="DH152" s="21">
        <f>EXP(-LN(2)/2)*DH151+(1-EXP(-LN(2)/2))/(LN(2)/2)*DB152*DE152*VLOOKUP('Données projet'!$B$13,Paramètres!$A$1:$I$89,3,0)*0.475*44/12</f>
        <v>1.3200501310062618E-17</v>
      </c>
      <c r="DI152" s="22">
        <f t="shared" si="123"/>
        <v>0.37950374212587218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-4.5474735088646412E-13</v>
      </c>
      <c r="DP152" s="17">
        <f>DO152*VLOOKUP('Données projet'!$B$14,Paramètres!$A$1:$I$89,3,0)*VLOOKUP('Données projet'!$B$14,Paramètres!$A$1:$I$89,5,0)</f>
        <v>-2.7193891583010558E-13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216.94426559495264</v>
      </c>
      <c r="DU152" s="59">
        <f t="shared" si="152"/>
        <v>225.33715877618704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0.47421518623465891</v>
      </c>
      <c r="EC152" s="21">
        <f>EXP(-LN(2)/2)*EC151+(1-EXP(-LN(2)/2))/(LN(2)/2)*DW152*DZ152*VLOOKUP('Données projet'!$B$14,Paramètres!$A$1:$I$89,3,0)*0.475*44/12</f>
        <v>2.9107257021309799E-17</v>
      </c>
      <c r="ED152" s="22">
        <f t="shared" si="126"/>
        <v>0.47421518623465897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6.8212102632969618E-13</v>
      </c>
      <c r="EK152" s="17">
        <f>EJ152*VLOOKUP('Données projet'!$B$15,Paramètres!$A$1:$I$89,3,0)*VLOOKUP('Données projet'!$B$15,Paramètres!$A$1:$I$89,5,0)</f>
        <v>3.2810021366458383E-13</v>
      </c>
      <c r="EL152" s="13">
        <f t="shared" si="153"/>
        <v>4.2923528923937213E-12</v>
      </c>
      <c r="EM152" s="20">
        <f t="shared" si="127"/>
        <v>8.0472891597182151E-12</v>
      </c>
      <c r="EN152" s="59">
        <f t="shared" si="128"/>
        <v>293.33333333334139</v>
      </c>
      <c r="EO152" s="59">
        <f ca="1">AVERAGE(OFFSET($EN$3,0,0,'Données projet'!$E$15+1,1))-AVERAGE(OFFSET($H$3,0,0,'Données projet'!$E$15+1,1))</f>
        <v>292.1792787220852</v>
      </c>
      <c r="EP152" s="59">
        <f t="shared" si="154"/>
        <v>273.69206144662144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0.63831546379613513</v>
      </c>
      <c r="EW152" s="21">
        <f>EXP(-LN(2)/25)*EW151+(1-EXP(-LN(2)/25))/(LN(2)/25)*Calculateur!ER152*Calculateur!ET152*VLOOKUP('Données projet'!$B$15,Paramètres!$A$1:$I$89,3,0)*0.475*44/12</f>
        <v>0.4953945325594854</v>
      </c>
      <c r="EX152" s="21">
        <f>EXP(-LN(2)/2)*EX151+(1-EXP(-LN(2)/2))/(LN(2)/2)*ER152*EU152*VLOOKUP('Données projet'!$B$15,Paramètres!$A$1:$I$89,3,0)*0.475*44/12</f>
        <v>2.5652346524027655E-17</v>
      </c>
      <c r="EY152" s="22">
        <f t="shared" si="129"/>
        <v>1.1337099963556205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215.23235148064941</v>
      </c>
      <c r="T153" s="59">
        <f t="shared" si="142"/>
        <v>184.07239726900434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0.29112314744620216</v>
      </c>
      <c r="AA153" s="21">
        <f>EXP(-LN(2)/25)*AA152+(1-EXP(-LN(2)/25))/(LN(2)/25)*Calculateur!V153*Calculateur!X153*VLOOKUP('Données projet'!$B$9,Paramètres!$A$1:$I$89,3,0)*0.475*44/12</f>
        <v>0.28198621816155833</v>
      </c>
      <c r="AB153" s="21">
        <f>EXP(-LN(2)/2)*AB152+(1-EXP(-LN(2)/2))/(LN(2)/2)*V153*Y153*VLOOKUP('Données projet'!$B$9,Paramètres!$A$1:$I$89,3,0)*0.475*44/12</f>
        <v>8.5280536801582359E-18</v>
      </c>
      <c r="AC153" s="22">
        <f t="shared" si="111"/>
        <v>0.57310936560776049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-8.5265128291212022E-14</v>
      </c>
      <c r="AJ153" s="13">
        <f>AI153*VLOOKUP('Données projet'!$B$10,Paramètres!$A$1:$I$89,3,0)*VLOOKUP('Données projet'!$B$10,Paramètres!$A$1:$I$89,5,0)</f>
        <v>-7.7147888077888636E-14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225.28075317732998</v>
      </c>
      <c r="AO153" s="59">
        <f t="shared" si="144"/>
        <v>358.43407531256207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0.20836649862787068</v>
      </c>
      <c r="AV153" s="21">
        <f>EXP(-LN(2)/25)*AV152+(1-EXP(-LN(2)/25))/(LN(2)/25)*Calculateur!AQ153*Calculateur!AS153*VLOOKUP('Données projet'!$B$10,Paramètres!$A$1:$I$89,3,0)*0.475*44/12</f>
        <v>0.29694055940089287</v>
      </c>
      <c r="AW153" s="21">
        <f>EXP(-LN(2)/2)*AW152+(1-EXP(-LN(2)/2))/(LN(2)/2)*AQ153*AT153*VLOOKUP('Données projet'!$B$10,Paramètres!$A$1:$I$89,3,0)*0.475*44/12</f>
        <v>3.8285530257974769E-18</v>
      </c>
      <c r="AX153" s="21">
        <f t="shared" si="114"/>
        <v>0.50530705802876352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-5.6843418860808015E-13</v>
      </c>
      <c r="BE153" s="13">
        <f>BD153*VLOOKUP('Données projet'!$B$11,Paramètres!$A$1:$I$89,3,0)*VLOOKUP('Données projet'!$B$11,Paramètres!$A$1:$I$89,5,0)</f>
        <v>-3.177547114319168E-13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326.31232746914907</v>
      </c>
      <c r="BJ153" s="59">
        <f t="shared" si="146"/>
        <v>330.17137761430297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0.4242462715144365</v>
      </c>
      <c r="BQ153" s="21">
        <f>EXP(-LN(2)/25)*BQ152+(1-EXP(-LN(2)/25))/(LN(2)/25)*Calculateur!BL153*Calculateur!BN153*VLOOKUP('Données projet'!$B$11,Paramètres!$A$1:$I$89,3,0)*0.475*44/12</f>
        <v>1.0831130012961754</v>
      </c>
      <c r="BR153" s="21">
        <f>EXP(-LN(2)/2)*BR152+(1-EXP(-LN(2)/2))/(LN(2)/2)*BL153*BO153*VLOOKUP('Données projet'!$B$11,Paramètres!$A$1:$I$89,3,0)*0.475*44/12</f>
        <v>2.8208415091993158E-17</v>
      </c>
      <c r="BS153" s="22">
        <f t="shared" si="117"/>
        <v>1.507359272810612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210.04871822652808</v>
      </c>
      <c r="CE153" s="59">
        <f t="shared" si="148"/>
        <v>250.17540614049324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0.67807649316049401</v>
      </c>
      <c r="CL153" s="21">
        <f>EXP(-LN(2)/25)*CL152+(1-EXP(-LN(2)/25))/(LN(2)/25)*Calculateur!CG153*Calculateur!CI153*VLOOKUP('Données projet'!$B$12,Paramètres!$A$1:$I$89,3,0)*0.475*44/12</f>
        <v>0.99903421601610198</v>
      </c>
      <c r="CM153" s="21">
        <f>EXP(-LN(2)/2)*CM152+(1-EXP(-LN(2)/2))/(LN(2)/2)*CG153*CJ153*VLOOKUP('Données projet'!$B$12,Paramètres!$A$1:$I$89,3,0)*0.475*44/12</f>
        <v>1.8695018395638049E-17</v>
      </c>
      <c r="CN153" s="22">
        <f t="shared" si="120"/>
        <v>1.677110709176596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4.5224624045658861E-14</v>
      </c>
      <c r="CV153" s="13">
        <f t="shared" si="149"/>
        <v>7.4514601661523691E-13</v>
      </c>
      <c r="CW153" s="20">
        <f t="shared" si="121"/>
        <v>1.3765621991510601E-12</v>
      </c>
      <c r="CX153" s="59">
        <f t="shared" si="122"/>
        <v>293.33333333333468</v>
      </c>
      <c r="CY153" s="59">
        <f ca="1">AVERAGE(OFFSET($CX$3,0,0,'Données projet'!$E$13+1,1))-AVERAGE(OFFSET($H$3,0,0,'Données projet'!$E$13+1,1))</f>
        <v>199.58763537752952</v>
      </c>
      <c r="CZ153" s="59">
        <f t="shared" si="150"/>
        <v>242.62852778451929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0.36912619234020577</v>
      </c>
      <c r="DH153" s="21">
        <f>EXP(-LN(2)/2)*DH152+(1-EXP(-LN(2)/2))/(LN(2)/2)*DB153*DE153*VLOOKUP('Données projet'!$B$13,Paramètres!$A$1:$I$89,3,0)*0.475*44/12</f>
        <v>9.3341639914071814E-18</v>
      </c>
      <c r="DI153" s="22">
        <f t="shared" si="123"/>
        <v>0.36912619234020577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-4.5474735088646412E-13</v>
      </c>
      <c r="DP153" s="17">
        <f>DO153*VLOOKUP('Données projet'!$B$14,Paramètres!$A$1:$I$89,3,0)*VLOOKUP('Données projet'!$B$14,Paramètres!$A$1:$I$89,5,0)</f>
        <v>-2.7193891583010558E-13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216.94426559495264</v>
      </c>
      <c r="DU153" s="59">
        <f t="shared" si="152"/>
        <v>225.33715877618704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0.46124774702917937</v>
      </c>
      <c r="EC153" s="21">
        <f>EXP(-LN(2)/2)*EC152+(1-EXP(-LN(2)/2))/(LN(2)/2)*DW153*DZ153*VLOOKUP('Données projet'!$B$14,Paramètres!$A$1:$I$89,3,0)*0.475*44/12</f>
        <v>2.0581938821507907E-17</v>
      </c>
      <c r="ED153" s="22">
        <f t="shared" si="126"/>
        <v>0.46124774702917937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6.8212102632969618E-13</v>
      </c>
      <c r="EK153" s="17">
        <f>EJ153*VLOOKUP('Données projet'!$B$15,Paramètres!$A$1:$I$89,3,0)*VLOOKUP('Données projet'!$B$15,Paramètres!$A$1:$I$89,5,0)</f>
        <v>3.2810021366458383E-13</v>
      </c>
      <c r="EL153" s="13">
        <f t="shared" si="153"/>
        <v>4.2923528923937213E-12</v>
      </c>
      <c r="EM153" s="20">
        <f t="shared" si="127"/>
        <v>8.0472891597182151E-12</v>
      </c>
      <c r="EN153" s="59">
        <f t="shared" si="128"/>
        <v>293.33333333334139</v>
      </c>
      <c r="EO153" s="59">
        <f ca="1">AVERAGE(OFFSET($EN$3,0,0,'Données projet'!$E$15+1,1))-AVERAGE(OFFSET($H$3,0,0,'Données projet'!$E$15+1,1))</f>
        <v>292.1792787220852</v>
      </c>
      <c r="EP153" s="59">
        <f t="shared" si="154"/>
        <v>273.69206144662144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0.62579848688508233</v>
      </c>
      <c r="EW153" s="21">
        <f>EXP(-LN(2)/25)*EW152+(1-EXP(-LN(2)/25))/(LN(2)/25)*Calculateur!ER153*Calculateur!ET153*VLOOKUP('Données projet'!$B$15,Paramètres!$A$1:$I$89,3,0)*0.475*44/12</f>
        <v>0.48184794301498002</v>
      </c>
      <c r="EX153" s="21">
        <f>EXP(-LN(2)/2)*EX152+(1-EXP(-LN(2)/2))/(LN(2)/2)*ER153*EU153*VLOOKUP('Données projet'!$B$15,Paramètres!$A$1:$I$89,3,0)*0.475*44/12</f>
        <v>1.8138948180487116E-17</v>
      </c>
      <c r="EY153" s="22">
        <f t="shared" si="129"/>
        <v>1.1076464299000623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215.23235148064941</v>
      </c>
      <c r="T154" s="59">
        <f t="shared" si="142"/>
        <v>184.07239726900434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0.28541440009236874</v>
      </c>
      <c r="AA154" s="21">
        <f>EXP(-LN(2)/25)*AA153+(1-EXP(-LN(2)/25))/(LN(2)/25)*Calculateur!V154*Calculateur!X154*VLOOKUP('Données projet'!$B$9,Paramètres!$A$1:$I$89,3,0)*0.475*44/12</f>
        <v>0.27427529019691982</v>
      </c>
      <c r="AB154" s="21">
        <f>EXP(-LN(2)/2)*AB153+(1-EXP(-LN(2)/2))/(LN(2)/2)*V154*Y154*VLOOKUP('Données projet'!$B$9,Paramètres!$A$1:$I$89,3,0)*0.475*44/12</f>
        <v>6.0302445875627812E-18</v>
      </c>
      <c r="AC154" s="22">
        <f t="shared" ref="AC154:AC203" si="163">SUM(Z154:AB154)</f>
        <v>0.5596896902892885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-8.5265128291212022E-14</v>
      </c>
      <c r="AJ154" s="13">
        <f>AI154*VLOOKUP('Données projet'!$B$10,Paramètres!$A$1:$I$89,3,0)*VLOOKUP('Données projet'!$B$10,Paramètres!$A$1:$I$89,5,0)</f>
        <v>-7.7147888077888636E-14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225.28075317732998</v>
      </c>
      <c r="AO154" s="59">
        <f t="shared" si="144"/>
        <v>358.43407531256207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0.20428055868079312</v>
      </c>
      <c r="AV154" s="21">
        <f>EXP(-LN(2)/25)*AV153+(1-EXP(-LN(2)/25))/(LN(2)/25)*Calculateur!AQ154*Calculateur!AS154*VLOOKUP('Données projet'!$B$10,Paramètres!$A$1:$I$89,3,0)*0.475*44/12</f>
        <v>0.28882070418865008</v>
      </c>
      <c r="AW154" s="21">
        <f>EXP(-LN(2)/2)*AW153+(1-EXP(-LN(2)/2))/(LN(2)/2)*AQ154*AT154*VLOOKUP('Données projet'!$B$10,Paramètres!$A$1:$I$89,3,0)*0.475*44/12</f>
        <v>2.7071958066736709E-18</v>
      </c>
      <c r="AX154" s="21">
        <f t="shared" ref="AX154:AX203" si="166">SUM(AU154:AW154)</f>
        <v>0.49310126286944322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-5.6843418860808015E-13</v>
      </c>
      <c r="BE154" s="13">
        <f>BD154*VLOOKUP('Données projet'!$B$11,Paramètres!$A$1:$I$89,3,0)*VLOOKUP('Données projet'!$B$11,Paramètres!$A$1:$I$89,5,0)</f>
        <v>-3.177547114319168E-13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326.31232746914907</v>
      </c>
      <c r="BJ154" s="59">
        <f t="shared" si="146"/>
        <v>330.17137761430297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0.41592706089471315</v>
      </c>
      <c r="BQ154" s="21">
        <f>EXP(-LN(2)/25)*BQ153+(1-EXP(-LN(2)/25))/(LN(2)/25)*Calculateur!BL154*Calculateur!BN154*VLOOKUP('Données projet'!$B$11,Paramètres!$A$1:$I$89,3,0)*0.475*44/12</f>
        <v>1.0534952193172942</v>
      </c>
      <c r="BR154" s="21">
        <f>EXP(-LN(2)/2)*BR153+(1-EXP(-LN(2)/2))/(LN(2)/2)*BL154*BO154*VLOOKUP('Données projet'!$B$11,Paramètres!$A$1:$I$89,3,0)*0.475*44/12</f>
        <v>1.9946361598073311E-17</v>
      </c>
      <c r="BS154" s="22">
        <f t="shared" ref="BS154:BS203" si="169">SUM(BP154:BR154)</f>
        <v>1.4694222802120074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210.04871822652808</v>
      </c>
      <c r="CE154" s="59">
        <f t="shared" si="148"/>
        <v>250.17540614049324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0.66477982671543934</v>
      </c>
      <c r="CL154" s="21">
        <f>EXP(-LN(2)/25)*CL153+(1-EXP(-LN(2)/25))/(LN(2)/25)*Calculateur!CG154*Calculateur!CI154*VLOOKUP('Données projet'!$B$12,Paramètres!$A$1:$I$89,3,0)*0.475*44/12</f>
        <v>0.97171557284221555</v>
      </c>
      <c r="CM154" s="21">
        <f>EXP(-LN(2)/2)*CM153+(1-EXP(-LN(2)/2))/(LN(2)/2)*CG154*CJ154*VLOOKUP('Données projet'!$B$12,Paramètres!$A$1:$I$89,3,0)*0.475*44/12</f>
        <v>1.3219374281962915E-17</v>
      </c>
      <c r="CN154" s="22">
        <f t="shared" ref="CN154:CN203" si="172">SUM(CK154:CM154)</f>
        <v>1.636495399557655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4.5224624045658861E-14</v>
      </c>
      <c r="CV154" s="13">
        <f t="shared" ref="CV154:CV203" si="173">EXP(-1.0587+0.8836*LN(CU154)+0.284)</f>
        <v>7.4514601661523691E-13</v>
      </c>
      <c r="CW154" s="20">
        <f t="shared" ref="CW154:CW203" si="174">(CU154+CV154)*0.475*44/12</f>
        <v>1.3765621991510601E-12</v>
      </c>
      <c r="CX154" s="59">
        <f t="shared" si="122"/>
        <v>293.33333333333468</v>
      </c>
      <c r="CY154" s="59">
        <f ca="1">AVERAGE(OFFSET($CX$3,0,0,'Données projet'!$E$13+1,1))-AVERAGE(OFFSET($H$3,0,0,'Données projet'!$E$13+1,1))</f>
        <v>199.58763537752952</v>
      </c>
      <c r="CZ154" s="59">
        <f t="shared" si="150"/>
        <v>242.62852778451929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0.35903241719916001</v>
      </c>
      <c r="DH154" s="21">
        <f>EXP(-LN(2)/2)*DH153+(1-EXP(-LN(2)/2))/(LN(2)/2)*DB154*DE154*VLOOKUP('Données projet'!$B$13,Paramètres!$A$1:$I$89,3,0)*0.475*44/12</f>
        <v>6.600250655031309E-18</v>
      </c>
      <c r="DI154" s="22">
        <f t="shared" ref="DI154:DI203" si="175">SUM(DF154:DH154)</f>
        <v>0.35903241719916001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-4.5474735088646412E-13</v>
      </c>
      <c r="DP154" s="17">
        <f>DO154*VLOOKUP('Données projet'!$B$14,Paramètres!$A$1:$I$89,3,0)*VLOOKUP('Données projet'!$B$14,Paramètres!$A$1:$I$89,5,0)</f>
        <v>-2.7193891583010558E-13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216.94426559495264</v>
      </c>
      <c r="DU154" s="59">
        <f t="shared" si="152"/>
        <v>225.33715877618704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0.44863490313070165</v>
      </c>
      <c r="EC154" s="21">
        <f>EXP(-LN(2)/2)*EC153+(1-EXP(-LN(2)/2))/(LN(2)/2)*DW154*DZ154*VLOOKUP('Données projet'!$B$14,Paramètres!$A$1:$I$89,3,0)*0.475*44/12</f>
        <v>1.4553628510654899E-17</v>
      </c>
      <c r="ED154" s="22">
        <f t="shared" ref="ED154:ED203" si="178">SUM(EA154:EC154)</f>
        <v>0.44863490313070165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6.8212102632969618E-13</v>
      </c>
      <c r="EK154" s="17">
        <f>EJ154*VLOOKUP('Données projet'!$B$15,Paramètres!$A$1:$I$89,3,0)*VLOOKUP('Données projet'!$B$15,Paramètres!$A$1:$I$89,5,0)</f>
        <v>3.2810021366458383E-13</v>
      </c>
      <c r="EL154" s="13">
        <f t="shared" ref="EL154:EL203" si="179">EXP(-1.0587+0.8836*LN(EK154)+0.284)</f>
        <v>4.2923528923937213E-12</v>
      </c>
      <c r="EM154" s="20">
        <f t="shared" ref="EM154:EM203" si="180">(EK154+EL154)*0.475*44/12</f>
        <v>8.0472891597182151E-12</v>
      </c>
      <c r="EN154" s="59">
        <f t="shared" si="128"/>
        <v>293.33333333334139</v>
      </c>
      <c r="EO154" s="59">
        <f ca="1">AVERAGE(OFFSET($EN$3,0,0,'Données projet'!$E$15+1,1))-AVERAGE(OFFSET($H$3,0,0,'Données projet'!$E$15+1,1))</f>
        <v>292.1792787220852</v>
      </c>
      <c r="EP154" s="59">
        <f t="shared" si="154"/>
        <v>273.69206144662144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0.61352696025665321</v>
      </c>
      <c r="EW154" s="21">
        <f>EXP(-LN(2)/25)*EW153+(1-EXP(-LN(2)/25))/(LN(2)/25)*Calculateur!ER154*Calculateur!ET154*VLOOKUP('Données projet'!$B$15,Paramètres!$A$1:$I$89,3,0)*0.475*44/12</f>
        <v>0.46867178567395334</v>
      </c>
      <c r="EX154" s="21">
        <f>EXP(-LN(2)/2)*EX153+(1-EXP(-LN(2)/2))/(LN(2)/2)*ER154*EU154*VLOOKUP('Données projet'!$B$15,Paramètres!$A$1:$I$89,3,0)*0.475*44/12</f>
        <v>1.2826173262013828E-17</v>
      </c>
      <c r="EY154" s="22">
        <f t="shared" ref="EY154:EY203" si="181">SUM(EV154:EX154)</f>
        <v>1.0821987459306066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215.23235148064941</v>
      </c>
      <c r="T155" s="59">
        <f t="shared" si="142"/>
        <v>184.07239726900434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0.27981759779215193</v>
      </c>
      <c r="AA155" s="21">
        <f>EXP(-LN(2)/25)*AA154+(1-EXP(-LN(2)/25))/(LN(2)/25)*Calculateur!V155*Calculateur!X155*VLOOKUP('Données projet'!$B$9,Paramètres!$A$1:$I$89,3,0)*0.475*44/12</f>
        <v>0.26677521796297438</v>
      </c>
      <c r="AB155" s="21">
        <f>EXP(-LN(2)/2)*AB154+(1-EXP(-LN(2)/2))/(LN(2)/2)*V155*Y155*VLOOKUP('Données projet'!$B$9,Paramètres!$A$1:$I$89,3,0)*0.475*44/12</f>
        <v>4.264026840079118E-18</v>
      </c>
      <c r="AC155" s="22">
        <f t="shared" si="163"/>
        <v>0.5465928157551263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-8.5265128291212022E-14</v>
      </c>
      <c r="AJ155" s="13">
        <f>AI155*VLOOKUP('Données projet'!$B$10,Paramètres!$A$1:$I$89,3,0)*VLOOKUP('Données projet'!$B$10,Paramètres!$A$1:$I$89,5,0)</f>
        <v>-7.7147888077888636E-14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225.28075317732998</v>
      </c>
      <c r="AO155" s="59">
        <f t="shared" si="144"/>
        <v>358.43407531256207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0.20027474152390046</v>
      </c>
      <c r="AV155" s="21">
        <f>EXP(-LN(2)/25)*AV154+(1-EXP(-LN(2)/25))/(LN(2)/25)*Calculateur!AQ155*Calculateur!AS155*VLOOKUP('Données projet'!$B$10,Paramètres!$A$1:$I$89,3,0)*0.475*44/12</f>
        <v>0.2809228868441907</v>
      </c>
      <c r="AW155" s="21">
        <f>EXP(-LN(2)/2)*AW154+(1-EXP(-LN(2)/2))/(LN(2)/2)*AQ155*AT155*VLOOKUP('Données projet'!$B$10,Paramètres!$A$1:$I$89,3,0)*0.475*44/12</f>
        <v>1.9142765128987384E-18</v>
      </c>
      <c r="AX155" s="21">
        <f t="shared" si="166"/>
        <v>0.48119762836809116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-5.6843418860808015E-13</v>
      </c>
      <c r="BE155" s="13">
        <f>BD155*VLOOKUP('Données projet'!$B$11,Paramètres!$A$1:$I$89,3,0)*VLOOKUP('Données projet'!$B$11,Paramètres!$A$1:$I$89,5,0)</f>
        <v>-3.177547114319168E-13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326.31232746914907</v>
      </c>
      <c r="BJ155" s="59">
        <f t="shared" si="146"/>
        <v>330.17137761430297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0.40777098492102515</v>
      </c>
      <c r="BQ155" s="21">
        <f>EXP(-LN(2)/25)*BQ154+(1-EXP(-LN(2)/25))/(LN(2)/25)*Calculateur!BL155*Calculateur!BN155*VLOOKUP('Données projet'!$B$11,Paramètres!$A$1:$I$89,3,0)*0.475*44/12</f>
        <v>1.0246873371441569</v>
      </c>
      <c r="BR155" s="21">
        <f>EXP(-LN(2)/2)*BR154+(1-EXP(-LN(2)/2))/(LN(2)/2)*BL155*BO155*VLOOKUP('Données projet'!$B$11,Paramètres!$A$1:$I$89,3,0)*0.475*44/12</f>
        <v>1.4104207545996579E-17</v>
      </c>
      <c r="BS155" s="22">
        <f t="shared" si="169"/>
        <v>1.4324583220651821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210.04871822652808</v>
      </c>
      <c r="CE155" s="59">
        <f t="shared" si="148"/>
        <v>250.17540614049324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0.65174389978920644</v>
      </c>
      <c r="CL155" s="21">
        <f>EXP(-LN(2)/25)*CL154+(1-EXP(-LN(2)/25))/(LN(2)/25)*Calculateur!CG155*Calculateur!CI155*VLOOKUP('Données projet'!$B$12,Paramètres!$A$1:$I$89,3,0)*0.475*44/12</f>
        <v>0.94514395940254403</v>
      </c>
      <c r="CM155" s="21">
        <f>EXP(-LN(2)/2)*CM154+(1-EXP(-LN(2)/2))/(LN(2)/2)*CG155*CJ155*VLOOKUP('Données projet'!$B$12,Paramètres!$A$1:$I$89,3,0)*0.475*44/12</f>
        <v>9.3475091978190246E-18</v>
      </c>
      <c r="CN155" s="22">
        <f t="shared" si="172"/>
        <v>1.5968878591917504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4.5224624045658861E-14</v>
      </c>
      <c r="CV155" s="13">
        <f t="shared" si="173"/>
        <v>7.4514601661523691E-13</v>
      </c>
      <c r="CW155" s="20">
        <f t="shared" si="174"/>
        <v>1.3765621991510601E-12</v>
      </c>
      <c r="CX155" s="59">
        <f t="shared" si="122"/>
        <v>293.33333333333468</v>
      </c>
      <c r="CY155" s="59">
        <f ca="1">AVERAGE(OFFSET($CX$3,0,0,'Données projet'!$E$13+1,1))-AVERAGE(OFFSET($H$3,0,0,'Données projet'!$E$13+1,1))</f>
        <v>199.58763537752952</v>
      </c>
      <c r="CZ155" s="59">
        <f t="shared" si="150"/>
        <v>242.62852778451929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0.34921465687015474</v>
      </c>
      <c r="DH155" s="21">
        <f>EXP(-LN(2)/2)*DH154+(1-EXP(-LN(2)/2))/(LN(2)/2)*DB155*DE155*VLOOKUP('Données projet'!$B$13,Paramètres!$A$1:$I$89,3,0)*0.475*44/12</f>
        <v>4.6670819957035907E-18</v>
      </c>
      <c r="DI155" s="22">
        <f t="shared" si="175"/>
        <v>0.34921465687015474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-4.5474735088646412E-13</v>
      </c>
      <c r="DP155" s="17">
        <f>DO155*VLOOKUP('Données projet'!$B$14,Paramètres!$A$1:$I$89,3,0)*VLOOKUP('Données projet'!$B$14,Paramètres!$A$1:$I$89,5,0)</f>
        <v>-2.7193891583010558E-13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216.94426559495264</v>
      </c>
      <c r="DU155" s="59">
        <f t="shared" si="152"/>
        <v>225.33715877618704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0.4363669581119084</v>
      </c>
      <c r="EC155" s="21">
        <f>EXP(-LN(2)/2)*EC154+(1-EXP(-LN(2)/2))/(LN(2)/2)*DW155*DZ155*VLOOKUP('Données projet'!$B$14,Paramètres!$A$1:$I$89,3,0)*0.475*44/12</f>
        <v>1.0290969410753954E-17</v>
      </c>
      <c r="ED155" s="22">
        <f t="shared" si="178"/>
        <v>0.4363669581119084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6.8212102632969618E-13</v>
      </c>
      <c r="EK155" s="17">
        <f>EJ155*VLOOKUP('Données projet'!$B$15,Paramètres!$A$1:$I$89,3,0)*VLOOKUP('Données projet'!$B$15,Paramètres!$A$1:$I$89,5,0)</f>
        <v>3.2810021366458383E-13</v>
      </c>
      <c r="EL155" s="13">
        <f t="shared" si="179"/>
        <v>4.2923528923937213E-12</v>
      </c>
      <c r="EM155" s="20">
        <f t="shared" si="180"/>
        <v>8.0472891597182151E-12</v>
      </c>
      <c r="EN155" s="59">
        <f t="shared" si="128"/>
        <v>293.33333333334139</v>
      </c>
      <c r="EO155" s="59">
        <f ca="1">AVERAGE(OFFSET($EN$3,0,0,'Données projet'!$E$15+1,1))-AVERAGE(OFFSET($H$3,0,0,'Données projet'!$E$15+1,1))</f>
        <v>292.1792787220852</v>
      </c>
      <c r="EP155" s="59">
        <f t="shared" si="154"/>
        <v>273.69206144662144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0.60149607078051537</v>
      </c>
      <c r="EW155" s="21">
        <f>EXP(-LN(2)/25)*EW154+(1-EXP(-LN(2)/25))/(LN(2)/25)*Calculateur!ER155*Calculateur!ET155*VLOOKUP('Données projet'!$B$15,Paramètres!$A$1:$I$89,3,0)*0.475*44/12</f>
        <v>0.45585593104832106</v>
      </c>
      <c r="EX155" s="21">
        <f>EXP(-LN(2)/2)*EX154+(1-EXP(-LN(2)/2))/(LN(2)/2)*ER155*EU155*VLOOKUP('Données projet'!$B$15,Paramètres!$A$1:$I$89,3,0)*0.475*44/12</f>
        <v>9.069474090243558E-18</v>
      </c>
      <c r="EY155" s="22">
        <f t="shared" si="181"/>
        <v>1.0573520018288365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215.23235148064941</v>
      </c>
      <c r="T156" s="59">
        <f t="shared" si="142"/>
        <v>184.07239726900434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0.27433054537133006</v>
      </c>
      <c r="AA156" s="21">
        <f>EXP(-LN(2)/25)*AA155+(1-EXP(-LN(2)/25))/(LN(2)/25)*Calculateur!V156*Calculateur!X156*VLOOKUP('Données projet'!$B$9,Paramètres!$A$1:$I$89,3,0)*0.475*44/12</f>
        <v>0.25948023559867783</v>
      </c>
      <c r="AB156" s="21">
        <f>EXP(-LN(2)/2)*AB155+(1-EXP(-LN(2)/2))/(LN(2)/2)*V156*Y156*VLOOKUP('Données projet'!$B$9,Paramètres!$A$1:$I$89,3,0)*0.475*44/12</f>
        <v>3.0151222937813906E-18</v>
      </c>
      <c r="AC156" s="22">
        <f t="shared" si="163"/>
        <v>0.53381078097000789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-8.5265128291212022E-14</v>
      </c>
      <c r="AJ156" s="13">
        <f>AI156*VLOOKUP('Données projet'!$B$10,Paramètres!$A$1:$I$89,3,0)*VLOOKUP('Données projet'!$B$10,Paramètres!$A$1:$I$89,5,0)</f>
        <v>-7.7147888077888636E-14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225.28075317732998</v>
      </c>
      <c r="AO156" s="59">
        <f t="shared" si="144"/>
        <v>358.43407531256207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0.19634747599814725</v>
      </c>
      <c r="AV156" s="21">
        <f>EXP(-LN(2)/25)*AV155+(1-EXP(-LN(2)/25))/(LN(2)/25)*Calculateur!AQ156*Calculateur!AS156*VLOOKUP('Données projet'!$B$10,Paramètres!$A$1:$I$89,3,0)*0.475*44/12</f>
        <v>0.27324103573034375</v>
      </c>
      <c r="AW156" s="21">
        <f>EXP(-LN(2)/2)*AW155+(1-EXP(-LN(2)/2))/(LN(2)/2)*AQ156*AT156*VLOOKUP('Données projet'!$B$10,Paramètres!$A$1:$I$89,3,0)*0.475*44/12</f>
        <v>1.3535979033368355E-18</v>
      </c>
      <c r="AX156" s="21">
        <f t="shared" si="166"/>
        <v>0.46958851172849103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-5.6843418860808015E-13</v>
      </c>
      <c r="BE156" s="13">
        <f>BD156*VLOOKUP('Données projet'!$B$11,Paramètres!$A$1:$I$89,3,0)*VLOOKUP('Données projet'!$B$11,Paramètres!$A$1:$I$89,5,0)</f>
        <v>-3.177547114319168E-13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326.31232746914907</v>
      </c>
      <c r="BJ156" s="59">
        <f t="shared" si="146"/>
        <v>330.17137761430297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0.39977484462246599</v>
      </c>
      <c r="BQ156" s="21">
        <f>EXP(-LN(2)/25)*BQ155+(1-EXP(-LN(2)/25))/(LN(2)/25)*Calculateur!BL156*Calculateur!BN156*VLOOKUP('Données projet'!$B$11,Paramètres!$A$1:$I$89,3,0)*0.475*44/12</f>
        <v>0.9966672080239849</v>
      </c>
      <c r="BR156" s="21">
        <f>EXP(-LN(2)/2)*BR155+(1-EXP(-LN(2)/2))/(LN(2)/2)*BL156*BO156*VLOOKUP('Données projet'!$B$11,Paramètres!$A$1:$I$89,3,0)*0.475*44/12</f>
        <v>9.9731807990366554E-18</v>
      </c>
      <c r="BS156" s="22">
        <f t="shared" si="169"/>
        <v>1.3964420526464509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210.04871822652808</v>
      </c>
      <c r="CE156" s="59">
        <f t="shared" si="148"/>
        <v>250.17540614049324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0.63896359943886671</v>
      </c>
      <c r="CL156" s="21">
        <f>EXP(-LN(2)/25)*CL155+(1-EXP(-LN(2)/25))/(LN(2)/25)*Calculateur!CG156*Calculateur!CI156*VLOOKUP('Données projet'!$B$12,Paramètres!$A$1:$I$89,3,0)*0.475*44/12</f>
        <v>0.91929894812972079</v>
      </c>
      <c r="CM156" s="21">
        <f>EXP(-LN(2)/2)*CM155+(1-EXP(-LN(2)/2))/(LN(2)/2)*CG156*CJ156*VLOOKUP('Données projet'!$B$12,Paramètres!$A$1:$I$89,3,0)*0.475*44/12</f>
        <v>6.6096871409814575E-18</v>
      </c>
      <c r="CN156" s="22">
        <f t="shared" si="172"/>
        <v>1.5582625475685874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4.5224624045658861E-14</v>
      </c>
      <c r="CV156" s="13">
        <f t="shared" si="173"/>
        <v>7.4514601661523691E-13</v>
      </c>
      <c r="CW156" s="20">
        <f t="shared" si="174"/>
        <v>1.3765621991510601E-12</v>
      </c>
      <c r="CX156" s="59">
        <f t="shared" si="122"/>
        <v>293.33333333333468</v>
      </c>
      <c r="CY156" s="59">
        <f ca="1">AVERAGE(OFFSET($CX$3,0,0,'Données projet'!$E$13+1,1))-AVERAGE(OFFSET($H$3,0,0,'Données projet'!$E$13+1,1))</f>
        <v>199.58763537752952</v>
      </c>
      <c r="CZ156" s="59">
        <f t="shared" si="150"/>
        <v>242.62852778451929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0.3396653637136397</v>
      </c>
      <c r="DH156" s="21">
        <f>EXP(-LN(2)/2)*DH155+(1-EXP(-LN(2)/2))/(LN(2)/2)*DB156*DE156*VLOOKUP('Données projet'!$B$13,Paramètres!$A$1:$I$89,3,0)*0.475*44/12</f>
        <v>3.3001253275156545E-18</v>
      </c>
      <c r="DI156" s="22">
        <f t="shared" si="175"/>
        <v>0.3396653637136397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-4.5474735088646412E-13</v>
      </c>
      <c r="DP156" s="17">
        <f>DO156*VLOOKUP('Données projet'!$B$14,Paramètres!$A$1:$I$89,3,0)*VLOOKUP('Données projet'!$B$14,Paramètres!$A$1:$I$89,5,0)</f>
        <v>-2.7193891583010558E-13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216.94426559495264</v>
      </c>
      <c r="DU156" s="59">
        <f t="shared" si="152"/>
        <v>225.33715877618704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0.42443448069479728</v>
      </c>
      <c r="EC156" s="21">
        <f>EXP(-LN(2)/2)*EC155+(1-EXP(-LN(2)/2))/(LN(2)/2)*DW156*DZ156*VLOOKUP('Données projet'!$B$14,Paramètres!$A$1:$I$89,3,0)*0.475*44/12</f>
        <v>7.2768142553274497E-18</v>
      </c>
      <c r="ED156" s="22">
        <f t="shared" si="178"/>
        <v>0.42443448069479728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6.8212102632969618E-13</v>
      </c>
      <c r="EK156" s="17">
        <f>EJ156*VLOOKUP('Données projet'!$B$15,Paramètres!$A$1:$I$89,3,0)*VLOOKUP('Données projet'!$B$15,Paramètres!$A$1:$I$89,5,0)</f>
        <v>3.2810021366458383E-13</v>
      </c>
      <c r="EL156" s="13">
        <f t="shared" si="179"/>
        <v>4.2923528923937213E-12</v>
      </c>
      <c r="EM156" s="20">
        <f t="shared" si="180"/>
        <v>8.0472891597182151E-12</v>
      </c>
      <c r="EN156" s="59">
        <f t="shared" si="128"/>
        <v>293.33333333334139</v>
      </c>
      <c r="EO156" s="59">
        <f ca="1">AVERAGE(OFFSET($EN$3,0,0,'Données projet'!$E$15+1,1))-AVERAGE(OFFSET($H$3,0,0,'Données projet'!$E$15+1,1))</f>
        <v>292.1792787220852</v>
      </c>
      <c r="EP156" s="59">
        <f t="shared" si="154"/>
        <v>273.69206144662144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0.58970109970888662</v>
      </c>
      <c r="EW156" s="21">
        <f>EXP(-LN(2)/25)*EW155+(1-EXP(-LN(2)/25))/(LN(2)/25)*Calculateur!ER156*Calculateur!ET156*VLOOKUP('Données projet'!$B$15,Paramètres!$A$1:$I$89,3,0)*0.475*44/12</f>
        <v>0.44339052664138318</v>
      </c>
      <c r="EX156" s="21">
        <f>EXP(-LN(2)/2)*EX155+(1-EXP(-LN(2)/2))/(LN(2)/2)*ER156*EU156*VLOOKUP('Données projet'!$B$15,Paramètres!$A$1:$I$89,3,0)*0.475*44/12</f>
        <v>6.4130866310069138E-18</v>
      </c>
      <c r="EY156" s="22">
        <f t="shared" si="181"/>
        <v>1.0330916263502699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215.23235148064941</v>
      </c>
      <c r="T157" s="59">
        <f t="shared" si="142"/>
        <v>184.07239726900434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0.26895109070170897</v>
      </c>
      <c r="AA157" s="21">
        <f>EXP(-LN(2)/25)*AA156+(1-EXP(-LN(2)/25))/(LN(2)/25)*Calculateur!V157*Calculateur!X157*VLOOKUP('Données projet'!$B$9,Paramètres!$A$1:$I$89,3,0)*0.475*44/12</f>
        <v>0.25238473491075947</v>
      </c>
      <c r="AB157" s="21">
        <f>EXP(-LN(2)/2)*AB156+(1-EXP(-LN(2)/2))/(LN(2)/2)*V157*Y157*VLOOKUP('Données projet'!$B$9,Paramètres!$A$1:$I$89,3,0)*0.475*44/12</f>
        <v>2.132013420039559E-18</v>
      </c>
      <c r="AC157" s="22">
        <f t="shared" si="163"/>
        <v>0.5213358256124685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-8.5265128291212022E-14</v>
      </c>
      <c r="AJ157" s="13">
        <f>AI157*VLOOKUP('Données projet'!$B$10,Paramètres!$A$1:$I$89,3,0)*VLOOKUP('Données projet'!$B$10,Paramètres!$A$1:$I$89,5,0)</f>
        <v>-7.7147888077888636E-14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225.28075317732998</v>
      </c>
      <c r="AO157" s="59">
        <f t="shared" si="144"/>
        <v>358.43407531256207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0.19249722175395861</v>
      </c>
      <c r="AV157" s="21">
        <f>EXP(-LN(2)/25)*AV156+(1-EXP(-LN(2)/25))/(LN(2)/25)*Calculateur!AQ157*Calculateur!AS157*VLOOKUP('Données projet'!$B$10,Paramètres!$A$1:$I$89,3,0)*0.475*44/12</f>
        <v>0.26576924523917594</v>
      </c>
      <c r="AW157" s="21">
        <f>EXP(-LN(2)/2)*AW156+(1-EXP(-LN(2)/2))/(LN(2)/2)*AQ157*AT157*VLOOKUP('Données projet'!$B$10,Paramètres!$A$1:$I$89,3,0)*0.475*44/12</f>
        <v>9.5713825644936922E-19</v>
      </c>
      <c r="AX157" s="21">
        <f t="shared" si="166"/>
        <v>0.45826646699313456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-5.6843418860808015E-13</v>
      </c>
      <c r="BE157" s="13">
        <f>BD157*VLOOKUP('Données projet'!$B$11,Paramètres!$A$1:$I$89,3,0)*VLOOKUP('Données projet'!$B$11,Paramètres!$A$1:$I$89,5,0)</f>
        <v>-3.177547114319168E-13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326.31232746914907</v>
      </c>
      <c r="BJ157" s="59">
        <f t="shared" si="146"/>
        <v>330.17137761430297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0.39193550375799757</v>
      </c>
      <c r="BQ157" s="21">
        <f>EXP(-LN(2)/25)*BQ156+(1-EXP(-LN(2)/25))/(LN(2)/25)*Calculateur!BL157*Calculateur!BN157*VLOOKUP('Données projet'!$B$11,Paramètres!$A$1:$I$89,3,0)*0.475*44/12</f>
        <v>0.96941329080811844</v>
      </c>
      <c r="BR157" s="21">
        <f>EXP(-LN(2)/2)*BR156+(1-EXP(-LN(2)/2))/(LN(2)/2)*BL157*BO157*VLOOKUP('Données projet'!$B$11,Paramètres!$A$1:$I$89,3,0)*0.475*44/12</f>
        <v>7.0521037729982895E-18</v>
      </c>
      <c r="BS157" s="22">
        <f t="shared" si="169"/>
        <v>1.361348794566116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210.04871822652808</v>
      </c>
      <c r="CE157" s="59">
        <f t="shared" si="148"/>
        <v>250.17540614049324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0.62643391298318363</v>
      </c>
      <c r="CL157" s="21">
        <f>EXP(-LN(2)/25)*CL156+(1-EXP(-LN(2)/25))/(LN(2)/25)*Calculateur!CG157*Calculateur!CI157*VLOOKUP('Données projet'!$B$12,Paramètres!$A$1:$I$89,3,0)*0.475*44/12</f>
        <v>0.89416067004928301</v>
      </c>
      <c r="CM157" s="21">
        <f>EXP(-LN(2)/2)*CM156+(1-EXP(-LN(2)/2))/(LN(2)/2)*CG157*CJ157*VLOOKUP('Données projet'!$B$12,Paramètres!$A$1:$I$89,3,0)*0.475*44/12</f>
        <v>4.6737545989095123E-18</v>
      </c>
      <c r="CN157" s="22">
        <f t="shared" si="172"/>
        <v>1.5205945830324668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4.5224624045658861E-14</v>
      </c>
      <c r="CV157" s="13">
        <f t="shared" si="173"/>
        <v>7.4514601661523691E-13</v>
      </c>
      <c r="CW157" s="20">
        <f t="shared" si="174"/>
        <v>1.3765621991510601E-12</v>
      </c>
      <c r="CX157" s="59">
        <f t="shared" si="122"/>
        <v>293.33333333333468</v>
      </c>
      <c r="CY157" s="59">
        <f ca="1">AVERAGE(OFFSET($CX$3,0,0,'Données projet'!$E$13+1,1))-AVERAGE(OFFSET($H$3,0,0,'Données projet'!$E$13+1,1))</f>
        <v>199.58763537752952</v>
      </c>
      <c r="CZ157" s="59">
        <f t="shared" si="150"/>
        <v>242.62852778451929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0.33037719648066505</v>
      </c>
      <c r="DH157" s="21">
        <f>EXP(-LN(2)/2)*DH156+(1-EXP(-LN(2)/2))/(LN(2)/2)*DB157*DE157*VLOOKUP('Données projet'!$B$13,Paramètres!$A$1:$I$89,3,0)*0.475*44/12</f>
        <v>2.3335409978517954E-18</v>
      </c>
      <c r="DI157" s="22">
        <f t="shared" si="175"/>
        <v>0.33037719648066505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-4.5474735088646412E-13</v>
      </c>
      <c r="DP157" s="17">
        <f>DO157*VLOOKUP('Données projet'!$B$14,Paramètres!$A$1:$I$89,3,0)*VLOOKUP('Données projet'!$B$14,Paramètres!$A$1:$I$89,5,0)</f>
        <v>-2.7193891583010558E-13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216.94426559495264</v>
      </c>
      <c r="DU157" s="59">
        <f t="shared" si="152"/>
        <v>225.33715877618704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0.41282829750015876</v>
      </c>
      <c r="EC157" s="21">
        <f>EXP(-LN(2)/2)*EC156+(1-EXP(-LN(2)/2))/(LN(2)/2)*DW157*DZ157*VLOOKUP('Données projet'!$B$14,Paramètres!$A$1:$I$89,3,0)*0.475*44/12</f>
        <v>5.1454847053769769E-18</v>
      </c>
      <c r="ED157" s="22">
        <f t="shared" si="178"/>
        <v>0.41282829750015876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6.8212102632969618E-13</v>
      </c>
      <c r="EK157" s="17">
        <f>EJ157*VLOOKUP('Données projet'!$B$15,Paramètres!$A$1:$I$89,3,0)*VLOOKUP('Données projet'!$B$15,Paramètres!$A$1:$I$89,5,0)</f>
        <v>3.2810021366458383E-13</v>
      </c>
      <c r="EL157" s="13">
        <f t="shared" si="179"/>
        <v>4.2923528923937213E-12</v>
      </c>
      <c r="EM157" s="20">
        <f t="shared" si="180"/>
        <v>8.0472891597182151E-12</v>
      </c>
      <c r="EN157" s="59">
        <f t="shared" si="128"/>
        <v>293.33333333334139</v>
      </c>
      <c r="EO157" s="59">
        <f ca="1">AVERAGE(OFFSET($EN$3,0,0,'Données projet'!$E$15+1,1))-AVERAGE(OFFSET($H$3,0,0,'Données projet'!$E$15+1,1))</f>
        <v>292.1792787220852</v>
      </c>
      <c r="EP157" s="59">
        <f t="shared" si="154"/>
        <v>273.69206144662144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0.57813742082575048</v>
      </c>
      <c r="EW157" s="21">
        <f>EXP(-LN(2)/25)*EW156+(1-EXP(-LN(2)/25))/(LN(2)/25)*Calculateur!ER157*Calculateur!ET157*VLOOKUP('Données projet'!$B$15,Paramètres!$A$1:$I$89,3,0)*0.475*44/12</f>
        <v>0.43126598937348015</v>
      </c>
      <c r="EX157" s="21">
        <f>EXP(-LN(2)/2)*EX156+(1-EXP(-LN(2)/2))/(LN(2)/2)*ER157*EU157*VLOOKUP('Données projet'!$B$15,Paramètres!$A$1:$I$89,3,0)*0.475*44/12</f>
        <v>4.534737045121779E-18</v>
      </c>
      <c r="EY157" s="22">
        <f t="shared" si="181"/>
        <v>1.0094034101992306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215.23235148064941</v>
      </c>
      <c r="T158" s="59">
        <f t="shared" si="142"/>
        <v>184.07239726900434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0.2636771238570158</v>
      </c>
      <c r="AA158" s="21">
        <f>EXP(-LN(2)/25)*AA157+(1-EXP(-LN(2)/25))/(LN(2)/25)*Calculateur!V158*Calculateur!X158*VLOOKUP('Données projet'!$B$9,Paramètres!$A$1:$I$89,3,0)*0.475*44/12</f>
        <v>0.24548326106228838</v>
      </c>
      <c r="AB158" s="21">
        <f>EXP(-LN(2)/2)*AB157+(1-EXP(-LN(2)/2))/(LN(2)/2)*V158*Y158*VLOOKUP('Données projet'!$B$9,Paramètres!$A$1:$I$89,3,0)*0.475*44/12</f>
        <v>1.5075611468906953E-18</v>
      </c>
      <c r="AC158" s="22">
        <f t="shared" si="163"/>
        <v>0.50916038491930415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-8.5265128291212022E-14</v>
      </c>
      <c r="AJ158" s="13">
        <f>AI158*VLOOKUP('Données projet'!$B$10,Paramètres!$A$1:$I$89,3,0)*VLOOKUP('Données projet'!$B$10,Paramètres!$A$1:$I$89,5,0)</f>
        <v>-7.7147888077888636E-14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225.28075317732998</v>
      </c>
      <c r="AO158" s="59">
        <f t="shared" si="144"/>
        <v>358.43407531256207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0.18872246864707531</v>
      </c>
      <c r="AV158" s="21">
        <f>EXP(-LN(2)/25)*AV157+(1-EXP(-LN(2)/25))/(LN(2)/25)*Calculateur!AQ158*Calculateur!AS158*VLOOKUP('Données projet'!$B$10,Paramètres!$A$1:$I$89,3,0)*0.475*44/12</f>
        <v>0.25850177125191348</v>
      </c>
      <c r="AW158" s="21">
        <f>EXP(-LN(2)/2)*AW157+(1-EXP(-LN(2)/2))/(LN(2)/2)*AQ158*AT158*VLOOKUP('Données projet'!$B$10,Paramètres!$A$1:$I$89,3,0)*0.475*44/12</f>
        <v>6.7679895166841773E-19</v>
      </c>
      <c r="AX158" s="21">
        <f t="shared" si="166"/>
        <v>0.4472242398989888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-5.6843418860808015E-13</v>
      </c>
      <c r="BE158" s="13">
        <f>BD158*VLOOKUP('Données projet'!$B$11,Paramètres!$A$1:$I$89,3,0)*VLOOKUP('Données projet'!$B$11,Paramètres!$A$1:$I$89,5,0)</f>
        <v>-3.177547114319168E-13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326.31232746914907</v>
      </c>
      <c r="BJ158" s="59">
        <f t="shared" si="146"/>
        <v>330.17137761430297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0.38424988758635559</v>
      </c>
      <c r="BQ158" s="21">
        <f>EXP(-LN(2)/25)*BQ157+(1-EXP(-LN(2)/25))/(LN(2)/25)*Calculateur!BL158*Calculateur!BN158*VLOOKUP('Données projet'!$B$11,Paramètres!$A$1:$I$89,3,0)*0.475*44/12</f>
        <v>0.94290463339174113</v>
      </c>
      <c r="BR158" s="21">
        <f>EXP(-LN(2)/2)*BR157+(1-EXP(-LN(2)/2))/(LN(2)/2)*BL158*BO158*VLOOKUP('Données projet'!$B$11,Paramètres!$A$1:$I$89,3,0)*0.475*44/12</f>
        <v>4.9865903995183277E-18</v>
      </c>
      <c r="BS158" s="22">
        <f t="shared" si="169"/>
        <v>1.3271545209780968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210.04871822652808</v>
      </c>
      <c r="CE158" s="59">
        <f t="shared" si="148"/>
        <v>250.17540614049324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0.61414992603654239</v>
      </c>
      <c r="CL158" s="21">
        <f>EXP(-LN(2)/25)*CL157+(1-EXP(-LN(2)/25))/(LN(2)/25)*Calculateur!CG158*Calculateur!CI158*VLOOKUP('Données projet'!$B$12,Paramètres!$A$1:$I$89,3,0)*0.475*44/12</f>
        <v>0.86970979950491933</v>
      </c>
      <c r="CM158" s="21">
        <f>EXP(-LN(2)/2)*CM157+(1-EXP(-LN(2)/2))/(LN(2)/2)*CG158*CJ158*VLOOKUP('Données projet'!$B$12,Paramètres!$A$1:$I$89,3,0)*0.475*44/12</f>
        <v>3.3048435704907287E-18</v>
      </c>
      <c r="CN158" s="22">
        <f t="shared" si="172"/>
        <v>1.4838597255414618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4.5224624045658861E-14</v>
      </c>
      <c r="CV158" s="13">
        <f t="shared" si="173"/>
        <v>7.4514601661523691E-13</v>
      </c>
      <c r="CW158" s="20">
        <f t="shared" si="174"/>
        <v>1.3765621991510601E-12</v>
      </c>
      <c r="CX158" s="59">
        <f t="shared" si="122"/>
        <v>293.33333333333468</v>
      </c>
      <c r="CY158" s="59">
        <f ca="1">AVERAGE(OFFSET($CX$3,0,0,'Données projet'!$E$13+1,1))-AVERAGE(OFFSET($H$3,0,0,'Données projet'!$E$13+1,1))</f>
        <v>199.58763537752952</v>
      </c>
      <c r="CZ158" s="59">
        <f t="shared" si="150"/>
        <v>242.62852778451929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0.32134301466911958</v>
      </c>
      <c r="DH158" s="21">
        <f>EXP(-LN(2)/2)*DH157+(1-EXP(-LN(2)/2))/(LN(2)/2)*DB158*DE158*VLOOKUP('Données projet'!$B$13,Paramètres!$A$1:$I$89,3,0)*0.475*44/12</f>
        <v>1.6500626637578272E-18</v>
      </c>
      <c r="DI158" s="22">
        <f t="shared" si="175"/>
        <v>0.32134301466911958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-4.5474735088646412E-13</v>
      </c>
      <c r="DP158" s="17">
        <f>DO158*VLOOKUP('Données projet'!$B$14,Paramètres!$A$1:$I$89,3,0)*VLOOKUP('Données projet'!$B$14,Paramètres!$A$1:$I$89,5,0)</f>
        <v>-2.7193891583010558E-13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216.94426559495264</v>
      </c>
      <c r="DU158" s="59">
        <f t="shared" si="152"/>
        <v>225.33715877618704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0.4015394859953203</v>
      </c>
      <c r="EC158" s="21">
        <f>EXP(-LN(2)/2)*EC157+(1-EXP(-LN(2)/2))/(LN(2)/2)*DW158*DZ158*VLOOKUP('Données projet'!$B$14,Paramètres!$A$1:$I$89,3,0)*0.475*44/12</f>
        <v>3.6384071276637248E-18</v>
      </c>
      <c r="ED158" s="22">
        <f t="shared" si="178"/>
        <v>0.4015394859953203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6.8212102632969618E-13</v>
      </c>
      <c r="EK158" s="17">
        <f>EJ158*VLOOKUP('Données projet'!$B$15,Paramètres!$A$1:$I$89,3,0)*VLOOKUP('Données projet'!$B$15,Paramètres!$A$1:$I$89,5,0)</f>
        <v>3.2810021366458383E-13</v>
      </c>
      <c r="EL158" s="13">
        <f t="shared" si="179"/>
        <v>4.2923528923937213E-12</v>
      </c>
      <c r="EM158" s="20">
        <f t="shared" si="180"/>
        <v>8.0472891597182151E-12</v>
      </c>
      <c r="EN158" s="59">
        <f t="shared" si="128"/>
        <v>293.33333333334139</v>
      </c>
      <c r="EO158" s="59">
        <f ca="1">AVERAGE(OFFSET($EN$3,0,0,'Données projet'!$E$15+1,1))-AVERAGE(OFFSET($H$3,0,0,'Données projet'!$E$15+1,1))</f>
        <v>292.1792787220852</v>
      </c>
      <c r="EP158" s="59">
        <f t="shared" si="154"/>
        <v>273.69206144662144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0.56680049863236504</v>
      </c>
      <c r="EW158" s="21">
        <f>EXP(-LN(2)/25)*EW157+(1-EXP(-LN(2)/25))/(LN(2)/25)*Calculateur!ER158*Calculateur!ET158*VLOOKUP('Données projet'!$B$15,Paramètres!$A$1:$I$89,3,0)*0.475*44/12</f>
        <v>0.41947299821476963</v>
      </c>
      <c r="EX158" s="21">
        <f>EXP(-LN(2)/2)*EX157+(1-EXP(-LN(2)/2))/(LN(2)/2)*ER158*EU158*VLOOKUP('Données projet'!$B$15,Paramètres!$A$1:$I$89,3,0)*0.475*44/12</f>
        <v>3.2065433155034569E-18</v>
      </c>
      <c r="EY158" s="22">
        <f t="shared" si="181"/>
        <v>0.98627349684713472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215.23235148064941</v>
      </c>
      <c r="T159" s="59">
        <f t="shared" si="142"/>
        <v>184.07239726900434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0.2585065762853449</v>
      </c>
      <c r="AA159" s="21">
        <f>EXP(-LN(2)/25)*AA158+(1-EXP(-LN(2)/25))/(LN(2)/25)*Calculateur!V159*Calculateur!X159*VLOOKUP('Données projet'!$B$9,Paramètres!$A$1:$I$89,3,0)*0.475*44/12</f>
        <v>0.23877050837913646</v>
      </c>
      <c r="AB159" s="21">
        <f>EXP(-LN(2)/2)*AB158+(1-EXP(-LN(2)/2))/(LN(2)/2)*V159*Y159*VLOOKUP('Données projet'!$B$9,Paramètres!$A$1:$I$89,3,0)*0.475*44/12</f>
        <v>1.0660067100197795E-18</v>
      </c>
      <c r="AC159" s="22">
        <f t="shared" si="163"/>
        <v>0.49727708466448139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-8.5265128291212022E-14</v>
      </c>
      <c r="AJ159" s="13">
        <f>AI159*VLOOKUP('Données projet'!$B$10,Paramètres!$A$1:$I$89,3,0)*VLOOKUP('Données projet'!$B$10,Paramètres!$A$1:$I$89,5,0)</f>
        <v>-7.7147888077888636E-14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225.28075317732998</v>
      </c>
      <c r="AO159" s="59">
        <f t="shared" si="144"/>
        <v>358.43407531256207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0.18502173614624595</v>
      </c>
      <c r="AV159" s="21">
        <f>EXP(-LN(2)/25)*AV158+(1-EXP(-LN(2)/25))/(LN(2)/25)*Calculateur!AQ159*Calculateur!AS159*VLOOKUP('Données projet'!$B$10,Paramètres!$A$1:$I$89,3,0)*0.475*44/12</f>
        <v>0.2514330267230126</v>
      </c>
      <c r="AW159" s="21">
        <f>EXP(-LN(2)/2)*AW158+(1-EXP(-LN(2)/2))/(LN(2)/2)*AQ159*AT159*VLOOKUP('Données projet'!$B$10,Paramètres!$A$1:$I$89,3,0)*0.475*44/12</f>
        <v>4.7856912822468461E-19</v>
      </c>
      <c r="AX159" s="21">
        <f t="shared" si="166"/>
        <v>0.43645476286925855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-5.6843418860808015E-13</v>
      </c>
      <c r="BE159" s="13">
        <f>BD159*VLOOKUP('Données projet'!$B$11,Paramètres!$A$1:$I$89,3,0)*VLOOKUP('Données projet'!$B$11,Paramètres!$A$1:$I$89,5,0)</f>
        <v>-3.177547114319168E-13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326.31232746914907</v>
      </c>
      <c r="BJ159" s="59">
        <f t="shared" si="146"/>
        <v>330.17137761430297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0.37671498166007655</v>
      </c>
      <c r="BQ159" s="21">
        <f>EXP(-LN(2)/25)*BQ158+(1-EXP(-LN(2)/25))/(LN(2)/25)*Calculateur!BL159*Calculateur!BN159*VLOOKUP('Données projet'!$B$11,Paramètres!$A$1:$I$89,3,0)*0.475*44/12</f>
        <v>0.91712085660644438</v>
      </c>
      <c r="BR159" s="21">
        <f>EXP(-LN(2)/2)*BR158+(1-EXP(-LN(2)/2))/(LN(2)/2)*BL159*BO159*VLOOKUP('Données projet'!$B$11,Paramètres!$A$1:$I$89,3,0)*0.475*44/12</f>
        <v>3.5260518864991448E-18</v>
      </c>
      <c r="BS159" s="22">
        <f t="shared" si="169"/>
        <v>1.2938358382665209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210.04871822652808</v>
      </c>
      <c r="CE159" s="59">
        <f t="shared" si="148"/>
        <v>250.17540614049324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0.6021068205814325</v>
      </c>
      <c r="CL159" s="21">
        <f>EXP(-LN(2)/25)*CL158+(1-EXP(-LN(2)/25))/(LN(2)/25)*Calculateur!CG159*Calculateur!CI159*VLOOKUP('Données projet'!$B$12,Paramètres!$A$1:$I$89,3,0)*0.475*44/12</f>
        <v>0.84592753930140674</v>
      </c>
      <c r="CM159" s="21">
        <f>EXP(-LN(2)/2)*CM158+(1-EXP(-LN(2)/2))/(LN(2)/2)*CG159*CJ159*VLOOKUP('Données projet'!$B$12,Paramètres!$A$1:$I$89,3,0)*0.475*44/12</f>
        <v>2.3368772994547561E-18</v>
      </c>
      <c r="CN159" s="22">
        <f t="shared" si="172"/>
        <v>1.4480343598828394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4.5224624045658861E-14</v>
      </c>
      <c r="CV159" s="13">
        <f t="shared" si="173"/>
        <v>7.4514601661523691E-13</v>
      </c>
      <c r="CW159" s="20">
        <f t="shared" si="174"/>
        <v>1.3765621991510601E-12</v>
      </c>
      <c r="CX159" s="59">
        <f t="shared" si="122"/>
        <v>293.33333333333468</v>
      </c>
      <c r="CY159" s="59">
        <f ca="1">AVERAGE(OFFSET($CX$3,0,0,'Données projet'!$E$13+1,1))-AVERAGE(OFFSET($H$3,0,0,'Données projet'!$E$13+1,1))</f>
        <v>199.58763537752952</v>
      </c>
      <c r="CZ159" s="59">
        <f t="shared" si="150"/>
        <v>242.62852778451929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0.31255587303429777</v>
      </c>
      <c r="DH159" s="21">
        <f>EXP(-LN(2)/2)*DH158+(1-EXP(-LN(2)/2))/(LN(2)/2)*DB159*DE159*VLOOKUP('Données projet'!$B$13,Paramètres!$A$1:$I$89,3,0)*0.475*44/12</f>
        <v>1.1667704989258977E-18</v>
      </c>
      <c r="DI159" s="22">
        <f t="shared" si="175"/>
        <v>0.31255587303429777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-4.5474735088646412E-13</v>
      </c>
      <c r="DP159" s="17">
        <f>DO159*VLOOKUP('Données projet'!$B$14,Paramètres!$A$1:$I$89,3,0)*VLOOKUP('Données projet'!$B$14,Paramètres!$A$1:$I$89,5,0)</f>
        <v>-2.7193891583010558E-13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216.94426559495264</v>
      </c>
      <c r="DU159" s="59">
        <f t="shared" si="152"/>
        <v>225.33715877618704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0.39055936763473442</v>
      </c>
      <c r="EC159" s="21">
        <f>EXP(-LN(2)/2)*EC158+(1-EXP(-LN(2)/2))/(LN(2)/2)*DW159*DZ159*VLOOKUP('Données projet'!$B$14,Paramètres!$A$1:$I$89,3,0)*0.475*44/12</f>
        <v>2.5727423526884884E-18</v>
      </c>
      <c r="ED159" s="22">
        <f t="shared" si="178"/>
        <v>0.39055936763473442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6.8212102632969618E-13</v>
      </c>
      <c r="EK159" s="17">
        <f>EJ159*VLOOKUP('Données projet'!$B$15,Paramètres!$A$1:$I$89,3,0)*VLOOKUP('Données projet'!$B$15,Paramètres!$A$1:$I$89,5,0)</f>
        <v>3.2810021366458383E-13</v>
      </c>
      <c r="EL159" s="13">
        <f t="shared" si="179"/>
        <v>4.2923528923937213E-12</v>
      </c>
      <c r="EM159" s="20">
        <f t="shared" si="180"/>
        <v>8.0472891597182151E-12</v>
      </c>
      <c r="EN159" s="59">
        <f t="shared" si="128"/>
        <v>293.33333333334139</v>
      </c>
      <c r="EO159" s="59">
        <f ca="1">AVERAGE(OFFSET($EN$3,0,0,'Données projet'!$E$15+1,1))-AVERAGE(OFFSET($H$3,0,0,'Données projet'!$E$15+1,1))</f>
        <v>292.1792787220852</v>
      </c>
      <c r="EP159" s="59">
        <f t="shared" si="154"/>
        <v>273.69206144662144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0.55568588656835205</v>
      </c>
      <c r="EW159" s="21">
        <f>EXP(-LN(2)/25)*EW158+(1-EXP(-LN(2)/25))/(LN(2)/25)*Calculateur!ER159*Calculateur!ET159*VLOOKUP('Données projet'!$B$15,Paramètres!$A$1:$I$89,3,0)*0.475*44/12</f>
        <v>0.40800248701946051</v>
      </c>
      <c r="EX159" s="21">
        <f>EXP(-LN(2)/2)*EX158+(1-EXP(-LN(2)/2))/(LN(2)/2)*ER159*EU159*VLOOKUP('Données projet'!$B$15,Paramètres!$A$1:$I$89,3,0)*0.475*44/12</f>
        <v>2.2673685225608895E-18</v>
      </c>
      <c r="EY159" s="22">
        <f t="shared" si="181"/>
        <v>0.96368837358781256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215.23235148064941</v>
      </c>
      <c r="T160" s="59">
        <f t="shared" si="142"/>
        <v>184.07239726900434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0.25343741999783187</v>
      </c>
      <c r="AA160" s="21">
        <f>EXP(-LN(2)/25)*AA159+(1-EXP(-LN(2)/25))/(LN(2)/25)*Calculateur!V160*Calculateur!X160*VLOOKUP('Données projet'!$B$9,Paramètres!$A$1:$I$89,3,0)*0.475*44/12</f>
        <v>0.23224131627111366</v>
      </c>
      <c r="AB160" s="21">
        <f>EXP(-LN(2)/2)*AB159+(1-EXP(-LN(2)/2))/(LN(2)/2)*V160*Y160*VLOOKUP('Données projet'!$B$9,Paramètres!$A$1:$I$89,3,0)*0.475*44/12</f>
        <v>7.5378057344534765E-19</v>
      </c>
      <c r="AC160" s="22">
        <f t="shared" si="163"/>
        <v>0.48567873626894553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-8.5265128291212022E-14</v>
      </c>
      <c r="AJ160" s="13">
        <f>AI160*VLOOKUP('Données projet'!$B$10,Paramètres!$A$1:$I$89,3,0)*VLOOKUP('Données projet'!$B$10,Paramètres!$A$1:$I$89,5,0)</f>
        <v>-7.7147888077888636E-14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225.28075317732998</v>
      </c>
      <c r="AO160" s="59">
        <f t="shared" si="144"/>
        <v>358.43407531256207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0.1813935727525339</v>
      </c>
      <c r="AV160" s="21">
        <f>EXP(-LN(2)/25)*AV159+(1-EXP(-LN(2)/25))/(LN(2)/25)*Calculateur!AQ160*Calculateur!AS160*VLOOKUP('Données projet'!$B$10,Paramètres!$A$1:$I$89,3,0)*0.475*44/12</f>
        <v>0.2445575773849836</v>
      </c>
      <c r="AW160" s="21">
        <f>EXP(-LN(2)/2)*AW159+(1-EXP(-LN(2)/2))/(LN(2)/2)*AQ160*AT160*VLOOKUP('Données projet'!$B$10,Paramètres!$A$1:$I$89,3,0)*0.475*44/12</f>
        <v>3.3839947583420886E-19</v>
      </c>
      <c r="AX160" s="21">
        <f t="shared" si="166"/>
        <v>0.4259511501375175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-5.6843418860808015E-13</v>
      </c>
      <c r="BE160" s="13">
        <f>BD160*VLOOKUP('Données projet'!$B$11,Paramètres!$A$1:$I$89,3,0)*VLOOKUP('Données projet'!$B$11,Paramètres!$A$1:$I$89,5,0)</f>
        <v>-3.177547114319168E-13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326.31232746914907</v>
      </c>
      <c r="BJ160" s="59">
        <f t="shared" si="146"/>
        <v>330.17137761430297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0.36932783064317304</v>
      </c>
      <c r="BQ160" s="21">
        <f>EXP(-LN(2)/25)*BQ159+(1-EXP(-LN(2)/25))/(LN(2)/25)*Calculateur!BL160*Calculateur!BN160*VLOOKUP('Données projet'!$B$11,Paramètres!$A$1:$I$89,3,0)*0.475*44/12</f>
        <v>0.89204213855325143</v>
      </c>
      <c r="BR160" s="21">
        <f>EXP(-LN(2)/2)*BR159+(1-EXP(-LN(2)/2))/(LN(2)/2)*BL160*BO160*VLOOKUP('Données projet'!$B$11,Paramètres!$A$1:$I$89,3,0)*0.475*44/12</f>
        <v>2.4932951997591639E-18</v>
      </c>
      <c r="BS160" s="22">
        <f t="shared" si="169"/>
        <v>1.2613699691964244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210.04871822652808</v>
      </c>
      <c r="CE160" s="59">
        <f t="shared" si="148"/>
        <v>250.17540614049324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0.59029987307872833</v>
      </c>
      <c r="CL160" s="21">
        <f>EXP(-LN(2)/25)*CL159+(1-EXP(-LN(2)/25))/(LN(2)/25)*Calculateur!CG160*Calculateur!CI160*VLOOKUP('Données projet'!$B$12,Paramètres!$A$1:$I$89,3,0)*0.475*44/12</f>
        <v>0.82279560625381387</v>
      </c>
      <c r="CM160" s="21">
        <f>EXP(-LN(2)/2)*CM159+(1-EXP(-LN(2)/2))/(LN(2)/2)*CG160*CJ160*VLOOKUP('Données projet'!$B$12,Paramètres!$A$1:$I$89,3,0)*0.475*44/12</f>
        <v>1.6524217852453644E-18</v>
      </c>
      <c r="CN160" s="22">
        <f t="shared" si="172"/>
        <v>1.4130954793325423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4.5224624045658861E-14</v>
      </c>
      <c r="CV160" s="13">
        <f t="shared" si="173"/>
        <v>7.4514601661523691E-13</v>
      </c>
      <c r="CW160" s="20">
        <f t="shared" si="174"/>
        <v>1.3765621991510601E-12</v>
      </c>
      <c r="CX160" s="59">
        <f t="shared" si="122"/>
        <v>293.33333333333468</v>
      </c>
      <c r="CY160" s="59">
        <f ca="1">AVERAGE(OFFSET($CX$3,0,0,'Données projet'!$E$13+1,1))-AVERAGE(OFFSET($H$3,0,0,'Données projet'!$E$13+1,1))</f>
        <v>199.58763537752952</v>
      </c>
      <c r="CZ160" s="59">
        <f t="shared" si="150"/>
        <v>242.62852778451929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0.30400901624957588</v>
      </c>
      <c r="DH160" s="21">
        <f>EXP(-LN(2)/2)*DH159+(1-EXP(-LN(2)/2))/(LN(2)/2)*DB160*DE160*VLOOKUP('Données projet'!$B$13,Paramètres!$A$1:$I$89,3,0)*0.475*44/12</f>
        <v>8.2503133187891362E-19</v>
      </c>
      <c r="DI160" s="22">
        <f t="shared" si="175"/>
        <v>0.30400901624957588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-4.5474735088646412E-13</v>
      </c>
      <c r="DP160" s="17">
        <f>DO160*VLOOKUP('Données projet'!$B$14,Paramètres!$A$1:$I$89,3,0)*VLOOKUP('Données projet'!$B$14,Paramètres!$A$1:$I$89,5,0)</f>
        <v>-2.7193891583010558E-13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216.94426559495264</v>
      </c>
      <c r="DU160" s="59">
        <f t="shared" si="152"/>
        <v>225.33715877618704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0.37987950118813812</v>
      </c>
      <c r="EC160" s="21">
        <f>EXP(-LN(2)/2)*EC159+(1-EXP(-LN(2)/2))/(LN(2)/2)*DW160*DZ160*VLOOKUP('Données projet'!$B$14,Paramètres!$A$1:$I$89,3,0)*0.475*44/12</f>
        <v>1.8192035638318624E-18</v>
      </c>
      <c r="ED160" s="22">
        <f t="shared" si="178"/>
        <v>0.37987950118813812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6.8212102632969618E-13</v>
      </c>
      <c r="EK160" s="17">
        <f>EJ160*VLOOKUP('Données projet'!$B$15,Paramètres!$A$1:$I$89,3,0)*VLOOKUP('Données projet'!$B$15,Paramètres!$A$1:$I$89,5,0)</f>
        <v>3.2810021366458383E-13</v>
      </c>
      <c r="EL160" s="13">
        <f t="shared" si="179"/>
        <v>4.2923528923937213E-12</v>
      </c>
      <c r="EM160" s="20">
        <f t="shared" si="180"/>
        <v>8.0472891597182151E-12</v>
      </c>
      <c r="EN160" s="59">
        <f t="shared" si="128"/>
        <v>293.33333333334139</v>
      </c>
      <c r="EO160" s="59">
        <f ca="1">AVERAGE(OFFSET($EN$3,0,0,'Données projet'!$E$15+1,1))-AVERAGE(OFFSET($H$3,0,0,'Données projet'!$E$15+1,1))</f>
        <v>292.1792787220852</v>
      </c>
      <c r="EP160" s="59">
        <f t="shared" si="154"/>
        <v>273.69206144662144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0.54478922526767037</v>
      </c>
      <c r="EW160" s="21">
        <f>EXP(-LN(2)/25)*EW159+(1-EXP(-LN(2)/25))/(LN(2)/25)*Calculateur!ER160*Calculateur!ET160*VLOOKUP('Données projet'!$B$15,Paramètres!$A$1:$I$89,3,0)*0.475*44/12</f>
        <v>0.39684563755599506</v>
      </c>
      <c r="EX160" s="21">
        <f>EXP(-LN(2)/2)*EX159+(1-EXP(-LN(2)/2))/(LN(2)/2)*ER160*EU160*VLOOKUP('Données projet'!$B$15,Paramètres!$A$1:$I$89,3,0)*0.475*44/12</f>
        <v>1.6032716577517285E-18</v>
      </c>
      <c r="EY160" s="22">
        <f t="shared" si="181"/>
        <v>0.94163486282366549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215.23235148064941</v>
      </c>
      <c r="T161" s="59">
        <f t="shared" si="142"/>
        <v>184.07239726900434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0.24846766677323692</v>
      </c>
      <c r="AA161" s="21">
        <f>EXP(-LN(2)/25)*AA160+(1-EXP(-LN(2)/25))/(LN(2)/25)*Calculateur!V161*Calculateur!X161*VLOOKUP('Données projet'!$B$9,Paramètres!$A$1:$I$89,3,0)*0.475*44/12</f>
        <v>0.22589066526464002</v>
      </c>
      <c r="AB161" s="21">
        <f>EXP(-LN(2)/2)*AB160+(1-EXP(-LN(2)/2))/(LN(2)/2)*V161*Y161*VLOOKUP('Données projet'!$B$9,Paramètres!$A$1:$I$89,3,0)*0.475*44/12</f>
        <v>5.3300335500988974E-19</v>
      </c>
      <c r="AC161" s="22">
        <f t="shared" si="163"/>
        <v>0.47435833203787692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-8.5265128291212022E-14</v>
      </c>
      <c r="AJ161" s="13">
        <f>AI161*VLOOKUP('Données projet'!$B$10,Paramètres!$A$1:$I$89,3,0)*VLOOKUP('Données projet'!$B$10,Paramètres!$A$1:$I$89,5,0)</f>
        <v>-7.7147888077888636E-14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225.28075317732998</v>
      </c>
      <c r="AO161" s="59">
        <f t="shared" si="144"/>
        <v>358.43407531256207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0.17783655543001137</v>
      </c>
      <c r="AV161" s="21">
        <f>EXP(-LN(2)/25)*AV160+(1-EXP(-LN(2)/25))/(LN(2)/25)*Calculateur!AQ161*Calculateur!AS161*VLOOKUP('Données projet'!$B$10,Paramètres!$A$1:$I$89,3,0)*0.475*44/12</f>
        <v>0.23787013757066716</v>
      </c>
      <c r="AW161" s="21">
        <f>EXP(-LN(2)/2)*AW160+(1-EXP(-LN(2)/2))/(LN(2)/2)*AQ161*AT161*VLOOKUP('Données projet'!$B$10,Paramètres!$A$1:$I$89,3,0)*0.475*44/12</f>
        <v>2.392845641123423E-19</v>
      </c>
      <c r="AX161" s="21">
        <f t="shared" si="166"/>
        <v>0.41570669300067853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-5.6843418860808015E-13</v>
      </c>
      <c r="BE161" s="13">
        <f>BD161*VLOOKUP('Données projet'!$B$11,Paramètres!$A$1:$I$89,3,0)*VLOOKUP('Données projet'!$B$11,Paramètres!$A$1:$I$89,5,0)</f>
        <v>-3.177547114319168E-13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326.31232746914907</v>
      </c>
      <c r="BJ161" s="59">
        <f t="shared" si="146"/>
        <v>330.17137761430297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0.36208553715199376</v>
      </c>
      <c r="BQ161" s="21">
        <f>EXP(-LN(2)/25)*BQ160+(1-EXP(-LN(2)/25))/(LN(2)/25)*Calculateur!BL161*Calculateur!BN161*VLOOKUP('Données projet'!$B$11,Paramètres!$A$1:$I$89,3,0)*0.475*44/12</f>
        <v>0.86764919936405549</v>
      </c>
      <c r="BR161" s="21">
        <f>EXP(-LN(2)/2)*BR160+(1-EXP(-LN(2)/2))/(LN(2)/2)*BL161*BO161*VLOOKUP('Données projet'!$B$11,Paramètres!$A$1:$I$89,3,0)*0.475*44/12</f>
        <v>1.7630259432495724E-18</v>
      </c>
      <c r="BS161" s="22">
        <f t="shared" si="169"/>
        <v>1.2297347365160491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210.04871822652808</v>
      </c>
      <c r="CE161" s="59">
        <f t="shared" si="148"/>
        <v>250.17540614049324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0.57872445261502536</v>
      </c>
      <c r="CL161" s="21">
        <f>EXP(-LN(2)/25)*CL160+(1-EXP(-LN(2)/25))/(LN(2)/25)*Calculateur!CG161*Calculateur!CI161*VLOOKUP('Données projet'!$B$12,Paramètres!$A$1:$I$89,3,0)*0.475*44/12</f>
        <v>0.80029621713186294</v>
      </c>
      <c r="CM161" s="21">
        <f>EXP(-LN(2)/2)*CM160+(1-EXP(-LN(2)/2))/(LN(2)/2)*CG161*CJ161*VLOOKUP('Données projet'!$B$12,Paramètres!$A$1:$I$89,3,0)*0.475*44/12</f>
        <v>1.1684386497273781E-18</v>
      </c>
      <c r="CN161" s="22">
        <f t="shared" si="172"/>
        <v>1.3790206697468883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4.5224624045658861E-14</v>
      </c>
      <c r="CV161" s="13">
        <f t="shared" si="173"/>
        <v>7.4514601661523691E-13</v>
      </c>
      <c r="CW161" s="20">
        <f t="shared" si="174"/>
        <v>1.3765621991510601E-12</v>
      </c>
      <c r="CX161" s="59">
        <f t="shared" si="122"/>
        <v>293.33333333333468</v>
      </c>
      <c r="CY161" s="59">
        <f ca="1">AVERAGE(OFFSET($CX$3,0,0,'Données projet'!$E$13+1,1))-AVERAGE(OFFSET($H$3,0,0,'Données projet'!$E$13+1,1))</f>
        <v>199.58763537752952</v>
      </c>
      <c r="CZ161" s="59">
        <f t="shared" si="150"/>
        <v>242.62852778451929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0.29569587371309186</v>
      </c>
      <c r="DH161" s="21">
        <f>EXP(-LN(2)/2)*DH160+(1-EXP(-LN(2)/2))/(LN(2)/2)*DB161*DE161*VLOOKUP('Données projet'!$B$13,Paramètres!$A$1:$I$89,3,0)*0.475*44/12</f>
        <v>5.8338524946294884E-19</v>
      </c>
      <c r="DI161" s="22">
        <f t="shared" si="175"/>
        <v>0.29569587371309186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-4.5474735088646412E-13</v>
      </c>
      <c r="DP161" s="17">
        <f>DO161*VLOOKUP('Données projet'!$B$14,Paramètres!$A$1:$I$89,3,0)*VLOOKUP('Données projet'!$B$14,Paramètres!$A$1:$I$89,5,0)</f>
        <v>-2.7193891583010558E-13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216.94426559495264</v>
      </c>
      <c r="DU161" s="59">
        <f t="shared" si="152"/>
        <v>225.33715877618704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0.36949167625115376</v>
      </c>
      <c r="EC161" s="21">
        <f>EXP(-LN(2)/2)*EC160+(1-EXP(-LN(2)/2))/(LN(2)/2)*DW161*DZ161*VLOOKUP('Données projet'!$B$14,Paramètres!$A$1:$I$89,3,0)*0.475*44/12</f>
        <v>1.2863711763442442E-18</v>
      </c>
      <c r="ED161" s="22">
        <f t="shared" si="178"/>
        <v>0.36949167625115376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6.8212102632969618E-13</v>
      </c>
      <c r="EK161" s="17">
        <f>EJ161*VLOOKUP('Données projet'!$B$15,Paramètres!$A$1:$I$89,3,0)*VLOOKUP('Données projet'!$B$15,Paramètres!$A$1:$I$89,5,0)</f>
        <v>3.2810021366458383E-13</v>
      </c>
      <c r="EL161" s="13">
        <f t="shared" si="179"/>
        <v>4.2923528923937213E-12</v>
      </c>
      <c r="EM161" s="20">
        <f t="shared" si="180"/>
        <v>8.0472891597182151E-12</v>
      </c>
      <c r="EN161" s="59">
        <f t="shared" si="128"/>
        <v>293.33333333334139</v>
      </c>
      <c r="EO161" s="59">
        <f ca="1">AVERAGE(OFFSET($EN$3,0,0,'Données projet'!$E$15+1,1))-AVERAGE(OFFSET($H$3,0,0,'Données projet'!$E$15+1,1))</f>
        <v>292.1792787220852</v>
      </c>
      <c r="EP161" s="59">
        <f t="shared" si="154"/>
        <v>273.69206144662144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0.53410624084878799</v>
      </c>
      <c r="EW161" s="21">
        <f>EXP(-LN(2)/25)*EW160+(1-EXP(-LN(2)/25))/(LN(2)/25)*Calculateur!ER161*Calculateur!ET161*VLOOKUP('Données projet'!$B$15,Paramètres!$A$1:$I$89,3,0)*0.475*44/12</f>
        <v>0.38599387272782132</v>
      </c>
      <c r="EX161" s="21">
        <f>EXP(-LN(2)/2)*EX160+(1-EXP(-LN(2)/2))/(LN(2)/2)*ER161*EU161*VLOOKUP('Données projet'!$B$15,Paramètres!$A$1:$I$89,3,0)*0.475*44/12</f>
        <v>1.1336842612804448E-18</v>
      </c>
      <c r="EY161" s="22">
        <f t="shared" si="181"/>
        <v>0.92010011357660937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215.23235148064941</v>
      </c>
      <c r="T162" s="59">
        <f t="shared" si="142"/>
        <v>184.07239726900434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0.24359536737812612</v>
      </c>
      <c r="AA162" s="21">
        <f>EXP(-LN(2)/25)*AA161+(1-EXP(-LN(2)/25))/(LN(2)/25)*Calculateur!V162*Calculateur!X162*VLOOKUP('Données projet'!$B$9,Paramètres!$A$1:$I$89,3,0)*0.475*44/12</f>
        <v>0.21971367314390464</v>
      </c>
      <c r="AB162" s="21">
        <f>EXP(-LN(2)/2)*AB161+(1-EXP(-LN(2)/2))/(LN(2)/2)*V162*Y162*VLOOKUP('Données projet'!$B$9,Paramètres!$A$1:$I$89,3,0)*0.475*44/12</f>
        <v>3.7689028672267382E-19</v>
      </c>
      <c r="AC162" s="22">
        <f t="shared" si="163"/>
        <v>0.46330904052203076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-8.5265128291212022E-14</v>
      </c>
      <c r="AJ162" s="13">
        <f>AI162*VLOOKUP('Données projet'!$B$10,Paramètres!$A$1:$I$89,3,0)*VLOOKUP('Données projet'!$B$10,Paramètres!$A$1:$I$89,5,0)</f>
        <v>-7.7147888077888636E-14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225.28075317732998</v>
      </c>
      <c r="AO162" s="59">
        <f t="shared" si="144"/>
        <v>358.43407531256207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0.17434928904761718</v>
      </c>
      <c r="AV162" s="21">
        <f>EXP(-LN(2)/25)*AV161+(1-EXP(-LN(2)/25))/(LN(2)/25)*Calculateur!AQ162*Calculateur!AS162*VLOOKUP('Données projet'!$B$10,Paramètres!$A$1:$I$89,3,0)*0.475*44/12</f>
        <v>0.2313655661497504</v>
      </c>
      <c r="AW162" s="21">
        <f>EXP(-LN(2)/2)*AW161+(1-EXP(-LN(2)/2))/(LN(2)/2)*AQ162*AT162*VLOOKUP('Données projet'!$B$10,Paramètres!$A$1:$I$89,3,0)*0.475*44/12</f>
        <v>1.6919973791710443E-19</v>
      </c>
      <c r="AX162" s="21">
        <f t="shared" si="166"/>
        <v>0.40571485519736761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-5.6843418860808015E-13</v>
      </c>
      <c r="BE162" s="13">
        <f>BD162*VLOOKUP('Données projet'!$B$11,Paramètres!$A$1:$I$89,3,0)*VLOOKUP('Données projet'!$B$11,Paramètres!$A$1:$I$89,5,0)</f>
        <v>-3.177547114319168E-13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326.31232746914907</v>
      </c>
      <c r="BJ162" s="59">
        <f t="shared" si="146"/>
        <v>330.17137761430297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0.35498526061881369</v>
      </c>
      <c r="BQ162" s="21">
        <f>EXP(-LN(2)/25)*BQ161+(1-EXP(-LN(2)/25))/(LN(2)/25)*Calculateur!BL162*Calculateur!BN162*VLOOKUP('Données projet'!$B$11,Paramètres!$A$1:$I$89,3,0)*0.475*44/12</f>
        <v>0.843923286379757</v>
      </c>
      <c r="BR162" s="21">
        <f>EXP(-LN(2)/2)*BR161+(1-EXP(-LN(2)/2))/(LN(2)/2)*BL162*BO162*VLOOKUP('Données projet'!$B$11,Paramètres!$A$1:$I$89,3,0)*0.475*44/12</f>
        <v>1.2466475998795819E-18</v>
      </c>
      <c r="BS162" s="22">
        <f t="shared" si="169"/>
        <v>1.1989085469985707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210.04871822652808</v>
      </c>
      <c r="CE162" s="59">
        <f t="shared" si="148"/>
        <v>250.17540614049324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0.56737601908630619</v>
      </c>
      <c r="CL162" s="21">
        <f>EXP(-LN(2)/25)*CL161+(1-EXP(-LN(2)/25))/(LN(2)/25)*Calculateur!CG162*Calculateur!CI162*VLOOKUP('Données projet'!$B$12,Paramètres!$A$1:$I$89,3,0)*0.475*44/12</f>
        <v>0.77841207498864318</v>
      </c>
      <c r="CM162" s="21">
        <f>EXP(-LN(2)/2)*CM161+(1-EXP(-LN(2)/2))/(LN(2)/2)*CG162*CJ162*VLOOKUP('Données projet'!$B$12,Paramètres!$A$1:$I$89,3,0)*0.475*44/12</f>
        <v>8.2621089262268218E-19</v>
      </c>
      <c r="CN162" s="22">
        <f t="shared" si="172"/>
        <v>1.3457880940749494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4.5224624045658861E-14</v>
      </c>
      <c r="CV162" s="13">
        <f t="shared" si="173"/>
        <v>7.4514601661523691E-13</v>
      </c>
      <c r="CW162" s="20">
        <f t="shared" si="174"/>
        <v>1.3765621991510601E-12</v>
      </c>
      <c r="CX162" s="59">
        <f t="shared" si="122"/>
        <v>293.33333333333468</v>
      </c>
      <c r="CY162" s="59">
        <f ca="1">AVERAGE(OFFSET($CX$3,0,0,'Données projet'!$E$13+1,1))-AVERAGE(OFFSET($H$3,0,0,'Données projet'!$E$13+1,1))</f>
        <v>199.58763537752952</v>
      </c>
      <c r="CZ162" s="59">
        <f t="shared" si="150"/>
        <v>242.62852778451929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0.28761005449643717</v>
      </c>
      <c r="DH162" s="21">
        <f>EXP(-LN(2)/2)*DH161+(1-EXP(-LN(2)/2))/(LN(2)/2)*DB162*DE162*VLOOKUP('Données projet'!$B$13,Paramètres!$A$1:$I$89,3,0)*0.475*44/12</f>
        <v>4.1251566593945681E-19</v>
      </c>
      <c r="DI162" s="22">
        <f t="shared" si="175"/>
        <v>0.28761005449643717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-4.5474735088646412E-13</v>
      </c>
      <c r="DP162" s="17">
        <f>DO162*VLOOKUP('Données projet'!$B$14,Paramètres!$A$1:$I$89,3,0)*VLOOKUP('Données projet'!$B$14,Paramètres!$A$1:$I$89,5,0)</f>
        <v>-2.7193891583010558E-13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216.94426559495264</v>
      </c>
      <c r="DU162" s="59">
        <f t="shared" si="152"/>
        <v>225.33715877618704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0.35938790693334316</v>
      </c>
      <c r="EC162" s="21">
        <f>EXP(-LN(2)/2)*EC161+(1-EXP(-LN(2)/2))/(LN(2)/2)*DW162*DZ162*VLOOKUP('Données projet'!$B$14,Paramètres!$A$1:$I$89,3,0)*0.475*44/12</f>
        <v>9.0960178191593121E-19</v>
      </c>
      <c r="ED162" s="22">
        <f t="shared" si="178"/>
        <v>0.35938790693334316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6.8212102632969618E-13</v>
      </c>
      <c r="EK162" s="17">
        <f>EJ162*VLOOKUP('Données projet'!$B$15,Paramètres!$A$1:$I$89,3,0)*VLOOKUP('Données projet'!$B$15,Paramètres!$A$1:$I$89,5,0)</f>
        <v>3.2810021366458383E-13</v>
      </c>
      <c r="EL162" s="13">
        <f t="shared" si="179"/>
        <v>4.2923528923937213E-12</v>
      </c>
      <c r="EM162" s="20">
        <f t="shared" si="180"/>
        <v>8.0472891597182151E-12</v>
      </c>
      <c r="EN162" s="59">
        <f t="shared" si="128"/>
        <v>293.33333333334139</v>
      </c>
      <c r="EO162" s="59">
        <f ca="1">AVERAGE(OFFSET($EN$3,0,0,'Données projet'!$E$15+1,1))-AVERAGE(OFFSET($H$3,0,0,'Données projet'!$E$15+1,1))</f>
        <v>292.1792787220852</v>
      </c>
      <c r="EP162" s="59">
        <f t="shared" si="154"/>
        <v>273.69206144662144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0.52363274323838283</v>
      </c>
      <c r="EW162" s="21">
        <f>EXP(-LN(2)/25)*EW161+(1-EXP(-LN(2)/25))/(LN(2)/25)*Calculateur!ER162*Calculateur!ET162*VLOOKUP('Données projet'!$B$15,Paramètres!$A$1:$I$89,3,0)*0.475*44/12</f>
        <v>0.37543884997954347</v>
      </c>
      <c r="EX162" s="21">
        <f>EXP(-LN(2)/2)*EX161+(1-EXP(-LN(2)/2))/(LN(2)/2)*ER162*EU162*VLOOKUP('Données projet'!$B$15,Paramètres!$A$1:$I$89,3,0)*0.475*44/12</f>
        <v>8.0163582887586423E-19</v>
      </c>
      <c r="EY162" s="22">
        <f t="shared" si="181"/>
        <v>0.89907159321792629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215.23235148064941</v>
      </c>
      <c r="T163" s="59">
        <f t="shared" si="142"/>
        <v>184.07239726900434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0.23881861080234426</v>
      </c>
      <c r="AA163" s="21">
        <f>EXP(-LN(2)/25)*AA162+(1-EXP(-LN(2)/25))/(LN(2)/25)*Calculateur!V163*Calculateur!X163*VLOOKUP('Données projet'!$B$9,Paramètres!$A$1:$I$89,3,0)*0.475*44/12</f>
        <v>0.21370559119754465</v>
      </c>
      <c r="AB163" s="21">
        <f>EXP(-LN(2)/2)*AB162+(1-EXP(-LN(2)/2))/(LN(2)/2)*V163*Y163*VLOOKUP('Données projet'!$B$9,Paramètres!$A$1:$I$89,3,0)*0.475*44/12</f>
        <v>2.6650167750494487E-19</v>
      </c>
      <c r="AC163" s="22">
        <f t="shared" si="163"/>
        <v>0.45252420199988891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-8.5265128291212022E-14</v>
      </c>
      <c r="AJ163" s="13">
        <f>AI163*VLOOKUP('Données projet'!$B$10,Paramètres!$A$1:$I$89,3,0)*VLOOKUP('Données projet'!$B$10,Paramètres!$A$1:$I$89,5,0)</f>
        <v>-7.7147888077888636E-14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225.28075317732998</v>
      </c>
      <c r="AO163" s="59">
        <f t="shared" si="144"/>
        <v>358.43407531256207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0.17093040583195926</v>
      </c>
      <c r="AV163" s="21">
        <f>EXP(-LN(2)/25)*AV162+(1-EXP(-LN(2)/25))/(LN(2)/25)*Calculateur!AQ163*Calculateur!AS163*VLOOKUP('Données projet'!$B$10,Paramètres!$A$1:$I$89,3,0)*0.475*44/12</f>
        <v>0.22503886257639916</v>
      </c>
      <c r="AW163" s="21">
        <f>EXP(-LN(2)/2)*AW162+(1-EXP(-LN(2)/2))/(LN(2)/2)*AQ163*AT163*VLOOKUP('Données projet'!$B$10,Paramètres!$A$1:$I$89,3,0)*0.475*44/12</f>
        <v>1.1964228205617115E-19</v>
      </c>
      <c r="AX163" s="21">
        <f t="shared" si="166"/>
        <v>0.39596926840835844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-5.6843418860808015E-13</v>
      </c>
      <c r="BE163" s="13">
        <f>BD163*VLOOKUP('Données projet'!$B$11,Paramètres!$A$1:$I$89,3,0)*VLOOKUP('Données projet'!$B$11,Paramètres!$A$1:$I$89,5,0)</f>
        <v>-3.177547114319168E-13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326.31232746914907</v>
      </c>
      <c r="BJ163" s="59">
        <f t="shared" si="146"/>
        <v>330.17137761430297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0.34802421617770818</v>
      </c>
      <c r="BQ163" s="21">
        <f>EXP(-LN(2)/25)*BQ162+(1-EXP(-LN(2)/25))/(LN(2)/25)*Calculateur!BL163*Calculateur!BN163*VLOOKUP('Données projet'!$B$11,Paramètres!$A$1:$I$89,3,0)*0.475*44/12</f>
        <v>0.82084615973370567</v>
      </c>
      <c r="BR163" s="21">
        <f>EXP(-LN(2)/2)*BR162+(1-EXP(-LN(2)/2))/(LN(2)/2)*BL163*BO163*VLOOKUP('Données projet'!$B$11,Paramètres!$A$1:$I$89,3,0)*0.475*44/12</f>
        <v>8.8151297162478619E-19</v>
      </c>
      <c r="BS163" s="22">
        <f t="shared" si="169"/>
        <v>1.1688703759114139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210.04871822652808</v>
      </c>
      <c r="CE163" s="59">
        <f t="shared" si="148"/>
        <v>250.17540614049324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0.5562501214172243</v>
      </c>
      <c r="CL163" s="21">
        <f>EXP(-LN(2)/25)*CL162+(1-EXP(-LN(2)/25))/(LN(2)/25)*Calculateur!CG163*Calculateur!CI163*VLOOKUP('Données projet'!$B$12,Paramètres!$A$1:$I$89,3,0)*0.475*44/12</f>
        <v>0.75712635586316679</v>
      </c>
      <c r="CM163" s="21">
        <f>EXP(-LN(2)/2)*CM162+(1-EXP(-LN(2)/2))/(LN(2)/2)*CG163*CJ163*VLOOKUP('Données projet'!$B$12,Paramètres!$A$1:$I$89,3,0)*0.475*44/12</f>
        <v>5.8421932486368904E-19</v>
      </c>
      <c r="CN163" s="22">
        <f t="shared" si="172"/>
        <v>1.3133764772803911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4.5224624045658861E-14</v>
      </c>
      <c r="CV163" s="13">
        <f t="shared" si="173"/>
        <v>7.4514601661523691E-13</v>
      </c>
      <c r="CW163" s="20">
        <f t="shared" si="174"/>
        <v>1.3765621991510601E-12</v>
      </c>
      <c r="CX163" s="59">
        <f t="shared" si="122"/>
        <v>293.33333333333468</v>
      </c>
      <c r="CY163" s="59">
        <f ca="1">AVERAGE(OFFSET($CX$3,0,0,'Données projet'!$E$13+1,1))-AVERAGE(OFFSET($H$3,0,0,'Données projet'!$E$13+1,1))</f>
        <v>199.58763537752952</v>
      </c>
      <c r="CZ163" s="59">
        <f t="shared" si="150"/>
        <v>242.62852778451929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0.2797453424314767</v>
      </c>
      <c r="DH163" s="21">
        <f>EXP(-LN(2)/2)*DH162+(1-EXP(-LN(2)/2))/(LN(2)/2)*DB163*DE163*VLOOKUP('Données projet'!$B$13,Paramètres!$A$1:$I$89,3,0)*0.475*44/12</f>
        <v>2.9169262473147442E-19</v>
      </c>
      <c r="DI163" s="22">
        <f t="shared" si="175"/>
        <v>0.2797453424314767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-4.5474735088646412E-13</v>
      </c>
      <c r="DP163" s="17">
        <f>DO163*VLOOKUP('Données projet'!$B$14,Paramètres!$A$1:$I$89,3,0)*VLOOKUP('Données projet'!$B$14,Paramètres!$A$1:$I$89,5,0)</f>
        <v>-2.7193891583010558E-13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216.94426559495264</v>
      </c>
      <c r="DU163" s="59">
        <f t="shared" si="152"/>
        <v>225.33715877618704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0.34956042571886226</v>
      </c>
      <c r="EC163" s="21">
        <f>EXP(-LN(2)/2)*EC162+(1-EXP(-LN(2)/2))/(LN(2)/2)*DW163*DZ163*VLOOKUP('Données projet'!$B$14,Paramètres!$A$1:$I$89,3,0)*0.475*44/12</f>
        <v>6.4318558817212211E-19</v>
      </c>
      <c r="ED163" s="22">
        <f t="shared" si="178"/>
        <v>0.34956042571886226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6.8212102632969618E-13</v>
      </c>
      <c r="EK163" s="17">
        <f>EJ163*VLOOKUP('Données projet'!$B$15,Paramètres!$A$1:$I$89,3,0)*VLOOKUP('Données projet'!$B$15,Paramètres!$A$1:$I$89,5,0)</f>
        <v>3.2810021366458383E-13</v>
      </c>
      <c r="EL163" s="13">
        <f t="shared" si="179"/>
        <v>4.2923528923937213E-12</v>
      </c>
      <c r="EM163" s="20">
        <f t="shared" si="180"/>
        <v>8.0472891597182151E-12</v>
      </c>
      <c r="EN163" s="59">
        <f t="shared" si="128"/>
        <v>293.33333333334139</v>
      </c>
      <c r="EO163" s="59">
        <f ca="1">AVERAGE(OFFSET($EN$3,0,0,'Données projet'!$E$15+1,1))-AVERAGE(OFFSET($H$3,0,0,'Données projet'!$E$15+1,1))</f>
        <v>292.1792787220852</v>
      </c>
      <c r="EP163" s="59">
        <f t="shared" si="154"/>
        <v>273.69206144662144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0.51336462452791487</v>
      </c>
      <c r="EW163" s="21">
        <f>EXP(-LN(2)/25)*EW162+(1-EXP(-LN(2)/25))/(LN(2)/25)*Calculateur!ER163*Calculateur!ET163*VLOOKUP('Données projet'!$B$15,Paramètres!$A$1:$I$89,3,0)*0.475*44/12</f>
        <v>0.36517245488338179</v>
      </c>
      <c r="EX163" s="21">
        <f>EXP(-LN(2)/2)*EX162+(1-EXP(-LN(2)/2))/(LN(2)/2)*ER163*EU163*VLOOKUP('Données projet'!$B$15,Paramètres!$A$1:$I$89,3,0)*0.475*44/12</f>
        <v>5.6684213064022238E-19</v>
      </c>
      <c r="EY163" s="22">
        <f t="shared" si="181"/>
        <v>0.87853707941129666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215.23235148064941</v>
      </c>
      <c r="T164" s="59">
        <f t="shared" si="142"/>
        <v>184.07239726900434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0.23413552350947966</v>
      </c>
      <c r="AA164" s="21">
        <f>EXP(-LN(2)/25)*AA163+(1-EXP(-LN(2)/25))/(LN(2)/25)*Calculateur!V164*Calculateur!X164*VLOOKUP('Données projet'!$B$9,Paramètres!$A$1:$I$89,3,0)*0.475*44/12</f>
        <v>0.20786180056795917</v>
      </c>
      <c r="AB164" s="21">
        <f>EXP(-LN(2)/2)*AB163+(1-EXP(-LN(2)/2))/(LN(2)/2)*V164*Y164*VLOOKUP('Données projet'!$B$9,Paramètres!$A$1:$I$89,3,0)*0.475*44/12</f>
        <v>1.8844514336133691E-19</v>
      </c>
      <c r="AC164" s="22">
        <f t="shared" si="163"/>
        <v>0.44199732407743886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-8.5265128291212022E-14</v>
      </c>
      <c r="AJ164" s="13">
        <f>AI164*VLOOKUP('Données projet'!$B$10,Paramètres!$A$1:$I$89,3,0)*VLOOKUP('Données projet'!$B$10,Paramètres!$A$1:$I$89,5,0)</f>
        <v>-7.7147888077888636E-14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225.28075317732998</v>
      </c>
      <c r="AO164" s="59">
        <f t="shared" si="144"/>
        <v>358.43407531256207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0.16757856483084754</v>
      </c>
      <c r="AV164" s="21">
        <f>EXP(-LN(2)/25)*AV163+(1-EXP(-LN(2)/25))/(LN(2)/25)*Calculateur!AQ164*Calculateur!AS164*VLOOKUP('Données projet'!$B$10,Paramètres!$A$1:$I$89,3,0)*0.475*44/12</f>
        <v>0.21888516304496808</v>
      </c>
      <c r="AW164" s="21">
        <f>EXP(-LN(2)/2)*AW163+(1-EXP(-LN(2)/2))/(LN(2)/2)*AQ164*AT164*VLOOKUP('Données projet'!$B$10,Paramètres!$A$1:$I$89,3,0)*0.475*44/12</f>
        <v>8.4599868958552216E-20</v>
      </c>
      <c r="AX164" s="21">
        <f t="shared" si="166"/>
        <v>0.38646372787581562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-5.6843418860808015E-13</v>
      </c>
      <c r="BE164" s="13">
        <f>BD164*VLOOKUP('Données projet'!$B$11,Paramètres!$A$1:$I$89,3,0)*VLOOKUP('Données projet'!$B$11,Paramètres!$A$1:$I$89,5,0)</f>
        <v>-3.177547114319168E-13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326.31232746914907</v>
      </c>
      <c r="BJ164" s="59">
        <f t="shared" si="146"/>
        <v>330.17137761430297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0.34119967357227488</v>
      </c>
      <c r="BQ164" s="21">
        <f>EXP(-LN(2)/25)*BQ163+(1-EXP(-LN(2)/25))/(LN(2)/25)*Calculateur!BL164*Calculateur!BN164*VLOOKUP('Données projet'!$B$11,Paramètres!$A$1:$I$89,3,0)*0.475*44/12</f>
        <v>0.79840007832936399</v>
      </c>
      <c r="BR164" s="21">
        <f>EXP(-LN(2)/2)*BR163+(1-EXP(-LN(2)/2))/(LN(2)/2)*BL164*BO164*VLOOKUP('Données projet'!$B$11,Paramètres!$A$1:$I$89,3,0)*0.475*44/12</f>
        <v>6.2332379993979096E-19</v>
      </c>
      <c r="BS164" s="22">
        <f t="shared" si="169"/>
        <v>1.1395997519016388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210.04871822652808</v>
      </c>
      <c r="CE164" s="59">
        <f t="shared" si="148"/>
        <v>250.17540614049324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0.54534239581530553</v>
      </c>
      <c r="CL164" s="21">
        <f>EXP(-LN(2)/25)*CL163+(1-EXP(-LN(2)/25))/(LN(2)/25)*Calculateur!CG164*Calculateur!CI164*VLOOKUP('Données projet'!$B$12,Paramètres!$A$1:$I$89,3,0)*0.475*44/12</f>
        <v>0.73642269584654385</v>
      </c>
      <c r="CM164" s="21">
        <f>EXP(-LN(2)/2)*CM163+(1-EXP(-LN(2)/2))/(LN(2)/2)*CG164*CJ164*VLOOKUP('Données projet'!$B$12,Paramètres!$A$1:$I$89,3,0)*0.475*44/12</f>
        <v>4.1310544631134109E-19</v>
      </c>
      <c r="CN164" s="22">
        <f t="shared" si="172"/>
        <v>1.2817650916618493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4.5224624045658861E-14</v>
      </c>
      <c r="CV164" s="13">
        <f t="shared" si="173"/>
        <v>7.4514601661523691E-13</v>
      </c>
      <c r="CW164" s="20">
        <f t="shared" si="174"/>
        <v>1.3765621991510601E-12</v>
      </c>
      <c r="CX164" s="59">
        <f t="shared" si="122"/>
        <v>293.33333333333468</v>
      </c>
      <c r="CY164" s="59">
        <f ca="1">AVERAGE(OFFSET($CX$3,0,0,'Données projet'!$E$13+1,1))-AVERAGE(OFFSET($H$3,0,0,'Données projet'!$E$13+1,1))</f>
        <v>199.58763537752952</v>
      </c>
      <c r="CZ164" s="59">
        <f t="shared" si="150"/>
        <v>242.62852778451929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0.27209569133151978</v>
      </c>
      <c r="DH164" s="21">
        <f>EXP(-LN(2)/2)*DH163+(1-EXP(-LN(2)/2))/(LN(2)/2)*DB164*DE164*VLOOKUP('Données projet'!$B$13,Paramètres!$A$1:$I$89,3,0)*0.475*44/12</f>
        <v>2.0625783296972841E-19</v>
      </c>
      <c r="DI164" s="22">
        <f t="shared" si="175"/>
        <v>0.27209569133151978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-4.5474735088646412E-13</v>
      </c>
      <c r="DP164" s="17">
        <f>DO164*VLOOKUP('Données projet'!$B$14,Paramètres!$A$1:$I$89,3,0)*VLOOKUP('Données projet'!$B$14,Paramètres!$A$1:$I$89,5,0)</f>
        <v>-2.7193891583010558E-13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216.94426559495264</v>
      </c>
      <c r="DU164" s="59">
        <f t="shared" si="152"/>
        <v>225.33715877618704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0.3400016774949961</v>
      </c>
      <c r="EC164" s="21">
        <f>EXP(-LN(2)/2)*EC163+(1-EXP(-LN(2)/2))/(LN(2)/2)*DW164*DZ164*VLOOKUP('Données projet'!$B$14,Paramètres!$A$1:$I$89,3,0)*0.475*44/12</f>
        <v>4.548008909579656E-19</v>
      </c>
      <c r="ED164" s="22">
        <f t="shared" si="178"/>
        <v>0.3400016774949961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6.8212102632969618E-13</v>
      </c>
      <c r="EK164" s="17">
        <f>EJ164*VLOOKUP('Données projet'!$B$15,Paramètres!$A$1:$I$89,3,0)*VLOOKUP('Données projet'!$B$15,Paramètres!$A$1:$I$89,5,0)</f>
        <v>3.2810021366458383E-13</v>
      </c>
      <c r="EL164" s="13">
        <f t="shared" si="179"/>
        <v>4.2923528923937213E-12</v>
      </c>
      <c r="EM164" s="20">
        <f t="shared" si="180"/>
        <v>8.0472891597182151E-12</v>
      </c>
      <c r="EN164" s="59">
        <f t="shared" si="128"/>
        <v>293.33333333334139</v>
      </c>
      <c r="EO164" s="59">
        <f ca="1">AVERAGE(OFFSET($EN$3,0,0,'Données projet'!$E$15+1,1))-AVERAGE(OFFSET($H$3,0,0,'Données projet'!$E$15+1,1))</f>
        <v>292.1792787220852</v>
      </c>
      <c r="EP164" s="59">
        <f t="shared" si="154"/>
        <v>273.69206144662144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0.50329785736242527</v>
      </c>
      <c r="EW164" s="21">
        <f>EXP(-LN(2)/25)*EW163+(1-EXP(-LN(2)/25))/(LN(2)/25)*Calculateur!ER164*Calculateur!ET164*VLOOKUP('Données projet'!$B$15,Paramètres!$A$1:$I$89,3,0)*0.475*44/12</f>
        <v>0.3551867949010109</v>
      </c>
      <c r="EX164" s="21">
        <f>EXP(-LN(2)/2)*EX163+(1-EXP(-LN(2)/2))/(LN(2)/2)*ER164*EU164*VLOOKUP('Données projet'!$B$15,Paramètres!$A$1:$I$89,3,0)*0.475*44/12</f>
        <v>4.0081791443793211E-19</v>
      </c>
      <c r="EY164" s="22">
        <f t="shared" si="181"/>
        <v>0.85848465226343618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215.23235148064941</v>
      </c>
      <c r="T165" s="59">
        <f t="shared" si="142"/>
        <v>184.07239726900434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0.22954426870202693</v>
      </c>
      <c r="AA165" s="21">
        <f>EXP(-LN(2)/25)*AA164+(1-EXP(-LN(2)/25))/(LN(2)/25)*Calculateur!V165*Calculateur!X165*VLOOKUP('Données projet'!$B$9,Paramètres!$A$1:$I$89,3,0)*0.475*44/12</f>
        <v>0.20217780870045129</v>
      </c>
      <c r="AB165" s="21">
        <f>EXP(-LN(2)/2)*AB164+(1-EXP(-LN(2)/2))/(LN(2)/2)*V165*Y165*VLOOKUP('Données projet'!$B$9,Paramètres!$A$1:$I$89,3,0)*0.475*44/12</f>
        <v>1.3325083875247244E-19</v>
      </c>
      <c r="AC165" s="22">
        <f t="shared" si="163"/>
        <v>0.43172207740247825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-8.5265128291212022E-14</v>
      </c>
      <c r="AJ165" s="13">
        <f>AI165*VLOOKUP('Données projet'!$B$10,Paramètres!$A$1:$I$89,3,0)*VLOOKUP('Données projet'!$B$10,Paramètres!$A$1:$I$89,5,0)</f>
        <v>-7.7147888077888636E-14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225.28075317732998</v>
      </c>
      <c r="AO165" s="59">
        <f t="shared" si="144"/>
        <v>358.43407531256207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0.16429245138734649</v>
      </c>
      <c r="AV165" s="21">
        <f>EXP(-LN(2)/25)*AV164+(1-EXP(-LN(2)/25))/(LN(2)/25)*Calculateur!AQ165*Calculateur!AS165*VLOOKUP('Données projet'!$B$10,Paramètres!$A$1:$I$89,3,0)*0.475*44/12</f>
        <v>0.21289973675083296</v>
      </c>
      <c r="AW165" s="21">
        <f>EXP(-LN(2)/2)*AW164+(1-EXP(-LN(2)/2))/(LN(2)/2)*AQ165*AT165*VLOOKUP('Données projet'!$B$10,Paramètres!$A$1:$I$89,3,0)*0.475*44/12</f>
        <v>5.9821141028085576E-20</v>
      </c>
      <c r="AX165" s="21">
        <f t="shared" si="166"/>
        <v>0.37719218813817945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-5.6843418860808015E-13</v>
      </c>
      <c r="BE165" s="13">
        <f>BD165*VLOOKUP('Données projet'!$B$11,Paramètres!$A$1:$I$89,3,0)*VLOOKUP('Données projet'!$B$11,Paramètres!$A$1:$I$89,5,0)</f>
        <v>-3.177547114319168E-13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326.31232746914907</v>
      </c>
      <c r="BJ165" s="59">
        <f t="shared" si="146"/>
        <v>330.17137761430297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0.33450895608477416</v>
      </c>
      <c r="BQ165" s="21">
        <f>EXP(-LN(2)/25)*BQ164+(1-EXP(-LN(2)/25))/(LN(2)/25)*Calculateur!BL165*Calculateur!BN165*VLOOKUP('Données projet'!$B$11,Paramètres!$A$1:$I$89,3,0)*0.475*44/12</f>
        <v>0.7765677862014122</v>
      </c>
      <c r="BR165" s="21">
        <f>EXP(-LN(2)/2)*BR164+(1-EXP(-LN(2)/2))/(LN(2)/2)*BL165*BO165*VLOOKUP('Données projet'!$B$11,Paramètres!$A$1:$I$89,3,0)*0.475*44/12</f>
        <v>4.407564858123931E-19</v>
      </c>
      <c r="BS165" s="22">
        <f t="shared" si="169"/>
        <v>1.1110767422861865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210.04871822652808</v>
      </c>
      <c r="CE165" s="59">
        <f t="shared" si="148"/>
        <v>250.17540614049324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0.53464856405938477</v>
      </c>
      <c r="CL165" s="21">
        <f>EXP(-LN(2)/25)*CL164+(1-EXP(-LN(2)/25))/(LN(2)/25)*Calculateur!CG165*Calculateur!CI165*VLOOKUP('Données projet'!$B$12,Paramètres!$A$1:$I$89,3,0)*0.475*44/12</f>
        <v>0.7162851785018336</v>
      </c>
      <c r="CM165" s="21">
        <f>EXP(-LN(2)/2)*CM164+(1-EXP(-LN(2)/2))/(LN(2)/2)*CG165*CJ165*VLOOKUP('Données projet'!$B$12,Paramètres!$A$1:$I$89,3,0)*0.475*44/12</f>
        <v>2.9210966243184452E-19</v>
      </c>
      <c r="CN165" s="22">
        <f t="shared" si="172"/>
        <v>1.2509337425612184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4.5224624045658861E-14</v>
      </c>
      <c r="CV165" s="13">
        <f t="shared" si="173"/>
        <v>7.4514601661523691E-13</v>
      </c>
      <c r="CW165" s="20">
        <f t="shared" si="174"/>
        <v>1.3765621991510601E-12</v>
      </c>
      <c r="CX165" s="59">
        <f t="shared" si="122"/>
        <v>293.33333333333468</v>
      </c>
      <c r="CY165" s="59">
        <f ca="1">AVERAGE(OFFSET($CX$3,0,0,'Données projet'!$E$13+1,1))-AVERAGE(OFFSET($H$3,0,0,'Données projet'!$E$13+1,1))</f>
        <v>199.58763537752952</v>
      </c>
      <c r="CZ165" s="59">
        <f t="shared" si="150"/>
        <v>242.62852778451929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0.26465522034316885</v>
      </c>
      <c r="DH165" s="21">
        <f>EXP(-LN(2)/2)*DH164+(1-EXP(-LN(2)/2))/(LN(2)/2)*DB165*DE165*VLOOKUP('Données projet'!$B$13,Paramètres!$A$1:$I$89,3,0)*0.475*44/12</f>
        <v>1.4584631236573721E-19</v>
      </c>
      <c r="DI165" s="22">
        <f t="shared" si="175"/>
        <v>0.26465522034316885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-4.5474735088646412E-13</v>
      </c>
      <c r="DP165" s="17">
        <f>DO165*VLOOKUP('Données projet'!$B$14,Paramètres!$A$1:$I$89,3,0)*VLOOKUP('Données projet'!$B$14,Paramètres!$A$1:$I$89,5,0)</f>
        <v>-2.7193891583010558E-13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216.94426559495264</v>
      </c>
      <c r="DU165" s="59">
        <f t="shared" si="152"/>
        <v>225.33715877618704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0.33070431374398429</v>
      </c>
      <c r="EC165" s="21">
        <f>EXP(-LN(2)/2)*EC164+(1-EXP(-LN(2)/2))/(LN(2)/2)*DW165*DZ165*VLOOKUP('Données projet'!$B$14,Paramètres!$A$1:$I$89,3,0)*0.475*44/12</f>
        <v>3.2159279408606105E-19</v>
      </c>
      <c r="ED165" s="22">
        <f t="shared" si="178"/>
        <v>0.33070431374398429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6.8212102632969618E-13</v>
      </c>
      <c r="EK165" s="17">
        <f>EJ165*VLOOKUP('Données projet'!$B$15,Paramètres!$A$1:$I$89,3,0)*VLOOKUP('Données projet'!$B$15,Paramètres!$A$1:$I$89,5,0)</f>
        <v>3.2810021366458383E-13</v>
      </c>
      <c r="EL165" s="13">
        <f t="shared" si="179"/>
        <v>4.2923528923937213E-12</v>
      </c>
      <c r="EM165" s="20">
        <f t="shared" si="180"/>
        <v>8.0472891597182151E-12</v>
      </c>
      <c r="EN165" s="59">
        <f t="shared" si="128"/>
        <v>293.33333333334139</v>
      </c>
      <c r="EO165" s="59">
        <f ca="1">AVERAGE(OFFSET($EN$3,0,0,'Données projet'!$E$15+1,1))-AVERAGE(OFFSET($H$3,0,0,'Données projet'!$E$15+1,1))</f>
        <v>292.1792787220852</v>
      </c>
      <c r="EP165" s="59">
        <f t="shared" si="154"/>
        <v>273.69206144662144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0.4934284933609292</v>
      </c>
      <c r="EW165" s="21">
        <f>EXP(-LN(2)/25)*EW164+(1-EXP(-LN(2)/25))/(LN(2)/25)*Calculateur!ER165*Calculateur!ET165*VLOOKUP('Données projet'!$B$15,Paramètres!$A$1:$I$89,3,0)*0.475*44/12</f>
        <v>0.345474193315981</v>
      </c>
      <c r="EX165" s="21">
        <f>EXP(-LN(2)/2)*EX164+(1-EXP(-LN(2)/2))/(LN(2)/2)*ER165*EU165*VLOOKUP('Données projet'!$B$15,Paramètres!$A$1:$I$89,3,0)*0.475*44/12</f>
        <v>2.8342106532011119E-19</v>
      </c>
      <c r="EY165" s="22">
        <f t="shared" si="181"/>
        <v>0.83890268667691026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215.23235148064941</v>
      </c>
      <c r="T166" s="59">
        <f t="shared" si="142"/>
        <v>184.07239726900434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0.22504304560095945</v>
      </c>
      <c r="AA166" s="21">
        <f>EXP(-LN(2)/25)*AA165+(1-EXP(-LN(2)/25))/(LN(2)/25)*Calculateur!V166*Calculateur!X166*VLOOKUP('Données projet'!$B$9,Paramètres!$A$1:$I$89,3,0)*0.475*44/12</f>
        <v>0.19664924588946858</v>
      </c>
      <c r="AB166" s="21">
        <f>EXP(-LN(2)/2)*AB165+(1-EXP(-LN(2)/2))/(LN(2)/2)*V166*Y166*VLOOKUP('Données projet'!$B$9,Paramètres!$A$1:$I$89,3,0)*0.475*44/12</f>
        <v>9.4222571680668456E-20</v>
      </c>
      <c r="AC166" s="22">
        <f t="shared" si="163"/>
        <v>0.42169229149042803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-8.5265128291212022E-14</v>
      </c>
      <c r="AJ166" s="13">
        <f>AI166*VLOOKUP('Données projet'!$B$10,Paramètres!$A$1:$I$89,3,0)*VLOOKUP('Données projet'!$B$10,Paramètres!$A$1:$I$89,5,0)</f>
        <v>-7.7147888077888636E-14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225.28075317732998</v>
      </c>
      <c r="AO166" s="59">
        <f t="shared" si="144"/>
        <v>358.43407531256207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0.16107077662414121</v>
      </c>
      <c r="AV166" s="21">
        <f>EXP(-LN(2)/25)*AV165+(1-EXP(-LN(2)/25))/(LN(2)/25)*Calculateur!AQ166*Calculateur!AS166*VLOOKUP('Données projet'!$B$10,Paramètres!$A$1:$I$89,3,0)*0.475*44/12</f>
        <v>0.20707798225347088</v>
      </c>
      <c r="AW166" s="21">
        <f>EXP(-LN(2)/2)*AW165+(1-EXP(-LN(2)/2))/(LN(2)/2)*AQ166*AT166*VLOOKUP('Données projet'!$B$10,Paramètres!$A$1:$I$89,3,0)*0.475*44/12</f>
        <v>4.2299934479276108E-20</v>
      </c>
      <c r="AX166" s="21">
        <f t="shared" si="166"/>
        <v>0.36814875887761211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-5.6843418860808015E-13</v>
      </c>
      <c r="BE166" s="13">
        <f>BD166*VLOOKUP('Données projet'!$B$11,Paramètres!$A$1:$I$89,3,0)*VLOOKUP('Données projet'!$B$11,Paramètres!$A$1:$I$89,5,0)</f>
        <v>-3.177547114319168E-13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326.31232746914907</v>
      </c>
      <c r="BJ166" s="59">
        <f t="shared" si="146"/>
        <v>330.17137761430297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0.32794943948626865</v>
      </c>
      <c r="BQ166" s="21">
        <f>EXP(-LN(2)/25)*BQ165+(1-EXP(-LN(2)/25))/(LN(2)/25)*Calculateur!BL166*Calculateur!BN166*VLOOKUP('Données projet'!$B$11,Paramètres!$A$1:$I$89,3,0)*0.475*44/12</f>
        <v>0.75533249924980961</v>
      </c>
      <c r="BR166" s="21">
        <f>EXP(-LN(2)/2)*BR165+(1-EXP(-LN(2)/2))/(LN(2)/2)*BL166*BO166*VLOOKUP('Données projet'!$B$11,Paramètres!$A$1:$I$89,3,0)*0.475*44/12</f>
        <v>3.1166189996989548E-19</v>
      </c>
      <c r="BS166" s="22">
        <f t="shared" si="169"/>
        <v>1.0832819387360781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210.04871822652808</v>
      </c>
      <c r="CE166" s="59">
        <f t="shared" si="148"/>
        <v>250.17540614049324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0.52416443182160422</v>
      </c>
      <c r="CL166" s="21">
        <f>EXP(-LN(2)/25)*CL165+(1-EXP(-LN(2)/25))/(LN(2)/25)*Calculateur!CG166*Calculateur!CI166*VLOOKUP('Données projet'!$B$12,Paramètres!$A$1:$I$89,3,0)*0.475*44/12</f>
        <v>0.69669832262790055</v>
      </c>
      <c r="CM166" s="21">
        <f>EXP(-LN(2)/2)*CM165+(1-EXP(-LN(2)/2))/(LN(2)/2)*CG166*CJ166*VLOOKUP('Données projet'!$B$12,Paramètres!$A$1:$I$89,3,0)*0.475*44/12</f>
        <v>2.0655272315567055E-19</v>
      </c>
      <c r="CN166" s="22">
        <f t="shared" si="172"/>
        <v>1.2208627544495048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4.5224624045658861E-14</v>
      </c>
      <c r="CV166" s="13">
        <f t="shared" si="173"/>
        <v>7.4514601661523691E-13</v>
      </c>
      <c r="CW166" s="20">
        <f t="shared" si="174"/>
        <v>1.3765621991510601E-12</v>
      </c>
      <c r="CX166" s="59">
        <f t="shared" si="122"/>
        <v>293.33333333333468</v>
      </c>
      <c r="CY166" s="59">
        <f ca="1">AVERAGE(OFFSET($CX$3,0,0,'Données projet'!$E$13+1,1))-AVERAGE(OFFSET($H$3,0,0,'Données projet'!$E$13+1,1))</f>
        <v>199.58763537752952</v>
      </c>
      <c r="CZ166" s="59">
        <f t="shared" si="150"/>
        <v>242.62852778451929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0.25741820942527172</v>
      </c>
      <c r="DH166" s="21">
        <f>EXP(-LN(2)/2)*DH165+(1-EXP(-LN(2)/2))/(LN(2)/2)*DB166*DE166*VLOOKUP('Données projet'!$B$13,Paramètres!$A$1:$I$89,3,0)*0.475*44/12</f>
        <v>1.031289164848642E-19</v>
      </c>
      <c r="DI166" s="22">
        <f t="shared" si="175"/>
        <v>0.25741820942527172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-4.5474735088646412E-13</v>
      </c>
      <c r="DP166" s="17">
        <f>DO166*VLOOKUP('Données projet'!$B$14,Paramètres!$A$1:$I$89,3,0)*VLOOKUP('Données projet'!$B$14,Paramètres!$A$1:$I$89,5,0)</f>
        <v>-2.7193891583010558E-13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216.94426559495264</v>
      </c>
      <c r="DU166" s="59">
        <f t="shared" si="152"/>
        <v>225.33715877618704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0.32166118689367101</v>
      </c>
      <c r="EC166" s="21">
        <f>EXP(-LN(2)/2)*EC165+(1-EXP(-LN(2)/2))/(LN(2)/2)*DW166*DZ166*VLOOKUP('Données projet'!$B$14,Paramètres!$A$1:$I$89,3,0)*0.475*44/12</f>
        <v>2.274004454789828E-19</v>
      </c>
      <c r="ED166" s="22">
        <f t="shared" si="178"/>
        <v>0.32166118689367101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6.8212102632969618E-13</v>
      </c>
      <c r="EK166" s="17">
        <f>EJ166*VLOOKUP('Données projet'!$B$15,Paramètres!$A$1:$I$89,3,0)*VLOOKUP('Données projet'!$B$15,Paramètres!$A$1:$I$89,5,0)</f>
        <v>3.2810021366458383E-13</v>
      </c>
      <c r="EL166" s="13">
        <f t="shared" si="179"/>
        <v>4.2923528923937213E-12</v>
      </c>
      <c r="EM166" s="20">
        <f t="shared" si="180"/>
        <v>8.0472891597182151E-12</v>
      </c>
      <c r="EN166" s="59">
        <f t="shared" si="128"/>
        <v>293.33333333334139</v>
      </c>
      <c r="EO166" s="59">
        <f ca="1">AVERAGE(OFFSET($EN$3,0,0,'Données projet'!$E$15+1,1))-AVERAGE(OFFSET($H$3,0,0,'Données projet'!$E$15+1,1))</f>
        <v>292.1792787220852</v>
      </c>
      <c r="EP166" s="59">
        <f t="shared" si="154"/>
        <v>273.69206144662144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0.48375266156778485</v>
      </c>
      <c r="EW166" s="21">
        <f>EXP(-LN(2)/25)*EW165+(1-EXP(-LN(2)/25))/(LN(2)/25)*Calculateur!ER166*Calculateur!ET166*VLOOKUP('Données projet'!$B$15,Paramètres!$A$1:$I$89,3,0)*0.475*44/12</f>
        <v>0.33602718333205728</v>
      </c>
      <c r="EX166" s="21">
        <f>EXP(-LN(2)/2)*EX165+(1-EXP(-LN(2)/2))/(LN(2)/2)*ER166*EU166*VLOOKUP('Données projet'!$B$15,Paramètres!$A$1:$I$89,3,0)*0.475*44/12</f>
        <v>2.0040895721896606E-19</v>
      </c>
      <c r="EY166" s="22">
        <f t="shared" si="181"/>
        <v>0.81977984489984213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215.23235148064941</v>
      </c>
      <c r="T167" s="59">
        <f t="shared" si="142"/>
        <v>184.07239726900434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0.22063008873942888</v>
      </c>
      <c r="AA167" s="21">
        <f>EXP(-LN(2)/25)*AA166+(1-EXP(-LN(2)/25))/(LN(2)/25)*Calculateur!V167*Calculateur!X167*VLOOKUP('Données projet'!$B$9,Paramètres!$A$1:$I$89,3,0)*0.475*44/12</f>
        <v>0.19127186191928666</v>
      </c>
      <c r="AB167" s="21">
        <f>EXP(-LN(2)/2)*AB166+(1-EXP(-LN(2)/2))/(LN(2)/2)*V167*Y167*VLOOKUP('Données projet'!$B$9,Paramètres!$A$1:$I$89,3,0)*0.475*44/12</f>
        <v>6.6625419376236218E-20</v>
      </c>
      <c r="AC167" s="22">
        <f t="shared" si="163"/>
        <v>0.41190195065871554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-8.5265128291212022E-14</v>
      </c>
      <c r="AJ167" s="13">
        <f>AI167*VLOOKUP('Données projet'!$B$10,Paramètres!$A$1:$I$89,3,0)*VLOOKUP('Données projet'!$B$10,Paramètres!$A$1:$I$89,5,0)</f>
        <v>-7.7147888077888636E-14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225.28075317732998</v>
      </c>
      <c r="AO167" s="59">
        <f t="shared" si="144"/>
        <v>358.43407531256207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0.1579122769380148</v>
      </c>
      <c r="AV167" s="21">
        <f>EXP(-LN(2)/25)*AV166+(1-EXP(-LN(2)/25))/(LN(2)/25)*Calculateur!AQ167*Calculateur!AS167*VLOOKUP('Données projet'!$B$10,Paramètres!$A$1:$I$89,3,0)*0.475*44/12</f>
        <v>0.20141542393899192</v>
      </c>
      <c r="AW167" s="21">
        <f>EXP(-LN(2)/2)*AW166+(1-EXP(-LN(2)/2))/(LN(2)/2)*AQ167*AT167*VLOOKUP('Données projet'!$B$10,Paramètres!$A$1:$I$89,3,0)*0.475*44/12</f>
        <v>2.9910570514042788E-20</v>
      </c>
      <c r="AX167" s="21">
        <f t="shared" si="166"/>
        <v>0.35932770087700672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-5.6843418860808015E-13</v>
      </c>
      <c r="BE167" s="13">
        <f>BD167*VLOOKUP('Données projet'!$B$11,Paramètres!$A$1:$I$89,3,0)*VLOOKUP('Données projet'!$B$11,Paramètres!$A$1:$I$89,5,0)</f>
        <v>-3.177547114319168E-13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326.31232746914907</v>
      </c>
      <c r="BJ167" s="59">
        <f t="shared" si="146"/>
        <v>330.17137761430297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0.32151855100734972</v>
      </c>
      <c r="BQ167" s="21">
        <f>EXP(-LN(2)/25)*BQ166+(1-EXP(-LN(2)/25))/(LN(2)/25)*Calculateur!BL167*Calculateur!BN167*VLOOKUP('Données projet'!$B$11,Paramètres!$A$1:$I$89,3,0)*0.475*44/12</f>
        <v>0.73467789233661374</v>
      </c>
      <c r="BR167" s="21">
        <f>EXP(-LN(2)/2)*BR166+(1-EXP(-LN(2)/2))/(LN(2)/2)*BL167*BO167*VLOOKUP('Données projet'!$B$11,Paramètres!$A$1:$I$89,3,0)*0.475*44/12</f>
        <v>2.2037824290619655E-19</v>
      </c>
      <c r="BS167" s="22">
        <f t="shared" si="169"/>
        <v>1.0561964433439635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210.04871822652808</v>
      </c>
      <c r="CE167" s="59">
        <f t="shared" si="148"/>
        <v>250.17540614049324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0.5138858870223173</v>
      </c>
      <c r="CL167" s="21">
        <f>EXP(-LN(2)/25)*CL166+(1-EXP(-LN(2)/25))/(LN(2)/25)*Calculateur!CG167*Calculateur!CI167*VLOOKUP('Données projet'!$B$12,Paramètres!$A$1:$I$89,3,0)*0.475*44/12</f>
        <v>0.6776470703578682</v>
      </c>
      <c r="CM167" s="21">
        <f>EXP(-LN(2)/2)*CM166+(1-EXP(-LN(2)/2))/(LN(2)/2)*CG167*CJ167*VLOOKUP('Données projet'!$B$12,Paramètres!$A$1:$I$89,3,0)*0.475*44/12</f>
        <v>1.4605483121592226E-19</v>
      </c>
      <c r="CN167" s="22">
        <f t="shared" si="172"/>
        <v>1.1915329573801854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4.5224624045658861E-14</v>
      </c>
      <c r="CV167" s="13">
        <f t="shared" si="173"/>
        <v>7.4514601661523691E-13</v>
      </c>
      <c r="CW167" s="20">
        <f t="shared" si="174"/>
        <v>1.3765621991510601E-12</v>
      </c>
      <c r="CX167" s="59">
        <f t="shared" si="122"/>
        <v>293.33333333333468</v>
      </c>
      <c r="CY167" s="59">
        <f ca="1">AVERAGE(OFFSET($CX$3,0,0,'Données projet'!$E$13+1,1))-AVERAGE(OFFSET($H$3,0,0,'Données projet'!$E$13+1,1))</f>
        <v>199.58763537752952</v>
      </c>
      <c r="CZ167" s="59">
        <f t="shared" si="150"/>
        <v>242.62852778451929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0.25037909495150235</v>
      </c>
      <c r="DH167" s="21">
        <f>EXP(-LN(2)/2)*DH166+(1-EXP(-LN(2)/2))/(LN(2)/2)*DB167*DE167*VLOOKUP('Données projet'!$B$13,Paramètres!$A$1:$I$89,3,0)*0.475*44/12</f>
        <v>7.2923156182868605E-20</v>
      </c>
      <c r="DI167" s="22">
        <f t="shared" si="175"/>
        <v>0.25037909495150235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-4.5474735088646412E-13</v>
      </c>
      <c r="DP167" s="17">
        <f>DO167*VLOOKUP('Données projet'!$B$14,Paramètres!$A$1:$I$89,3,0)*VLOOKUP('Données projet'!$B$14,Paramètres!$A$1:$I$89,5,0)</f>
        <v>-2.7193891583010558E-13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216.94426559495264</v>
      </c>
      <c r="DU167" s="59">
        <f t="shared" si="152"/>
        <v>225.33715877618704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0.31286534482263695</v>
      </c>
      <c r="EC167" s="21">
        <f>EXP(-LN(2)/2)*EC166+(1-EXP(-LN(2)/2))/(LN(2)/2)*DW167*DZ167*VLOOKUP('Données projet'!$B$14,Paramètres!$A$1:$I$89,3,0)*0.475*44/12</f>
        <v>1.6079639704303053E-19</v>
      </c>
      <c r="ED167" s="22">
        <f t="shared" si="178"/>
        <v>0.31286534482263695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6.8212102632969618E-13</v>
      </c>
      <c r="EK167" s="17">
        <f>EJ167*VLOOKUP('Données projet'!$B$15,Paramètres!$A$1:$I$89,3,0)*VLOOKUP('Données projet'!$B$15,Paramètres!$A$1:$I$89,5,0)</f>
        <v>3.2810021366458383E-13</v>
      </c>
      <c r="EL167" s="13">
        <f t="shared" si="179"/>
        <v>4.2923528923937213E-12</v>
      </c>
      <c r="EM167" s="20">
        <f t="shared" si="180"/>
        <v>8.0472891597182151E-12</v>
      </c>
      <c r="EN167" s="59">
        <f t="shared" si="128"/>
        <v>293.33333333334139</v>
      </c>
      <c r="EO167" s="59">
        <f ca="1">AVERAGE(OFFSET($EN$3,0,0,'Données projet'!$E$15+1,1))-AVERAGE(OFFSET($H$3,0,0,'Données projet'!$E$15+1,1))</f>
        <v>292.1792787220852</v>
      </c>
      <c r="EP167" s="59">
        <f t="shared" si="154"/>
        <v>273.69206144662144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0.47426656693442937</v>
      </c>
      <c r="EW167" s="21">
        <f>EXP(-LN(2)/25)*EW166+(1-EXP(-LN(2)/25))/(LN(2)/25)*Calculateur!ER167*Calculateur!ET167*VLOOKUP('Données projet'!$B$15,Paramètres!$A$1:$I$89,3,0)*0.475*44/12</f>
        <v>0.32683850233294059</v>
      </c>
      <c r="EX167" s="21">
        <f>EXP(-LN(2)/2)*EX166+(1-EXP(-LN(2)/2))/(LN(2)/2)*ER167*EU167*VLOOKUP('Données projet'!$B$15,Paramètres!$A$1:$I$89,3,0)*0.475*44/12</f>
        <v>1.4171053266005559E-19</v>
      </c>
      <c r="EY167" s="22">
        <f t="shared" si="181"/>
        <v>0.80110506926737002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215.23235148064941</v>
      </c>
      <c r="T168" s="59">
        <f t="shared" si="142"/>
        <v>184.07239726900434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0.21630366727031503</v>
      </c>
      <c r="AA168" s="21">
        <f>EXP(-LN(2)/25)*AA167+(1-EXP(-LN(2)/25))/(LN(2)/25)*Calculateur!V168*Calculateur!X168*VLOOKUP('Données projet'!$B$9,Paramètres!$A$1:$I$89,3,0)*0.475*44/12</f>
        <v>0.1860415227965537</v>
      </c>
      <c r="AB168" s="21">
        <f>EXP(-LN(2)/2)*AB167+(1-EXP(-LN(2)/2))/(LN(2)/2)*V168*Y168*VLOOKUP('Données projet'!$B$9,Paramètres!$A$1:$I$89,3,0)*0.475*44/12</f>
        <v>4.7111285840334228E-20</v>
      </c>
      <c r="AC168" s="22">
        <f t="shared" si="163"/>
        <v>0.40234519006686875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-8.5265128291212022E-14</v>
      </c>
      <c r="AJ168" s="13">
        <f>AI168*VLOOKUP('Données projet'!$B$10,Paramètres!$A$1:$I$89,3,0)*VLOOKUP('Données projet'!$B$10,Paramètres!$A$1:$I$89,5,0)</f>
        <v>-7.7147888077888636E-14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225.28075317732998</v>
      </c>
      <c r="AO168" s="59">
        <f t="shared" si="144"/>
        <v>358.43407531256207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0.15481571350423876</v>
      </c>
      <c r="AV168" s="21">
        <f>EXP(-LN(2)/25)*AV167+(1-EXP(-LN(2)/25))/(LN(2)/25)*Calculateur!AQ168*Calculateur!AS168*VLOOKUP('Données projet'!$B$10,Paramètres!$A$1:$I$89,3,0)*0.475*44/12</f>
        <v>0.19590770857940337</v>
      </c>
      <c r="AW168" s="21">
        <f>EXP(-LN(2)/2)*AW167+(1-EXP(-LN(2)/2))/(LN(2)/2)*AQ168*AT168*VLOOKUP('Données projet'!$B$10,Paramètres!$A$1:$I$89,3,0)*0.475*44/12</f>
        <v>2.1149967239638054E-20</v>
      </c>
      <c r="AX168" s="21">
        <f t="shared" si="166"/>
        <v>0.35072342208364216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-5.6843418860808015E-13</v>
      </c>
      <c r="BE168" s="13">
        <f>BD168*VLOOKUP('Données projet'!$B$11,Paramètres!$A$1:$I$89,3,0)*VLOOKUP('Données projet'!$B$11,Paramètres!$A$1:$I$89,5,0)</f>
        <v>-3.177547114319168E-13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326.31232746914907</v>
      </c>
      <c r="BJ168" s="59">
        <f t="shared" si="146"/>
        <v>330.17137761430297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0.31521376832904774</v>
      </c>
      <c r="BQ168" s="21">
        <f>EXP(-LN(2)/25)*BQ167+(1-EXP(-LN(2)/25))/(LN(2)/25)*Calculateur!BL168*Calculateur!BN168*VLOOKUP('Données projet'!$B$11,Paramètres!$A$1:$I$89,3,0)*0.475*44/12</f>
        <v>0.71458808673563778</v>
      </c>
      <c r="BR168" s="21">
        <f>EXP(-LN(2)/2)*BR167+(1-EXP(-LN(2)/2))/(LN(2)/2)*BL168*BO168*VLOOKUP('Données projet'!$B$11,Paramètres!$A$1:$I$89,3,0)*0.475*44/12</f>
        <v>1.5583094998494774E-19</v>
      </c>
      <c r="BS168" s="22">
        <f t="shared" si="169"/>
        <v>1.0298018550646855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210.04871822652808</v>
      </c>
      <c r="CE168" s="59">
        <f t="shared" si="148"/>
        <v>250.17540614049324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0.50380889821725117</v>
      </c>
      <c r="CL168" s="21">
        <f>EXP(-LN(2)/25)*CL167+(1-EXP(-LN(2)/25))/(LN(2)/25)*Calculateur!CG168*Calculateur!CI168*VLOOKUP('Données projet'!$B$12,Paramètres!$A$1:$I$89,3,0)*0.475*44/12</f>
        <v>0.65911677558302162</v>
      </c>
      <c r="CM168" s="21">
        <f>EXP(-LN(2)/2)*CM167+(1-EXP(-LN(2)/2))/(LN(2)/2)*CG168*CJ168*VLOOKUP('Données projet'!$B$12,Paramètres!$A$1:$I$89,3,0)*0.475*44/12</f>
        <v>1.0327636157783527E-19</v>
      </c>
      <c r="CN168" s="22">
        <f t="shared" si="172"/>
        <v>1.1629256738002729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4.5224624045658861E-14</v>
      </c>
      <c r="CV168" s="13">
        <f t="shared" si="173"/>
        <v>7.4514601661523691E-13</v>
      </c>
      <c r="CW168" s="20">
        <f t="shared" si="174"/>
        <v>1.3765621991510601E-12</v>
      </c>
      <c r="CX168" s="59">
        <f t="shared" si="122"/>
        <v>293.33333333333468</v>
      </c>
      <c r="CY168" s="59">
        <f ca="1">AVERAGE(OFFSET($CX$3,0,0,'Données projet'!$E$13+1,1))-AVERAGE(OFFSET($H$3,0,0,'Données projet'!$E$13+1,1))</f>
        <v>199.58763537752952</v>
      </c>
      <c r="CZ168" s="59">
        <f t="shared" si="150"/>
        <v>242.62852778451929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0.24353246543318915</v>
      </c>
      <c r="DH168" s="21">
        <f>EXP(-LN(2)/2)*DH167+(1-EXP(-LN(2)/2))/(LN(2)/2)*DB168*DE168*VLOOKUP('Données projet'!$B$13,Paramètres!$A$1:$I$89,3,0)*0.475*44/12</f>
        <v>5.1564458242432102E-20</v>
      </c>
      <c r="DI168" s="22">
        <f t="shared" si="175"/>
        <v>0.24353246543318915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-4.5474735088646412E-13</v>
      </c>
      <c r="DP168" s="17">
        <f>DO168*VLOOKUP('Données projet'!$B$14,Paramètres!$A$1:$I$89,3,0)*VLOOKUP('Données projet'!$B$14,Paramètres!$A$1:$I$89,5,0)</f>
        <v>-2.7193891583010558E-13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216.94426559495264</v>
      </c>
      <c r="DU168" s="59">
        <f t="shared" si="152"/>
        <v>225.33715877618704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0.3043100255155885</v>
      </c>
      <c r="EC168" s="21">
        <f>EXP(-LN(2)/2)*EC167+(1-EXP(-LN(2)/2))/(LN(2)/2)*DW168*DZ168*VLOOKUP('Données projet'!$B$14,Paramètres!$A$1:$I$89,3,0)*0.475*44/12</f>
        <v>1.137002227394914E-19</v>
      </c>
      <c r="ED168" s="22">
        <f t="shared" si="178"/>
        <v>0.3043100255155885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6.8212102632969618E-13</v>
      </c>
      <c r="EK168" s="17">
        <f>EJ168*VLOOKUP('Données projet'!$B$15,Paramètres!$A$1:$I$89,3,0)*VLOOKUP('Données projet'!$B$15,Paramètres!$A$1:$I$89,5,0)</f>
        <v>3.2810021366458383E-13</v>
      </c>
      <c r="EL168" s="13">
        <f t="shared" si="179"/>
        <v>4.2923528923937213E-12</v>
      </c>
      <c r="EM168" s="20">
        <f t="shared" si="180"/>
        <v>8.0472891597182151E-12</v>
      </c>
      <c r="EN168" s="59">
        <f t="shared" si="128"/>
        <v>293.33333333334139</v>
      </c>
      <c r="EO168" s="59">
        <f ca="1">AVERAGE(OFFSET($EN$3,0,0,'Données projet'!$E$15+1,1))-AVERAGE(OFFSET($H$3,0,0,'Données projet'!$E$15+1,1))</f>
        <v>292.1792787220852</v>
      </c>
      <c r="EP168" s="59">
        <f t="shared" si="154"/>
        <v>273.69206144662144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0.46496648883088759</v>
      </c>
      <c r="EW168" s="21">
        <f>EXP(-LN(2)/25)*EW167+(1-EXP(-LN(2)/25))/(LN(2)/25)*Calculateur!ER168*Calculateur!ET168*VLOOKUP('Données projet'!$B$15,Paramètres!$A$1:$I$89,3,0)*0.475*44/12</f>
        <v>0.31790108629895647</v>
      </c>
      <c r="EX168" s="21">
        <f>EXP(-LN(2)/2)*EX167+(1-EXP(-LN(2)/2))/(LN(2)/2)*ER168*EU168*VLOOKUP('Données projet'!$B$15,Paramètres!$A$1:$I$89,3,0)*0.475*44/12</f>
        <v>1.0020447860948303E-19</v>
      </c>
      <c r="EY168" s="22">
        <f t="shared" si="181"/>
        <v>0.78286757512984406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215.23235148064941</v>
      </c>
      <c r="T169" s="59">
        <f t="shared" si="142"/>
        <v>184.07239726900434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0.21206208428735396</v>
      </c>
      <c r="AA169" s="21">
        <f>EXP(-LN(2)/25)*AA168+(1-EXP(-LN(2)/25))/(LN(2)/25)*Calculateur!V169*Calculateur!X169*VLOOKUP('Données projet'!$B$9,Paramètres!$A$1:$I$89,3,0)*0.475*44/12</f>
        <v>0.18095420757218345</v>
      </c>
      <c r="AB169" s="21">
        <f>EXP(-LN(2)/2)*AB168+(1-EXP(-LN(2)/2))/(LN(2)/2)*V169*Y169*VLOOKUP('Données projet'!$B$9,Paramètres!$A$1:$I$89,3,0)*0.475*44/12</f>
        <v>3.3312709688118109E-20</v>
      </c>
      <c r="AC169" s="22">
        <f t="shared" si="163"/>
        <v>0.3930162918595374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-8.5265128291212022E-14</v>
      </c>
      <c r="AJ169" s="13">
        <f>AI169*VLOOKUP('Données projet'!$B$10,Paramètres!$A$1:$I$89,3,0)*VLOOKUP('Données projet'!$B$10,Paramètres!$A$1:$I$89,5,0)</f>
        <v>-7.7147888077888636E-14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225.28075317732998</v>
      </c>
      <c r="AO169" s="59">
        <f t="shared" si="144"/>
        <v>358.43407531256207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0.15177987179068186</v>
      </c>
      <c r="AV169" s="21">
        <f>EXP(-LN(2)/25)*AV168+(1-EXP(-LN(2)/25))/(LN(2)/25)*Calculateur!AQ169*Calculateur!AS169*VLOOKUP('Données projet'!$B$10,Paramètres!$A$1:$I$89,3,0)*0.475*44/12</f>
        <v>0.19055060198596094</v>
      </c>
      <c r="AW169" s="21">
        <f>EXP(-LN(2)/2)*AW168+(1-EXP(-LN(2)/2))/(LN(2)/2)*AQ169*AT169*VLOOKUP('Données projet'!$B$10,Paramètres!$A$1:$I$89,3,0)*0.475*44/12</f>
        <v>1.4955285257021394E-20</v>
      </c>
      <c r="AX169" s="21">
        <f t="shared" si="166"/>
        <v>0.34233047377664283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-5.6843418860808015E-13</v>
      </c>
      <c r="BE169" s="13">
        <f>BD169*VLOOKUP('Données projet'!$B$11,Paramètres!$A$1:$I$89,3,0)*VLOOKUP('Données projet'!$B$11,Paramètres!$A$1:$I$89,5,0)</f>
        <v>-3.177547114319168E-13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326.31232746914907</v>
      </c>
      <c r="BJ169" s="59">
        <f t="shared" si="146"/>
        <v>330.17137761430297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0.30903261859352954</v>
      </c>
      <c r="BQ169" s="21">
        <f>EXP(-LN(2)/25)*BQ168+(1-EXP(-LN(2)/25))/(LN(2)/25)*Calculateur!BL169*Calculateur!BN169*VLOOKUP('Données projet'!$B$11,Paramètres!$A$1:$I$89,3,0)*0.475*44/12</f>
        <v>0.69504763792529745</v>
      </c>
      <c r="BR169" s="21">
        <f>EXP(-LN(2)/2)*BR168+(1-EXP(-LN(2)/2))/(LN(2)/2)*BL169*BO169*VLOOKUP('Données projet'!$B$11,Paramètres!$A$1:$I$89,3,0)*0.475*44/12</f>
        <v>1.1018912145309827E-19</v>
      </c>
      <c r="BS169" s="22">
        <f t="shared" si="169"/>
        <v>1.0040802565188269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210.04871822652808</v>
      </c>
      <c r="CE169" s="59">
        <f t="shared" si="148"/>
        <v>250.17540614049324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0.49392951301629612</v>
      </c>
      <c r="CL169" s="21">
        <f>EXP(-LN(2)/25)*CL168+(1-EXP(-LN(2)/25))/(LN(2)/25)*Calculateur!CG169*Calculateur!CI169*VLOOKUP('Données projet'!$B$12,Paramètres!$A$1:$I$89,3,0)*0.475*44/12</f>
        <v>0.64109319269325915</v>
      </c>
      <c r="CM169" s="21">
        <f>EXP(-LN(2)/2)*CM168+(1-EXP(-LN(2)/2))/(LN(2)/2)*CG169*CJ169*VLOOKUP('Données projet'!$B$12,Paramètres!$A$1:$I$89,3,0)*0.475*44/12</f>
        <v>7.302741560796113E-20</v>
      </c>
      <c r="CN169" s="22">
        <f t="shared" si="172"/>
        <v>1.1350227057095552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4.5224624045658861E-14</v>
      </c>
      <c r="CV169" s="13">
        <f t="shared" si="173"/>
        <v>7.4514601661523691E-13</v>
      </c>
      <c r="CW169" s="20">
        <f t="shared" si="174"/>
        <v>1.3765621991510601E-12</v>
      </c>
      <c r="CX169" s="59">
        <f t="shared" si="122"/>
        <v>293.33333333333468</v>
      </c>
      <c r="CY169" s="59">
        <f ca="1">AVERAGE(OFFSET($CX$3,0,0,'Données projet'!$E$13+1,1))-AVERAGE(OFFSET($H$3,0,0,'Données projet'!$E$13+1,1))</f>
        <v>199.58763537752952</v>
      </c>
      <c r="CZ169" s="59">
        <f t="shared" si="150"/>
        <v>242.62852778451929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0.23687305735910283</v>
      </c>
      <c r="DH169" s="21">
        <f>EXP(-LN(2)/2)*DH168+(1-EXP(-LN(2)/2))/(LN(2)/2)*DB169*DE169*VLOOKUP('Données projet'!$B$13,Paramètres!$A$1:$I$89,3,0)*0.475*44/12</f>
        <v>3.6461578091434303E-20</v>
      </c>
      <c r="DI169" s="22">
        <f t="shared" si="175"/>
        <v>0.23687305735910283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-4.5474735088646412E-13</v>
      </c>
      <c r="DP169" s="17">
        <f>DO169*VLOOKUP('Données projet'!$B$14,Paramètres!$A$1:$I$89,3,0)*VLOOKUP('Données projet'!$B$14,Paramètres!$A$1:$I$89,5,0)</f>
        <v>-2.7193891583010558E-13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216.94426559495264</v>
      </c>
      <c r="DU169" s="59">
        <f t="shared" si="152"/>
        <v>225.33715877618704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0.29598865186489598</v>
      </c>
      <c r="EC169" s="21">
        <f>EXP(-LN(2)/2)*EC168+(1-EXP(-LN(2)/2))/(LN(2)/2)*DW169*DZ169*VLOOKUP('Données projet'!$B$14,Paramètres!$A$1:$I$89,3,0)*0.475*44/12</f>
        <v>8.0398198521515263E-20</v>
      </c>
      <c r="ED169" s="22">
        <f t="shared" si="178"/>
        <v>0.29598865186489598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6.8212102632969618E-13</v>
      </c>
      <c r="EK169" s="17">
        <f>EJ169*VLOOKUP('Données projet'!$B$15,Paramètres!$A$1:$I$89,3,0)*VLOOKUP('Données projet'!$B$15,Paramètres!$A$1:$I$89,5,0)</f>
        <v>3.2810021366458383E-13</v>
      </c>
      <c r="EL169" s="13">
        <f t="shared" si="179"/>
        <v>4.2923528923937213E-12</v>
      </c>
      <c r="EM169" s="20">
        <f t="shared" si="180"/>
        <v>8.0472891597182151E-12</v>
      </c>
      <c r="EN169" s="59">
        <f t="shared" si="128"/>
        <v>293.33333333334139</v>
      </c>
      <c r="EO169" s="59">
        <f ca="1">AVERAGE(OFFSET($EN$3,0,0,'Données projet'!$E$15+1,1))-AVERAGE(OFFSET($H$3,0,0,'Données projet'!$E$15+1,1))</f>
        <v>292.1792787220852</v>
      </c>
      <c r="EP169" s="59">
        <f t="shared" si="154"/>
        <v>273.69206144662144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0.45584877958646874</v>
      </c>
      <c r="EW169" s="21">
        <f>EXP(-LN(2)/25)*EW168+(1-EXP(-LN(2)/25))/(LN(2)/25)*Calculateur!ER169*Calculateur!ET169*VLOOKUP('Données projet'!$B$15,Paramètres!$A$1:$I$89,3,0)*0.475*44/12</f>
        <v>0.30920806437641996</v>
      </c>
      <c r="EX169" s="21">
        <f>EXP(-LN(2)/2)*EX168+(1-EXP(-LN(2)/2))/(LN(2)/2)*ER169*EU169*VLOOKUP('Données projet'!$B$15,Paramètres!$A$1:$I$89,3,0)*0.475*44/12</f>
        <v>7.0855266330027797E-20</v>
      </c>
      <c r="EY169" s="22">
        <f t="shared" si="181"/>
        <v>0.76505684396288864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215.23235148064941</v>
      </c>
      <c r="T170" s="59">
        <f t="shared" si="142"/>
        <v>184.07239726900434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0.20790367615957858</v>
      </c>
      <c r="AA170" s="21">
        <f>EXP(-LN(2)/25)*AA169+(1-EXP(-LN(2)/25))/(LN(2)/25)*Calculateur!V170*Calculateur!X170*VLOOKUP('Données projet'!$B$9,Paramètres!$A$1:$I$89,3,0)*0.475*44/12</f>
        <v>0.17600600525015389</v>
      </c>
      <c r="AB170" s="21">
        <f>EXP(-LN(2)/2)*AB169+(1-EXP(-LN(2)/2))/(LN(2)/2)*V170*Y170*VLOOKUP('Données projet'!$B$9,Paramètres!$A$1:$I$89,3,0)*0.475*44/12</f>
        <v>2.3555642920167114E-20</v>
      </c>
      <c r="AC170" s="22">
        <f t="shared" si="163"/>
        <v>0.38390968140973247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-8.5265128291212022E-14</v>
      </c>
      <c r="AJ170" s="13">
        <f>AI170*VLOOKUP('Données projet'!$B$10,Paramètres!$A$1:$I$89,3,0)*VLOOKUP('Données projet'!$B$10,Paramètres!$A$1:$I$89,5,0)</f>
        <v>-7.7147888077888636E-14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225.28075317732998</v>
      </c>
      <c r="AO170" s="59">
        <f t="shared" si="144"/>
        <v>358.43407531256207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0.14880356108144721</v>
      </c>
      <c r="AV170" s="21">
        <f>EXP(-LN(2)/25)*AV169+(1-EXP(-LN(2)/25))/(LN(2)/25)*Calculateur!AQ170*Calculateur!AS170*VLOOKUP('Données projet'!$B$10,Paramètres!$A$1:$I$89,3,0)*0.475*44/12</f>
        <v>0.18533998575403418</v>
      </c>
      <c r="AW170" s="21">
        <f>EXP(-LN(2)/2)*AW169+(1-EXP(-LN(2)/2))/(LN(2)/2)*AQ170*AT170*VLOOKUP('Données projet'!$B$10,Paramètres!$A$1:$I$89,3,0)*0.475*44/12</f>
        <v>1.0574983619819027E-20</v>
      </c>
      <c r="AX170" s="21">
        <f t="shared" si="166"/>
        <v>0.33414354683548142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-5.6843418860808015E-13</v>
      </c>
      <c r="BE170" s="13">
        <f>BD170*VLOOKUP('Données projet'!$B$11,Paramètres!$A$1:$I$89,3,0)*VLOOKUP('Données projet'!$B$11,Paramètres!$A$1:$I$89,5,0)</f>
        <v>-3.177547114319168E-13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326.31232746914907</v>
      </c>
      <c r="BJ170" s="59">
        <f t="shared" si="146"/>
        <v>330.17137761430297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0.30297267743419581</v>
      </c>
      <c r="BQ170" s="21">
        <f>EXP(-LN(2)/25)*BQ169+(1-EXP(-LN(2)/25))/(LN(2)/25)*Calculateur!BL170*Calculateur!BN170*VLOOKUP('Données projet'!$B$11,Paramètres!$A$1:$I$89,3,0)*0.475*44/12</f>
        <v>0.67604152371526349</v>
      </c>
      <c r="BR170" s="21">
        <f>EXP(-LN(2)/2)*BR169+(1-EXP(-LN(2)/2))/(LN(2)/2)*BL170*BO170*VLOOKUP('Données projet'!$B$11,Paramètres!$A$1:$I$89,3,0)*0.475*44/12</f>
        <v>7.791547499247387E-20</v>
      </c>
      <c r="BS170" s="22">
        <f t="shared" si="169"/>
        <v>0.97901420114945936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210.04871822652808</v>
      </c>
      <c r="CE170" s="59">
        <f t="shared" si="148"/>
        <v>250.17540614049324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0.48424385653330182</v>
      </c>
      <c r="CL170" s="21">
        <f>EXP(-LN(2)/25)*CL169+(1-EXP(-LN(2)/25))/(LN(2)/25)*Calculateur!CG170*Calculateur!CI170*VLOOKUP('Données projet'!$B$12,Paramètres!$A$1:$I$89,3,0)*0.475*44/12</f>
        <v>0.62356246562543627</v>
      </c>
      <c r="CM170" s="21">
        <f>EXP(-LN(2)/2)*CM169+(1-EXP(-LN(2)/2))/(LN(2)/2)*CG170*CJ170*VLOOKUP('Données projet'!$B$12,Paramètres!$A$1:$I$89,3,0)*0.475*44/12</f>
        <v>5.1638180788917637E-20</v>
      </c>
      <c r="CN170" s="22">
        <f t="shared" si="172"/>
        <v>1.107806322158738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4.5224624045658861E-14</v>
      </c>
      <c r="CV170" s="13">
        <f t="shared" si="173"/>
        <v>7.4514601661523691E-13</v>
      </c>
      <c r="CW170" s="20">
        <f t="shared" si="174"/>
        <v>1.3765621991510601E-12</v>
      </c>
      <c r="CX170" s="59">
        <f t="shared" si="122"/>
        <v>293.33333333333468</v>
      </c>
      <c r="CY170" s="59">
        <f ca="1">AVERAGE(OFFSET($CX$3,0,0,'Données projet'!$E$13+1,1))-AVERAGE(OFFSET($H$3,0,0,'Données projet'!$E$13+1,1))</f>
        <v>199.58763537752952</v>
      </c>
      <c r="CZ170" s="59">
        <f t="shared" si="150"/>
        <v>242.62852778451929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0.23039575114900546</v>
      </c>
      <c r="DH170" s="21">
        <f>EXP(-LN(2)/2)*DH169+(1-EXP(-LN(2)/2))/(LN(2)/2)*DB170*DE170*VLOOKUP('Données projet'!$B$13,Paramètres!$A$1:$I$89,3,0)*0.475*44/12</f>
        <v>2.5782229121216051E-20</v>
      </c>
      <c r="DI170" s="22">
        <f t="shared" si="175"/>
        <v>0.23039575114900546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-4.5474735088646412E-13</v>
      </c>
      <c r="DP170" s="17">
        <f>DO170*VLOOKUP('Données projet'!$B$14,Paramètres!$A$1:$I$89,3,0)*VLOOKUP('Données projet'!$B$14,Paramètres!$A$1:$I$89,5,0)</f>
        <v>-2.7193891583010558E-13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216.94426559495264</v>
      </c>
      <c r="DU170" s="59">
        <f t="shared" si="152"/>
        <v>225.33715877618704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0.28789482661428367</v>
      </c>
      <c r="EC170" s="21">
        <f>EXP(-LN(2)/2)*EC169+(1-EXP(-LN(2)/2))/(LN(2)/2)*DW170*DZ170*VLOOKUP('Données projet'!$B$14,Paramètres!$A$1:$I$89,3,0)*0.475*44/12</f>
        <v>5.6850111369745701E-20</v>
      </c>
      <c r="ED170" s="22">
        <f t="shared" si="178"/>
        <v>0.28789482661428367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6.8212102632969618E-13</v>
      </c>
      <c r="EK170" s="17">
        <f>EJ170*VLOOKUP('Données projet'!$B$15,Paramètres!$A$1:$I$89,3,0)*VLOOKUP('Données projet'!$B$15,Paramètres!$A$1:$I$89,5,0)</f>
        <v>3.2810021366458383E-13</v>
      </c>
      <c r="EL170" s="13">
        <f t="shared" si="179"/>
        <v>4.2923528923937213E-12</v>
      </c>
      <c r="EM170" s="20">
        <f t="shared" si="180"/>
        <v>8.0472891597182151E-12</v>
      </c>
      <c r="EN170" s="59">
        <f t="shared" si="128"/>
        <v>293.33333333334139</v>
      </c>
      <c r="EO170" s="59">
        <f ca="1">AVERAGE(OFFSET($EN$3,0,0,'Données projet'!$E$15+1,1))-AVERAGE(OFFSET($H$3,0,0,'Données projet'!$E$15+1,1))</f>
        <v>292.1792787220852</v>
      </c>
      <c r="EP170" s="59">
        <f t="shared" si="154"/>
        <v>273.69206144662144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0.44690986305907943</v>
      </c>
      <c r="EW170" s="21">
        <f>EXP(-LN(2)/25)*EW169+(1-EXP(-LN(2)/25))/(LN(2)/25)*Calculateur!ER170*Calculateur!ET170*VLOOKUP('Données projet'!$B$15,Paramètres!$A$1:$I$89,3,0)*0.475*44/12</f>
        <v>0.30075275359550135</v>
      </c>
      <c r="EX170" s="21">
        <f>EXP(-LN(2)/2)*EX169+(1-EXP(-LN(2)/2))/(LN(2)/2)*ER170*EU170*VLOOKUP('Données projet'!$B$15,Paramètres!$A$1:$I$89,3,0)*0.475*44/12</f>
        <v>5.0102239304741514E-20</v>
      </c>
      <c r="EY170" s="22">
        <f t="shared" si="181"/>
        <v>0.74766261665458078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215.23235148064941</v>
      </c>
      <c r="T171" s="59">
        <f t="shared" si="142"/>
        <v>184.07239726900434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0.20382681187881038</v>
      </c>
      <c r="AA171" s="21">
        <f>EXP(-LN(2)/25)*AA170+(1-EXP(-LN(2)/25))/(LN(2)/25)*Calculateur!V171*Calculateur!X171*VLOOKUP('Données projet'!$B$9,Paramètres!$A$1:$I$89,3,0)*0.475*44/12</f>
        <v>0.17119311178083488</v>
      </c>
      <c r="AB171" s="21">
        <f>EXP(-LN(2)/2)*AB170+(1-EXP(-LN(2)/2))/(LN(2)/2)*V171*Y171*VLOOKUP('Données projet'!$B$9,Paramètres!$A$1:$I$89,3,0)*0.475*44/12</f>
        <v>1.6656354844059055E-20</v>
      </c>
      <c r="AC171" s="22">
        <f t="shared" si="163"/>
        <v>0.37501992365964526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-8.5265128291212022E-14</v>
      </c>
      <c r="AJ171" s="13">
        <f>AI171*VLOOKUP('Données projet'!$B$10,Paramètres!$A$1:$I$89,3,0)*VLOOKUP('Données projet'!$B$10,Paramètres!$A$1:$I$89,5,0)</f>
        <v>-7.7147888077888636E-14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225.28075317732998</v>
      </c>
      <c r="AO171" s="59">
        <f t="shared" si="144"/>
        <v>358.43407531256207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0.14588561400985037</v>
      </c>
      <c r="AV171" s="21">
        <f>EXP(-LN(2)/25)*AV170+(1-EXP(-LN(2)/25))/(LN(2)/25)*Calculateur!AQ171*Calculateur!AS171*VLOOKUP('Données projet'!$B$10,Paramètres!$A$1:$I$89,3,0)*0.475*44/12</f>
        <v>0.18027185409698387</v>
      </c>
      <c r="AW171" s="21">
        <f>EXP(-LN(2)/2)*AW170+(1-EXP(-LN(2)/2))/(LN(2)/2)*AQ171*AT171*VLOOKUP('Données projet'!$B$10,Paramètres!$A$1:$I$89,3,0)*0.475*44/12</f>
        <v>7.477642628510697E-21</v>
      </c>
      <c r="AX171" s="21">
        <f t="shared" si="166"/>
        <v>0.32615746810683421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-5.6843418860808015E-13</v>
      </c>
      <c r="BE171" s="13">
        <f>BD171*VLOOKUP('Données projet'!$B$11,Paramètres!$A$1:$I$89,3,0)*VLOOKUP('Données projet'!$B$11,Paramètres!$A$1:$I$89,5,0)</f>
        <v>-3.177547114319168E-13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326.31232746914907</v>
      </c>
      <c r="BJ171" s="59">
        <f t="shared" si="146"/>
        <v>330.17137761430297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0.29703156802479747</v>
      </c>
      <c r="BQ171" s="21">
        <f>EXP(-LN(2)/25)*BQ170+(1-EXP(-LN(2)/25))/(LN(2)/25)*Calculateur!BL171*Calculateur!BN171*VLOOKUP('Données projet'!$B$11,Paramètres!$A$1:$I$89,3,0)*0.475*44/12</f>
        <v>0.65755513269779098</v>
      </c>
      <c r="BR171" s="21">
        <f>EXP(-LN(2)/2)*BR170+(1-EXP(-LN(2)/2))/(LN(2)/2)*BL171*BO171*VLOOKUP('Données projet'!$B$11,Paramètres!$A$1:$I$89,3,0)*0.475*44/12</f>
        <v>5.5094560726549137E-20</v>
      </c>
      <c r="BS171" s="22">
        <f t="shared" si="169"/>
        <v>0.95458670072258844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210.04871822652808</v>
      </c>
      <c r="CE171" s="59">
        <f t="shared" si="148"/>
        <v>250.17540614049324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0.47474812986627191</v>
      </c>
      <c r="CL171" s="21">
        <f>EXP(-LN(2)/25)*CL170+(1-EXP(-LN(2)/25))/(LN(2)/25)*Calculateur!CG171*Calculateur!CI171*VLOOKUP('Données projet'!$B$12,Paramètres!$A$1:$I$89,3,0)*0.475*44/12</f>
        <v>0.60651111721118378</v>
      </c>
      <c r="CM171" s="21">
        <f>EXP(-LN(2)/2)*CM170+(1-EXP(-LN(2)/2))/(LN(2)/2)*CG171*CJ171*VLOOKUP('Données projet'!$B$12,Paramètres!$A$1:$I$89,3,0)*0.475*44/12</f>
        <v>3.6513707803980565E-20</v>
      </c>
      <c r="CN171" s="22">
        <f t="shared" si="172"/>
        <v>1.0812592470774556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4.5224624045658861E-14</v>
      </c>
      <c r="CV171" s="13">
        <f t="shared" si="173"/>
        <v>7.4514601661523691E-13</v>
      </c>
      <c r="CW171" s="20">
        <f t="shared" si="174"/>
        <v>1.3765621991510601E-12</v>
      </c>
      <c r="CX171" s="59">
        <f t="shared" si="122"/>
        <v>293.33333333333468</v>
      </c>
      <c r="CY171" s="59">
        <f ca="1">AVERAGE(OFFSET($CX$3,0,0,'Données projet'!$E$13+1,1))-AVERAGE(OFFSET($H$3,0,0,'Données projet'!$E$13+1,1))</f>
        <v>199.58763537752952</v>
      </c>
      <c r="CZ171" s="59">
        <f t="shared" si="150"/>
        <v>242.62852778451929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0.22409556721784993</v>
      </c>
      <c r="DH171" s="21">
        <f>EXP(-LN(2)/2)*DH170+(1-EXP(-LN(2)/2))/(LN(2)/2)*DB171*DE171*VLOOKUP('Données projet'!$B$13,Paramètres!$A$1:$I$89,3,0)*0.475*44/12</f>
        <v>1.8230789045717151E-20</v>
      </c>
      <c r="DI171" s="22">
        <f t="shared" si="175"/>
        <v>0.22409556721784993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-4.5474735088646412E-13</v>
      </c>
      <c r="DP171" s="17">
        <f>DO171*VLOOKUP('Données projet'!$B$14,Paramètres!$A$1:$I$89,3,0)*VLOOKUP('Données projet'!$B$14,Paramètres!$A$1:$I$89,5,0)</f>
        <v>-2.7193891583010558E-13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216.94426559495264</v>
      </c>
      <c r="DU171" s="59">
        <f t="shared" si="152"/>
        <v>225.33715877618704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0.28002232744078515</v>
      </c>
      <c r="EC171" s="21">
        <f>EXP(-LN(2)/2)*EC170+(1-EXP(-LN(2)/2))/(LN(2)/2)*DW171*DZ171*VLOOKUP('Données projet'!$B$14,Paramètres!$A$1:$I$89,3,0)*0.475*44/12</f>
        <v>4.0199099260757632E-20</v>
      </c>
      <c r="ED171" s="22">
        <f t="shared" si="178"/>
        <v>0.28002232744078515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6.8212102632969618E-13</v>
      </c>
      <c r="EK171" s="17">
        <f>EJ171*VLOOKUP('Données projet'!$B$15,Paramètres!$A$1:$I$89,3,0)*VLOOKUP('Données projet'!$B$15,Paramètres!$A$1:$I$89,5,0)</f>
        <v>3.2810021366458383E-13</v>
      </c>
      <c r="EL171" s="13">
        <f t="shared" si="179"/>
        <v>4.2923528923937213E-12</v>
      </c>
      <c r="EM171" s="20">
        <f t="shared" si="180"/>
        <v>8.0472891597182151E-12</v>
      </c>
      <c r="EN171" s="59">
        <f t="shared" si="128"/>
        <v>293.33333333334139</v>
      </c>
      <c r="EO171" s="59">
        <f ca="1">AVERAGE(OFFSET($EN$3,0,0,'Données projet'!$E$15+1,1))-AVERAGE(OFFSET($H$3,0,0,'Données projet'!$E$15+1,1))</f>
        <v>292.1792787220852</v>
      </c>
      <c r="EP171" s="59">
        <f t="shared" si="154"/>
        <v>273.69206144662144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0.4381462332325915</v>
      </c>
      <c r="EW171" s="21">
        <f>EXP(-LN(2)/25)*EW170+(1-EXP(-LN(2)/25))/(LN(2)/25)*Calculateur!ER171*Calculateur!ET171*VLOOKUP('Données projet'!$B$15,Paramètres!$A$1:$I$89,3,0)*0.475*44/12</f>
        <v>0.29252865373253245</v>
      </c>
      <c r="EX171" s="21">
        <f>EXP(-LN(2)/2)*EX170+(1-EXP(-LN(2)/2))/(LN(2)/2)*ER171*EU171*VLOOKUP('Données projet'!$B$15,Paramètres!$A$1:$I$89,3,0)*0.475*44/12</f>
        <v>3.5427633165013898E-20</v>
      </c>
      <c r="EY171" s="22">
        <f t="shared" si="181"/>
        <v>0.73067488696512395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215.23235148064941</v>
      </c>
      <c r="T172" s="59">
        <f t="shared" si="142"/>
        <v>184.07239726900434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0.19982989241994636</v>
      </c>
      <c r="AA172" s="21">
        <f>EXP(-LN(2)/25)*AA171+(1-EXP(-LN(2)/25))/(LN(2)/25)*Calculateur!V172*Calculateur!X172*VLOOKUP('Données projet'!$B$9,Paramètres!$A$1:$I$89,3,0)*0.475*44/12</f>
        <v>0.16651182713653348</v>
      </c>
      <c r="AB172" s="21">
        <f>EXP(-LN(2)/2)*AB171+(1-EXP(-LN(2)/2))/(LN(2)/2)*V172*Y172*VLOOKUP('Données projet'!$B$9,Paramètres!$A$1:$I$89,3,0)*0.475*44/12</f>
        <v>1.1777821460083557E-20</v>
      </c>
      <c r="AC172" s="22">
        <f t="shared" si="163"/>
        <v>0.36634171955647987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-8.5265128291212022E-14</v>
      </c>
      <c r="AJ172" s="13">
        <f>AI172*VLOOKUP('Données projet'!$B$10,Paramètres!$A$1:$I$89,3,0)*VLOOKUP('Données projet'!$B$10,Paramètres!$A$1:$I$89,5,0)</f>
        <v>-7.7147888077888636E-14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225.28075317732998</v>
      </c>
      <c r="AO172" s="59">
        <f t="shared" si="144"/>
        <v>358.43407531256207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0.14302488610055555</v>
      </c>
      <c r="AV172" s="21">
        <f>EXP(-LN(2)/25)*AV171+(1-EXP(-LN(2)/25))/(LN(2)/25)*Calculateur!AQ172*Calculateur!AS172*VLOOKUP('Données projet'!$B$10,Paramètres!$A$1:$I$89,3,0)*0.475*44/12</f>
        <v>0.17534231076661705</v>
      </c>
      <c r="AW172" s="21">
        <f>EXP(-LN(2)/2)*AW171+(1-EXP(-LN(2)/2))/(LN(2)/2)*AQ172*AT172*VLOOKUP('Données projet'!$B$10,Paramètres!$A$1:$I$89,3,0)*0.475*44/12</f>
        <v>5.2874918099095135E-21</v>
      </c>
      <c r="AX172" s="21">
        <f t="shared" si="166"/>
        <v>0.31836719686717263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-5.6843418860808015E-13</v>
      </c>
      <c r="BE172" s="13">
        <f>BD172*VLOOKUP('Données projet'!$B$11,Paramètres!$A$1:$I$89,3,0)*VLOOKUP('Données projet'!$B$11,Paramètres!$A$1:$I$89,5,0)</f>
        <v>-3.177547114319168E-13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326.31232746914907</v>
      </c>
      <c r="BJ172" s="59">
        <f t="shared" si="146"/>
        <v>330.17137761430297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0.29120696014719849</v>
      </c>
      <c r="BQ172" s="21">
        <f>EXP(-LN(2)/25)*BQ171+(1-EXP(-LN(2)/25))/(LN(2)/25)*Calculateur!BL172*Calculateur!BN172*VLOOKUP('Données projet'!$B$11,Paramètres!$A$1:$I$89,3,0)*0.475*44/12</f>
        <v>0.63957425301484827</v>
      </c>
      <c r="BR172" s="21">
        <f>EXP(-LN(2)/2)*BR171+(1-EXP(-LN(2)/2))/(LN(2)/2)*BL172*BO172*VLOOKUP('Données projet'!$B$11,Paramètres!$A$1:$I$89,3,0)*0.475*44/12</f>
        <v>3.8957737496236935E-20</v>
      </c>
      <c r="BS172" s="22">
        <f t="shared" si="169"/>
        <v>0.93078121316204676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210.04871822652808</v>
      </c>
      <c r="CE172" s="59">
        <f t="shared" si="148"/>
        <v>250.17540614049324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0.46543860860736108</v>
      </c>
      <c r="CL172" s="21">
        <f>EXP(-LN(2)/25)*CL171+(1-EXP(-LN(2)/25))/(LN(2)/25)*Calculateur!CG172*Calculateur!CI172*VLOOKUP('Données projet'!$B$12,Paramètres!$A$1:$I$89,3,0)*0.475*44/12</f>
        <v>0.58992603881601047</v>
      </c>
      <c r="CM172" s="21">
        <f>EXP(-LN(2)/2)*CM171+(1-EXP(-LN(2)/2))/(LN(2)/2)*CG172*CJ172*VLOOKUP('Données projet'!$B$12,Paramètres!$A$1:$I$89,3,0)*0.475*44/12</f>
        <v>2.5819090394458818E-20</v>
      </c>
      <c r="CN172" s="22">
        <f t="shared" si="172"/>
        <v>1.0553646474233715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4.5224624045658861E-14</v>
      </c>
      <c r="CV172" s="13">
        <f t="shared" si="173"/>
        <v>7.4514601661523691E-13</v>
      </c>
      <c r="CW172" s="20">
        <f t="shared" si="174"/>
        <v>1.3765621991510601E-12</v>
      </c>
      <c r="CX172" s="59">
        <f t="shared" si="122"/>
        <v>293.33333333333468</v>
      </c>
      <c r="CY172" s="59">
        <f ca="1">AVERAGE(OFFSET($CX$3,0,0,'Données projet'!$E$13+1,1))-AVERAGE(OFFSET($H$3,0,0,'Données projet'!$E$13+1,1))</f>
        <v>199.58763537752952</v>
      </c>
      <c r="CZ172" s="59">
        <f t="shared" si="150"/>
        <v>242.62852778451929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0.21796766214760413</v>
      </c>
      <c r="DH172" s="21">
        <f>EXP(-LN(2)/2)*DH171+(1-EXP(-LN(2)/2))/(LN(2)/2)*DB172*DE172*VLOOKUP('Données projet'!$B$13,Paramètres!$A$1:$I$89,3,0)*0.475*44/12</f>
        <v>1.2891114560608025E-20</v>
      </c>
      <c r="DI172" s="22">
        <f t="shared" si="175"/>
        <v>0.21796766214760413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-4.5474735088646412E-13</v>
      </c>
      <c r="DP172" s="17">
        <f>DO172*VLOOKUP('Données projet'!$B$14,Paramètres!$A$1:$I$89,3,0)*VLOOKUP('Données projet'!$B$14,Paramètres!$A$1:$I$89,5,0)</f>
        <v>-2.7193891583010558E-13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216.94426559495264</v>
      </c>
      <c r="DU172" s="59">
        <f t="shared" si="152"/>
        <v>225.33715877618704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0.27236510217118265</v>
      </c>
      <c r="EC172" s="21">
        <f>EXP(-LN(2)/2)*EC171+(1-EXP(-LN(2)/2))/(LN(2)/2)*DW172*DZ172*VLOOKUP('Données projet'!$B$14,Paramètres!$A$1:$I$89,3,0)*0.475*44/12</f>
        <v>2.842505568487285E-20</v>
      </c>
      <c r="ED172" s="22">
        <f t="shared" si="178"/>
        <v>0.27236510217118265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6.8212102632969618E-13</v>
      </c>
      <c r="EK172" s="17">
        <f>EJ172*VLOOKUP('Données projet'!$B$15,Paramètres!$A$1:$I$89,3,0)*VLOOKUP('Données projet'!$B$15,Paramètres!$A$1:$I$89,5,0)</f>
        <v>3.2810021366458383E-13</v>
      </c>
      <c r="EL172" s="13">
        <f t="shared" si="179"/>
        <v>4.2923528923937213E-12</v>
      </c>
      <c r="EM172" s="20">
        <f t="shared" si="180"/>
        <v>8.0472891597182151E-12</v>
      </c>
      <c r="EN172" s="59">
        <f t="shared" si="128"/>
        <v>293.33333333334139</v>
      </c>
      <c r="EO172" s="59">
        <f ca="1">AVERAGE(OFFSET($EN$3,0,0,'Données projet'!$E$15+1,1))-AVERAGE(OFFSET($H$3,0,0,'Données projet'!$E$15+1,1))</f>
        <v>292.1792787220852</v>
      </c>
      <c r="EP172" s="59">
        <f t="shared" si="154"/>
        <v>273.69206144662144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0.42955445284171462</v>
      </c>
      <c r="EW172" s="21">
        <f>EXP(-LN(2)/25)*EW171+(1-EXP(-LN(2)/25))/(LN(2)/25)*Calculateur!ER172*Calculateur!ET172*VLOOKUP('Données projet'!$B$15,Paramètres!$A$1:$I$89,3,0)*0.475*44/12</f>
        <v>0.28452944231280303</v>
      </c>
      <c r="EX172" s="21">
        <f>EXP(-LN(2)/2)*EX171+(1-EXP(-LN(2)/2))/(LN(2)/2)*ER172*EU172*VLOOKUP('Données projet'!$B$15,Paramètres!$A$1:$I$89,3,0)*0.475*44/12</f>
        <v>2.5051119652370757E-20</v>
      </c>
      <c r="EY172" s="22">
        <f t="shared" si="181"/>
        <v>0.71408389515451764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215.23235148064941</v>
      </c>
      <c r="T173" s="59">
        <f t="shared" si="142"/>
        <v>184.07239726900434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0.19591135011379052</v>
      </c>
      <c r="AA173" s="21">
        <f>EXP(-LN(2)/25)*AA172+(1-EXP(-LN(2)/25))/(LN(2)/25)*Calculateur!V173*Calculateur!X173*VLOOKUP('Données projet'!$B$9,Paramètres!$A$1:$I$89,3,0)*0.475*44/12</f>
        <v>0.16195855246700855</v>
      </c>
      <c r="AB173" s="21">
        <f>EXP(-LN(2)/2)*AB172+(1-EXP(-LN(2)/2))/(LN(2)/2)*V173*Y173*VLOOKUP('Données projet'!$B$9,Paramètres!$A$1:$I$89,3,0)*0.475*44/12</f>
        <v>8.3281774220295273E-21</v>
      </c>
      <c r="AC173" s="22">
        <f t="shared" si="163"/>
        <v>0.35786990258079909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-8.5265128291212022E-14</v>
      </c>
      <c r="AJ173" s="13">
        <f>AI173*VLOOKUP('Données projet'!$B$10,Paramètres!$A$1:$I$89,3,0)*VLOOKUP('Données projet'!$B$10,Paramètres!$A$1:$I$89,5,0)</f>
        <v>-7.7147888077888636E-14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225.28075317732998</v>
      </c>
      <c r="AO173" s="59">
        <f t="shared" si="144"/>
        <v>358.43407531256207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0.1402202553206903</v>
      </c>
      <c r="AV173" s="21">
        <f>EXP(-LN(2)/25)*AV172+(1-EXP(-LN(2)/25))/(LN(2)/25)*Calculateur!AQ173*Calculateur!AS173*VLOOKUP('Données projet'!$B$10,Paramètres!$A$1:$I$89,3,0)*0.475*44/12</f>
        <v>0.17054756605785254</v>
      </c>
      <c r="AW173" s="21">
        <f>EXP(-LN(2)/2)*AW172+(1-EXP(-LN(2)/2))/(LN(2)/2)*AQ173*AT173*VLOOKUP('Données projet'!$B$10,Paramètres!$A$1:$I$89,3,0)*0.475*44/12</f>
        <v>3.7388213142553485E-21</v>
      </c>
      <c r="AX173" s="21">
        <f t="shared" si="166"/>
        <v>0.31076782137854286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-5.6843418860808015E-13</v>
      </c>
      <c r="BE173" s="13">
        <f>BD173*VLOOKUP('Données projet'!$B$11,Paramètres!$A$1:$I$89,3,0)*VLOOKUP('Données projet'!$B$11,Paramètres!$A$1:$I$89,5,0)</f>
        <v>-3.177547114319168E-13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326.31232746914907</v>
      </c>
      <c r="BJ173" s="59">
        <f t="shared" si="146"/>
        <v>330.17137761430297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0.28549656927741923</v>
      </c>
      <c r="BQ173" s="21">
        <f>EXP(-LN(2)/25)*BQ172+(1-EXP(-LN(2)/25))/(LN(2)/25)*Calculateur!BL173*Calculateur!BN173*VLOOKUP('Données projet'!$B$11,Paramètres!$A$1:$I$89,3,0)*0.475*44/12</f>
        <v>0.62208506143240905</v>
      </c>
      <c r="BR173" s="21">
        <f>EXP(-LN(2)/2)*BR172+(1-EXP(-LN(2)/2))/(LN(2)/2)*BL173*BO173*VLOOKUP('Données projet'!$B$11,Paramètres!$A$1:$I$89,3,0)*0.475*44/12</f>
        <v>2.7547280363274569E-20</v>
      </c>
      <c r="BS173" s="22">
        <f t="shared" si="169"/>
        <v>0.90758163070982834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210.04871822652808</v>
      </c>
      <c r="CE173" s="59">
        <f t="shared" si="148"/>
        <v>250.17540614049324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0.45631164138209024</v>
      </c>
      <c r="CL173" s="21">
        <f>EXP(-LN(2)/25)*CL172+(1-EXP(-LN(2)/25))/(LN(2)/25)*Calculateur!CG173*Calculateur!CI173*VLOOKUP('Données projet'!$B$12,Paramètres!$A$1:$I$89,3,0)*0.475*44/12</f>
        <v>0.57379448026172453</v>
      </c>
      <c r="CM173" s="21">
        <f>EXP(-LN(2)/2)*CM172+(1-EXP(-LN(2)/2))/(LN(2)/2)*CG173*CJ173*VLOOKUP('Données projet'!$B$12,Paramètres!$A$1:$I$89,3,0)*0.475*44/12</f>
        <v>1.8256853901990282E-20</v>
      </c>
      <c r="CN173" s="22">
        <f t="shared" si="172"/>
        <v>1.0301061216438148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4.5224624045658861E-14</v>
      </c>
      <c r="CV173" s="13">
        <f t="shared" si="173"/>
        <v>7.4514601661523691E-13</v>
      </c>
      <c r="CW173" s="20">
        <f t="shared" si="174"/>
        <v>1.3765621991510601E-12</v>
      </c>
      <c r="CX173" s="59">
        <f t="shared" si="122"/>
        <v>293.33333333333468</v>
      </c>
      <c r="CY173" s="59">
        <f ca="1">AVERAGE(OFFSET($CX$3,0,0,'Données projet'!$E$13+1,1))-AVERAGE(OFFSET($H$3,0,0,'Données projet'!$E$13+1,1))</f>
        <v>199.58763537752952</v>
      </c>
      <c r="CZ173" s="59">
        <f t="shared" si="150"/>
        <v>242.62852778451929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0.21200732496375671</v>
      </c>
      <c r="DH173" s="21">
        <f>EXP(-LN(2)/2)*DH172+(1-EXP(-LN(2)/2))/(LN(2)/2)*DB173*DE173*VLOOKUP('Données projet'!$B$13,Paramètres!$A$1:$I$89,3,0)*0.475*44/12</f>
        <v>9.1153945228585756E-21</v>
      </c>
      <c r="DI173" s="22">
        <f t="shared" si="175"/>
        <v>0.21200732496375671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-4.5474735088646412E-13</v>
      </c>
      <c r="DP173" s="17">
        <f>DO173*VLOOKUP('Données projet'!$B$14,Paramètres!$A$1:$I$89,3,0)*VLOOKUP('Données projet'!$B$14,Paramètres!$A$1:$I$89,5,0)</f>
        <v>-2.7193891583010558E-13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216.94426559495264</v>
      </c>
      <c r="DU173" s="59">
        <f t="shared" si="152"/>
        <v>225.33715877618704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0.26491726412925343</v>
      </c>
      <c r="EC173" s="21">
        <f>EXP(-LN(2)/2)*EC172+(1-EXP(-LN(2)/2))/(LN(2)/2)*DW173*DZ173*VLOOKUP('Données projet'!$B$14,Paramètres!$A$1:$I$89,3,0)*0.475*44/12</f>
        <v>2.0099549630378816E-20</v>
      </c>
      <c r="ED173" s="22">
        <f t="shared" si="178"/>
        <v>0.26491726412925343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6.8212102632969618E-13</v>
      </c>
      <c r="EK173" s="17">
        <f>EJ173*VLOOKUP('Données projet'!$B$15,Paramètres!$A$1:$I$89,3,0)*VLOOKUP('Données projet'!$B$15,Paramètres!$A$1:$I$89,5,0)</f>
        <v>3.2810021366458383E-13</v>
      </c>
      <c r="EL173" s="13">
        <f t="shared" si="179"/>
        <v>4.2923528923937213E-12</v>
      </c>
      <c r="EM173" s="20">
        <f t="shared" si="180"/>
        <v>8.0472891597182151E-12</v>
      </c>
      <c r="EN173" s="59">
        <f t="shared" si="128"/>
        <v>293.33333333334139</v>
      </c>
      <c r="EO173" s="59">
        <f ca="1">AVERAGE(OFFSET($EN$3,0,0,'Données projet'!$E$15+1,1))-AVERAGE(OFFSET($H$3,0,0,'Données projet'!$E$15+1,1))</f>
        <v>292.1792787220852</v>
      </c>
      <c r="EP173" s="59">
        <f t="shared" si="154"/>
        <v>273.69206144662144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0.42113115202383422</v>
      </c>
      <c r="EW173" s="21">
        <f>EXP(-LN(2)/25)*EW172+(1-EXP(-LN(2)/25))/(LN(2)/25)*Calculateur!ER173*Calculateur!ET173*VLOOKUP('Données projet'!$B$15,Paramètres!$A$1:$I$89,3,0)*0.475*44/12</f>
        <v>0.27674896975000635</v>
      </c>
      <c r="EX173" s="21">
        <f>EXP(-LN(2)/2)*EX172+(1-EXP(-LN(2)/2))/(LN(2)/2)*ER173*EU173*VLOOKUP('Données projet'!$B$15,Paramètres!$A$1:$I$89,3,0)*0.475*44/12</f>
        <v>1.7713816582506949E-20</v>
      </c>
      <c r="EY173" s="22">
        <f t="shared" si="181"/>
        <v>0.69788012177384062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215.23235148064941</v>
      </c>
      <c r="T174" s="59">
        <f t="shared" si="142"/>
        <v>184.07239726900434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0.1920696480321836</v>
      </c>
      <c r="AA174" s="21">
        <f>EXP(-LN(2)/25)*AA173+(1-EXP(-LN(2)/25))/(LN(2)/25)*Calculateur!V174*Calculateur!X174*VLOOKUP('Données projet'!$B$9,Paramètres!$A$1:$I$89,3,0)*0.475*44/12</f>
        <v>0.1575297873327681</v>
      </c>
      <c r="AB174" s="21">
        <f>EXP(-LN(2)/2)*AB173+(1-EXP(-LN(2)/2))/(LN(2)/2)*V174*Y174*VLOOKUP('Données projet'!$B$9,Paramètres!$A$1:$I$89,3,0)*0.475*44/12</f>
        <v>5.8889107300417785E-21</v>
      </c>
      <c r="AC174" s="22">
        <f t="shared" si="163"/>
        <v>0.34959943536495169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-8.5265128291212022E-14</v>
      </c>
      <c r="AJ174" s="13">
        <f>AI174*VLOOKUP('Données projet'!$B$10,Paramètres!$A$1:$I$89,3,0)*VLOOKUP('Données projet'!$B$10,Paramètres!$A$1:$I$89,5,0)</f>
        <v>-7.7147888077888636E-14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225.28075317732998</v>
      </c>
      <c r="AO174" s="59">
        <f t="shared" si="144"/>
        <v>358.43407531256207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0.13747062163976231</v>
      </c>
      <c r="AV174" s="21">
        <f>EXP(-LN(2)/25)*AV173+(1-EXP(-LN(2)/25))/(LN(2)/25)*Calculateur!AQ174*Calculateur!AS174*VLOOKUP('Données projet'!$B$10,Paramètres!$A$1:$I$89,3,0)*0.475*44/12</f>
        <v>0.16588393389529385</v>
      </c>
      <c r="AW174" s="21">
        <f>EXP(-LN(2)/2)*AW173+(1-EXP(-LN(2)/2))/(LN(2)/2)*AQ174*AT174*VLOOKUP('Données projet'!$B$10,Paramètres!$A$1:$I$89,3,0)*0.475*44/12</f>
        <v>2.6437459049547567E-21</v>
      </c>
      <c r="AX174" s="21">
        <f t="shared" si="166"/>
        <v>0.30335455553505619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-5.6843418860808015E-13</v>
      </c>
      <c r="BE174" s="13">
        <f>BD174*VLOOKUP('Données projet'!$B$11,Paramètres!$A$1:$I$89,3,0)*VLOOKUP('Données projet'!$B$11,Paramètres!$A$1:$I$89,5,0)</f>
        <v>-3.177547114319168E-13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326.31232746914907</v>
      </c>
      <c r="BJ174" s="59">
        <f t="shared" si="146"/>
        <v>330.17137761430297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0.2798981556896018</v>
      </c>
      <c r="BQ174" s="21">
        <f>EXP(-LN(2)/25)*BQ173+(1-EXP(-LN(2)/25))/(LN(2)/25)*Calculateur!BL174*Calculateur!BN174*VLOOKUP('Données projet'!$B$11,Paramètres!$A$1:$I$89,3,0)*0.475*44/12</f>
        <v>0.60507411271350819</v>
      </c>
      <c r="BR174" s="21">
        <f>EXP(-LN(2)/2)*BR173+(1-EXP(-LN(2)/2))/(LN(2)/2)*BL174*BO174*VLOOKUP('Données projet'!$B$11,Paramètres!$A$1:$I$89,3,0)*0.475*44/12</f>
        <v>1.9478868748118468E-20</v>
      </c>
      <c r="BS174" s="22">
        <f t="shared" si="169"/>
        <v>0.88497226840311005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210.04871822652808</v>
      </c>
      <c r="CE174" s="59">
        <f t="shared" si="148"/>
        <v>250.17540614049324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0.44736364841720661</v>
      </c>
      <c r="CL174" s="21">
        <f>EXP(-LN(2)/25)*CL173+(1-EXP(-LN(2)/25))/(LN(2)/25)*Calculateur!CG174*Calculateur!CI174*VLOOKUP('Données projet'!$B$12,Paramètres!$A$1:$I$89,3,0)*0.475*44/12</f>
        <v>0.55810404002442737</v>
      </c>
      <c r="CM174" s="21">
        <f>EXP(-LN(2)/2)*CM173+(1-EXP(-LN(2)/2))/(LN(2)/2)*CG174*CJ174*VLOOKUP('Données projet'!$B$12,Paramètres!$A$1:$I$89,3,0)*0.475*44/12</f>
        <v>1.2909545197229409E-20</v>
      </c>
      <c r="CN174" s="22">
        <f t="shared" si="172"/>
        <v>1.005467688441634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4.5224624045658861E-14</v>
      </c>
      <c r="CV174" s="13">
        <f t="shared" si="173"/>
        <v>7.4514601661523691E-13</v>
      </c>
      <c r="CW174" s="20">
        <f t="shared" si="174"/>
        <v>1.3765621991510601E-12</v>
      </c>
      <c r="CX174" s="59">
        <f t="shared" si="122"/>
        <v>293.33333333333468</v>
      </c>
      <c r="CY174" s="59">
        <f ca="1">AVERAGE(OFFSET($CX$3,0,0,'Données projet'!$E$13+1,1))-AVERAGE(OFFSET($H$3,0,0,'Données projet'!$E$13+1,1))</f>
        <v>199.58763537752952</v>
      </c>
      <c r="CZ174" s="59">
        <f t="shared" si="150"/>
        <v>242.62852778451929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0.20620997351364212</v>
      </c>
      <c r="DH174" s="21">
        <f>EXP(-LN(2)/2)*DH173+(1-EXP(-LN(2)/2))/(LN(2)/2)*DB174*DE174*VLOOKUP('Données projet'!$B$13,Paramètres!$A$1:$I$89,3,0)*0.475*44/12</f>
        <v>6.4455572803040127E-21</v>
      </c>
      <c r="DI174" s="22">
        <f t="shared" si="175"/>
        <v>0.20620997351364212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-4.5474735088646412E-13</v>
      </c>
      <c r="DP174" s="17">
        <f>DO174*VLOOKUP('Données projet'!$B$14,Paramètres!$A$1:$I$89,3,0)*VLOOKUP('Données projet'!$B$14,Paramètres!$A$1:$I$89,5,0)</f>
        <v>-2.7193891583010558E-13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216.94426559495264</v>
      </c>
      <c r="DU174" s="59">
        <f t="shared" si="152"/>
        <v>225.33715877618704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0.25767308761024554</v>
      </c>
      <c r="EC174" s="21">
        <f>EXP(-LN(2)/2)*EC173+(1-EXP(-LN(2)/2))/(LN(2)/2)*DW174*DZ174*VLOOKUP('Données projet'!$B$14,Paramètres!$A$1:$I$89,3,0)*0.475*44/12</f>
        <v>1.4212527842436425E-20</v>
      </c>
      <c r="ED174" s="22">
        <f t="shared" si="178"/>
        <v>0.25767308761024554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6.8212102632969618E-13</v>
      </c>
      <c r="EK174" s="17">
        <f>EJ174*VLOOKUP('Données projet'!$B$15,Paramètres!$A$1:$I$89,3,0)*VLOOKUP('Données projet'!$B$15,Paramètres!$A$1:$I$89,5,0)</f>
        <v>3.2810021366458383E-13</v>
      </c>
      <c r="EL174" s="13">
        <f t="shared" si="179"/>
        <v>4.2923528923937213E-12</v>
      </c>
      <c r="EM174" s="20">
        <f t="shared" si="180"/>
        <v>8.0472891597182151E-12</v>
      </c>
      <c r="EN174" s="59">
        <f t="shared" si="128"/>
        <v>293.33333333334139</v>
      </c>
      <c r="EO174" s="59">
        <f ca="1">AVERAGE(OFFSET($EN$3,0,0,'Données projet'!$E$15+1,1))-AVERAGE(OFFSET($H$3,0,0,'Données projet'!$E$15+1,1))</f>
        <v>292.1792787220852</v>
      </c>
      <c r="EP174" s="59">
        <f t="shared" si="154"/>
        <v>273.69206144662144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0.41287302699728629</v>
      </c>
      <c r="EW174" s="21">
        <f>EXP(-LN(2)/25)*EW173+(1-EXP(-LN(2)/25))/(LN(2)/25)*Calculateur!ER174*Calculateur!ET174*VLOOKUP('Données projet'!$B$15,Paramètres!$A$1:$I$89,3,0)*0.475*44/12</f>
        <v>0.2691812546185966</v>
      </c>
      <c r="EX174" s="21">
        <f>EXP(-LN(2)/2)*EX173+(1-EXP(-LN(2)/2))/(LN(2)/2)*ER174*EU174*VLOOKUP('Données projet'!$B$15,Paramètres!$A$1:$I$89,3,0)*0.475*44/12</f>
        <v>1.2525559826185379E-20</v>
      </c>
      <c r="EY174" s="22">
        <f t="shared" si="181"/>
        <v>0.68205428161588288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215.23235148064941</v>
      </c>
      <c r="T175" s="59">
        <f t="shared" si="142"/>
        <v>184.07239726900434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0.18830327938519009</v>
      </c>
      <c r="AA175" s="21">
        <f>EXP(-LN(2)/25)*AA174+(1-EXP(-LN(2)/25))/(LN(2)/25)*Calculateur!V175*Calculateur!X175*VLOOKUP('Données projet'!$B$9,Paramètres!$A$1:$I$89,3,0)*0.475*44/12</f>
        <v>0.15322212701402207</v>
      </c>
      <c r="AB175" s="21">
        <f>EXP(-LN(2)/2)*AB174+(1-EXP(-LN(2)/2))/(LN(2)/2)*V175*Y175*VLOOKUP('Données projet'!$B$9,Paramètres!$A$1:$I$89,3,0)*0.475*44/12</f>
        <v>4.1640887110147636E-21</v>
      </c>
      <c r="AC175" s="22">
        <f t="shared" si="163"/>
        <v>0.34152540639921214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-8.5265128291212022E-14</v>
      </c>
      <c r="AJ175" s="13">
        <f>AI175*VLOOKUP('Données projet'!$B$10,Paramètres!$A$1:$I$89,3,0)*VLOOKUP('Données projet'!$B$10,Paramètres!$A$1:$I$89,5,0)</f>
        <v>-7.7147888077888636E-14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225.28075317732998</v>
      </c>
      <c r="AO175" s="59">
        <f t="shared" si="144"/>
        <v>358.43407531256207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0.1347749065982064</v>
      </c>
      <c r="AV175" s="21">
        <f>EXP(-LN(2)/25)*AV174+(1-EXP(-LN(2)/25))/(LN(2)/25)*Calculateur!AQ175*Calculateur!AS175*VLOOKUP('Données projet'!$B$10,Paramètres!$A$1:$I$89,3,0)*0.475*44/12</f>
        <v>0.16134782899947009</v>
      </c>
      <c r="AW175" s="21">
        <f>EXP(-LN(2)/2)*AW174+(1-EXP(-LN(2)/2))/(LN(2)/2)*AQ175*AT175*VLOOKUP('Données projet'!$B$10,Paramètres!$A$1:$I$89,3,0)*0.475*44/12</f>
        <v>1.8694106571276742E-21</v>
      </c>
      <c r="AX175" s="21">
        <f t="shared" si="166"/>
        <v>0.29612273559767649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-5.6843418860808015E-13</v>
      </c>
      <c r="BE175" s="13">
        <f>BD175*VLOOKUP('Données projet'!$B$11,Paramètres!$A$1:$I$89,3,0)*VLOOKUP('Données projet'!$B$11,Paramètres!$A$1:$I$89,5,0)</f>
        <v>-3.177547114319168E-13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326.31232746914907</v>
      </c>
      <c r="BJ175" s="59">
        <f t="shared" si="146"/>
        <v>330.17137761430297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0.27440952357754639</v>
      </c>
      <c r="BQ175" s="21">
        <f>EXP(-LN(2)/25)*BQ174+(1-EXP(-LN(2)/25))/(LN(2)/25)*Calculateur!BL175*Calculateur!BN175*VLOOKUP('Données projet'!$B$11,Paramètres!$A$1:$I$89,3,0)*0.475*44/12</f>
        <v>0.58852832928189269</v>
      </c>
      <c r="BR175" s="21">
        <f>EXP(-LN(2)/2)*BR174+(1-EXP(-LN(2)/2))/(LN(2)/2)*BL175*BO175*VLOOKUP('Données projet'!$B$11,Paramètres!$A$1:$I$89,3,0)*0.475*44/12</f>
        <v>1.3773640181637284E-20</v>
      </c>
      <c r="BS175" s="22">
        <f t="shared" si="169"/>
        <v>0.86293785285943914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210.04871822652808</v>
      </c>
      <c r="CE175" s="59">
        <f t="shared" si="148"/>
        <v>250.17540614049324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0.43859112013662754</v>
      </c>
      <c r="CL175" s="21">
        <f>EXP(-LN(2)/25)*CL174+(1-EXP(-LN(2)/25))/(LN(2)/25)*Calculateur!CG175*Calculateur!CI175*VLOOKUP('Données projet'!$B$12,Paramètres!$A$1:$I$89,3,0)*0.475*44/12</f>
        <v>0.54284265570054346</v>
      </c>
      <c r="CM175" s="21">
        <f>EXP(-LN(2)/2)*CM174+(1-EXP(-LN(2)/2))/(LN(2)/2)*CG175*CJ175*VLOOKUP('Données projet'!$B$12,Paramètres!$A$1:$I$89,3,0)*0.475*44/12</f>
        <v>9.1284269509951412E-21</v>
      </c>
      <c r="CN175" s="22">
        <f t="shared" si="172"/>
        <v>0.98143377583717095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4.5224624045658861E-14</v>
      </c>
      <c r="CV175" s="13">
        <f t="shared" si="173"/>
        <v>7.4514601661523691E-13</v>
      </c>
      <c r="CW175" s="20">
        <f t="shared" si="174"/>
        <v>1.3765621991510601E-12</v>
      </c>
      <c r="CX175" s="59">
        <f t="shared" si="122"/>
        <v>293.33333333333468</v>
      </c>
      <c r="CY175" s="59">
        <f ca="1">AVERAGE(OFFSET($CX$3,0,0,'Données projet'!$E$13+1,1))-AVERAGE(OFFSET($H$3,0,0,'Données projet'!$E$13+1,1))</f>
        <v>199.58763537752952</v>
      </c>
      <c r="CZ175" s="59">
        <f t="shared" si="150"/>
        <v>242.62852778451929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0.20057115094380037</v>
      </c>
      <c r="DH175" s="21">
        <f>EXP(-LN(2)/2)*DH174+(1-EXP(-LN(2)/2))/(LN(2)/2)*DB175*DE175*VLOOKUP('Données projet'!$B$13,Paramètres!$A$1:$I$89,3,0)*0.475*44/12</f>
        <v>4.5576972614292878E-21</v>
      </c>
      <c r="DI175" s="22">
        <f t="shared" si="175"/>
        <v>0.20057115094380037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-4.5474735088646412E-13</v>
      </c>
      <c r="DP175" s="17">
        <f>DO175*VLOOKUP('Données projet'!$B$14,Paramètres!$A$1:$I$89,3,0)*VLOOKUP('Données projet'!$B$14,Paramètres!$A$1:$I$89,5,0)</f>
        <v>-2.7193891583010558E-13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216.94426559495264</v>
      </c>
      <c r="DU175" s="59">
        <f t="shared" si="152"/>
        <v>225.33715877618704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0.2506270034791046</v>
      </c>
      <c r="EC175" s="21">
        <f>EXP(-LN(2)/2)*EC174+(1-EXP(-LN(2)/2))/(LN(2)/2)*DW175*DZ175*VLOOKUP('Données projet'!$B$14,Paramètres!$A$1:$I$89,3,0)*0.475*44/12</f>
        <v>1.0049774815189408E-20</v>
      </c>
      <c r="ED175" s="22">
        <f t="shared" si="178"/>
        <v>0.2506270034791046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6.8212102632969618E-13</v>
      </c>
      <c r="EK175" s="17">
        <f>EJ175*VLOOKUP('Données projet'!$B$15,Paramètres!$A$1:$I$89,3,0)*VLOOKUP('Données projet'!$B$15,Paramètres!$A$1:$I$89,5,0)</f>
        <v>3.2810021366458383E-13</v>
      </c>
      <c r="EL175" s="13">
        <f t="shared" si="179"/>
        <v>4.2923528923937213E-12</v>
      </c>
      <c r="EM175" s="20">
        <f t="shared" si="180"/>
        <v>8.0472891597182151E-12</v>
      </c>
      <c r="EN175" s="59">
        <f t="shared" si="128"/>
        <v>293.33333333334139</v>
      </c>
      <c r="EO175" s="59">
        <f ca="1">AVERAGE(OFFSET($EN$3,0,0,'Données projet'!$E$15+1,1))-AVERAGE(OFFSET($H$3,0,0,'Données projet'!$E$15+1,1))</f>
        <v>292.1792787220852</v>
      </c>
      <c r="EP175" s="59">
        <f t="shared" si="154"/>
        <v>273.69206144662144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0.40477683876555004</v>
      </c>
      <c r="EW175" s="21">
        <f>EXP(-LN(2)/25)*EW174+(1-EXP(-LN(2)/25))/(LN(2)/25)*Calculateur!ER175*Calculateur!ET175*VLOOKUP('Données projet'!$B$15,Paramètres!$A$1:$I$89,3,0)*0.475*44/12</f>
        <v>0.2618204790554241</v>
      </c>
      <c r="EX175" s="21">
        <f>EXP(-LN(2)/2)*EX174+(1-EXP(-LN(2)/2))/(LN(2)/2)*ER175*EU175*VLOOKUP('Données projet'!$B$15,Paramètres!$A$1:$I$89,3,0)*0.475*44/12</f>
        <v>8.8569082912534746E-21</v>
      </c>
      <c r="EY175" s="22">
        <f t="shared" si="181"/>
        <v>0.66659731782097409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215.23235148064941</v>
      </c>
      <c r="T176" s="59">
        <f t="shared" si="142"/>
        <v>184.07239726900434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0.18461076693010608</v>
      </c>
      <c r="AA176" s="21">
        <f>EXP(-LN(2)/25)*AA175+(1-EXP(-LN(2)/25))/(LN(2)/25)*Calculateur!V176*Calculateur!X176*VLOOKUP('Données projet'!$B$9,Paramètres!$A$1:$I$89,3,0)*0.475*44/12</f>
        <v>0.14903225989322216</v>
      </c>
      <c r="AB176" s="21">
        <f>EXP(-LN(2)/2)*AB175+(1-EXP(-LN(2)/2))/(LN(2)/2)*V176*Y176*VLOOKUP('Données projet'!$B$9,Paramètres!$A$1:$I$89,3,0)*0.475*44/12</f>
        <v>2.9444553650208892E-21</v>
      </c>
      <c r="AC176" s="22">
        <f t="shared" si="163"/>
        <v>0.33364302682332825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-8.5265128291212022E-14</v>
      </c>
      <c r="AJ176" s="13">
        <f>AI176*VLOOKUP('Données projet'!$B$10,Paramètres!$A$1:$I$89,3,0)*VLOOKUP('Données projet'!$B$10,Paramètres!$A$1:$I$89,5,0)</f>
        <v>-7.7147888077888636E-14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225.28075317732998</v>
      </c>
      <c r="AO176" s="59">
        <f t="shared" si="144"/>
        <v>358.43407531256207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0.13213205288439156</v>
      </c>
      <c r="AV176" s="21">
        <f>EXP(-LN(2)/25)*AV175+(1-EXP(-LN(2)/25))/(LN(2)/25)*Calculateur!AQ176*Calculateur!AS176*VLOOKUP('Données projet'!$B$10,Paramètres!$A$1:$I$89,3,0)*0.475*44/12</f>
        <v>0.15693576413056601</v>
      </c>
      <c r="AW176" s="21">
        <f>EXP(-LN(2)/2)*AW175+(1-EXP(-LN(2)/2))/(LN(2)/2)*AQ176*AT176*VLOOKUP('Données projet'!$B$10,Paramètres!$A$1:$I$89,3,0)*0.475*44/12</f>
        <v>1.3218729524773784E-21</v>
      </c>
      <c r="AX176" s="21">
        <f t="shared" si="166"/>
        <v>0.28906781701495754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-5.6843418860808015E-13</v>
      </c>
      <c r="BE176" s="13">
        <f>BD176*VLOOKUP('Données projet'!$B$11,Paramètres!$A$1:$I$89,3,0)*VLOOKUP('Données projet'!$B$11,Paramètres!$A$1:$I$89,5,0)</f>
        <v>-3.177547114319168E-13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326.31232746914907</v>
      </c>
      <c r="BJ176" s="59">
        <f t="shared" si="146"/>
        <v>330.17137761430297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0.26902852019347334</v>
      </c>
      <c r="BQ176" s="21">
        <f>EXP(-LN(2)/25)*BQ175+(1-EXP(-LN(2)/25))/(LN(2)/25)*Calculateur!BL176*Calculateur!BN176*VLOOKUP('Données projet'!$B$11,Paramètres!$A$1:$I$89,3,0)*0.475*44/12</f>
        <v>0.57243499116831964</v>
      </c>
      <c r="BR176" s="21">
        <f>EXP(-LN(2)/2)*BR175+(1-EXP(-LN(2)/2))/(LN(2)/2)*BL176*BO176*VLOOKUP('Données projet'!$B$11,Paramètres!$A$1:$I$89,3,0)*0.475*44/12</f>
        <v>9.7394343740592338E-21</v>
      </c>
      <c r="BS176" s="22">
        <f t="shared" si="169"/>
        <v>0.84146351136179298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210.04871822652808</v>
      </c>
      <c r="CE176" s="59">
        <f t="shared" si="148"/>
        <v>250.17540614049324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0.42999061578491671</v>
      </c>
      <c r="CL176" s="21">
        <f>EXP(-LN(2)/25)*CL175+(1-EXP(-LN(2)/25))/(LN(2)/25)*Calculateur!CG176*Calculateur!CI176*VLOOKUP('Données projet'!$B$12,Paramètres!$A$1:$I$89,3,0)*0.475*44/12</f>
        <v>0.52799859473355748</v>
      </c>
      <c r="CM176" s="21">
        <f>EXP(-LN(2)/2)*CM175+(1-EXP(-LN(2)/2))/(LN(2)/2)*CG176*CJ176*VLOOKUP('Données projet'!$B$12,Paramètres!$A$1:$I$89,3,0)*0.475*44/12</f>
        <v>6.4547725986147046E-21</v>
      </c>
      <c r="CN176" s="22">
        <f t="shared" si="172"/>
        <v>0.95798921051847419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4.5224624045658861E-14</v>
      </c>
      <c r="CV176" s="13">
        <f t="shared" si="173"/>
        <v>7.4514601661523691E-13</v>
      </c>
      <c r="CW176" s="20">
        <f t="shared" si="174"/>
        <v>1.3765621991510601E-12</v>
      </c>
      <c r="CX176" s="59">
        <f t="shared" si="122"/>
        <v>293.33333333333468</v>
      </c>
      <c r="CY176" s="59">
        <f ca="1">AVERAGE(OFFSET($CX$3,0,0,'Données projet'!$E$13+1,1))-AVERAGE(OFFSET($H$3,0,0,'Données projet'!$E$13+1,1))</f>
        <v>199.58763537752952</v>
      </c>
      <c r="CZ176" s="59">
        <f t="shared" si="150"/>
        <v>242.62852778451929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0.19508652227366374</v>
      </c>
      <c r="DH176" s="21">
        <f>EXP(-LN(2)/2)*DH175+(1-EXP(-LN(2)/2))/(LN(2)/2)*DB176*DE176*VLOOKUP('Données projet'!$B$13,Paramètres!$A$1:$I$89,3,0)*0.475*44/12</f>
        <v>3.2227786401520063E-21</v>
      </c>
      <c r="DI176" s="22">
        <f t="shared" si="175"/>
        <v>0.19508652227366374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-4.5474735088646412E-13</v>
      </c>
      <c r="DP176" s="17">
        <f>DO176*VLOOKUP('Données projet'!$B$14,Paramètres!$A$1:$I$89,3,0)*VLOOKUP('Données projet'!$B$14,Paramètres!$A$1:$I$89,5,0)</f>
        <v>-2.7193891583010558E-13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216.94426559495264</v>
      </c>
      <c r="DU176" s="59">
        <f t="shared" si="152"/>
        <v>225.33715877618704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0.24377359488906719</v>
      </c>
      <c r="EC176" s="21">
        <f>EXP(-LN(2)/2)*EC175+(1-EXP(-LN(2)/2))/(LN(2)/2)*DW176*DZ176*VLOOKUP('Données projet'!$B$14,Paramètres!$A$1:$I$89,3,0)*0.475*44/12</f>
        <v>7.1062639212182126E-21</v>
      </c>
      <c r="ED176" s="22">
        <f t="shared" si="178"/>
        <v>0.24377359488906719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6.8212102632969618E-13</v>
      </c>
      <c r="EK176" s="17">
        <f>EJ176*VLOOKUP('Données projet'!$B$15,Paramètres!$A$1:$I$89,3,0)*VLOOKUP('Données projet'!$B$15,Paramètres!$A$1:$I$89,5,0)</f>
        <v>3.2810021366458383E-13</v>
      </c>
      <c r="EL176" s="13">
        <f t="shared" si="179"/>
        <v>4.2923528923937213E-12</v>
      </c>
      <c r="EM176" s="20">
        <f t="shared" si="180"/>
        <v>8.0472891597182151E-12</v>
      </c>
      <c r="EN176" s="59">
        <f t="shared" si="128"/>
        <v>293.33333333334139</v>
      </c>
      <c r="EO176" s="59">
        <f ca="1">AVERAGE(OFFSET($EN$3,0,0,'Données projet'!$E$15+1,1))-AVERAGE(OFFSET($H$3,0,0,'Données projet'!$E$15+1,1))</f>
        <v>292.1792787220852</v>
      </c>
      <c r="EP176" s="59">
        <f t="shared" si="154"/>
        <v>273.69206144662144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0.39683941184685095</v>
      </c>
      <c r="EW176" s="21">
        <f>EXP(-LN(2)/25)*EW175+(1-EXP(-LN(2)/25))/(LN(2)/25)*Calculateur!ER176*Calculateur!ET176*VLOOKUP('Données projet'!$B$15,Paramètres!$A$1:$I$89,3,0)*0.475*44/12</f>
        <v>0.25466098428711292</v>
      </c>
      <c r="EX176" s="21">
        <f>EXP(-LN(2)/2)*EX175+(1-EXP(-LN(2)/2))/(LN(2)/2)*ER176*EU176*VLOOKUP('Données projet'!$B$15,Paramètres!$A$1:$I$89,3,0)*0.475*44/12</f>
        <v>6.2627799130926893E-21</v>
      </c>
      <c r="EY176" s="22">
        <f t="shared" si="181"/>
        <v>0.65150039613396382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215.23235148064941</v>
      </c>
      <c r="T177" s="59">
        <f t="shared" si="142"/>
        <v>184.07239726900434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0.18099066239205605</v>
      </c>
      <c r="AA177" s="21">
        <f>EXP(-LN(2)/25)*AA176+(1-EXP(-LN(2)/25))/(LN(2)/25)*Calculateur!V177*Calculateur!X177*VLOOKUP('Données projet'!$B$9,Paramètres!$A$1:$I$89,3,0)*0.475*44/12</f>
        <v>0.14495696490917606</v>
      </c>
      <c r="AB177" s="21">
        <f>EXP(-LN(2)/2)*AB176+(1-EXP(-LN(2)/2))/(LN(2)/2)*V177*Y177*VLOOKUP('Données projet'!$B$9,Paramètres!$A$1:$I$89,3,0)*0.475*44/12</f>
        <v>2.0820443555073818E-21</v>
      </c>
      <c r="AC177" s="22">
        <f t="shared" si="163"/>
        <v>0.32594762730123211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-8.5265128291212022E-14</v>
      </c>
      <c r="AJ177" s="13">
        <f>AI177*VLOOKUP('Données projet'!$B$10,Paramètres!$A$1:$I$89,3,0)*VLOOKUP('Données projet'!$B$10,Paramètres!$A$1:$I$89,5,0)</f>
        <v>-7.7147888077888636E-14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225.28075317732998</v>
      </c>
      <c r="AO177" s="59">
        <f t="shared" si="144"/>
        <v>358.43407531256207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0.12954102391992303</v>
      </c>
      <c r="AV177" s="21">
        <f>EXP(-LN(2)/25)*AV176+(1-EXP(-LN(2)/25))/(LN(2)/25)*Calculateur!AQ177*Calculateur!AS177*VLOOKUP('Données projet'!$B$10,Paramètres!$A$1:$I$89,3,0)*0.475*44/12</f>
        <v>0.15264434740752253</v>
      </c>
      <c r="AW177" s="21">
        <f>EXP(-LN(2)/2)*AW176+(1-EXP(-LN(2)/2))/(LN(2)/2)*AQ177*AT177*VLOOKUP('Données projet'!$B$10,Paramètres!$A$1:$I$89,3,0)*0.475*44/12</f>
        <v>9.3470532856383712E-22</v>
      </c>
      <c r="AX177" s="21">
        <f t="shared" si="166"/>
        <v>0.28218537132744559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-5.6843418860808015E-13</v>
      </c>
      <c r="BE177" s="13">
        <f>BD177*VLOOKUP('Données projet'!$B$11,Paramètres!$A$1:$I$89,3,0)*VLOOKUP('Données projet'!$B$11,Paramètres!$A$1:$I$89,5,0)</f>
        <v>-3.177547114319168E-13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326.31232746914907</v>
      </c>
      <c r="BJ177" s="59">
        <f t="shared" si="146"/>
        <v>330.17137761430297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0.26375303500367397</v>
      </c>
      <c r="BQ177" s="21">
        <f>EXP(-LN(2)/25)*BQ176+(1-EXP(-LN(2)/25))/(LN(2)/25)*Calculateur!BL177*Calculateur!BN177*VLOOKUP('Données projet'!$B$11,Paramètres!$A$1:$I$89,3,0)*0.475*44/12</f>
        <v>0.55678172623177402</v>
      </c>
      <c r="BR177" s="21">
        <f>EXP(-LN(2)/2)*BR176+(1-EXP(-LN(2)/2))/(LN(2)/2)*BL177*BO177*VLOOKUP('Données projet'!$B$11,Paramètres!$A$1:$I$89,3,0)*0.475*44/12</f>
        <v>6.8868200908186421E-21</v>
      </c>
      <c r="BS177" s="22">
        <f t="shared" si="169"/>
        <v>0.820534761235448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210.04871822652808</v>
      </c>
      <c r="CE177" s="59">
        <f t="shared" si="148"/>
        <v>250.17540614049324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0.42155876207775328</v>
      </c>
      <c r="CL177" s="21">
        <f>EXP(-LN(2)/25)*CL176+(1-EXP(-LN(2)/25))/(LN(2)/25)*Calculateur!CG177*Calculateur!CI177*VLOOKUP('Données projet'!$B$12,Paramètres!$A$1:$I$89,3,0)*0.475*44/12</f>
        <v>0.51356044539432899</v>
      </c>
      <c r="CM177" s="21">
        <f>EXP(-LN(2)/2)*CM176+(1-EXP(-LN(2)/2))/(LN(2)/2)*CG177*CJ177*VLOOKUP('Données projet'!$B$12,Paramètres!$A$1:$I$89,3,0)*0.475*44/12</f>
        <v>4.5642134754975706E-21</v>
      </c>
      <c r="CN177" s="22">
        <f t="shared" si="172"/>
        <v>0.93511920747208221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4.5224624045658861E-14</v>
      </c>
      <c r="CV177" s="13">
        <f t="shared" si="173"/>
        <v>7.4514601661523691E-13</v>
      </c>
      <c r="CW177" s="20">
        <f t="shared" si="174"/>
        <v>1.3765621991510601E-12</v>
      </c>
      <c r="CX177" s="59">
        <f t="shared" si="122"/>
        <v>293.33333333333468</v>
      </c>
      <c r="CY177" s="59">
        <f ca="1">AVERAGE(OFFSET($CX$3,0,0,'Données projet'!$E$13+1,1))-AVERAGE(OFFSET($H$3,0,0,'Données projet'!$E$13+1,1))</f>
        <v>199.58763537752952</v>
      </c>
      <c r="CZ177" s="59">
        <f t="shared" si="150"/>
        <v>242.62852778451929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0.18975187106293609</v>
      </c>
      <c r="DH177" s="21">
        <f>EXP(-LN(2)/2)*DH176+(1-EXP(-LN(2)/2))/(LN(2)/2)*DB177*DE177*VLOOKUP('Données projet'!$B$13,Paramètres!$A$1:$I$89,3,0)*0.475*44/12</f>
        <v>2.2788486307146439E-21</v>
      </c>
      <c r="DI177" s="22">
        <f t="shared" si="175"/>
        <v>0.18975187106293609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-4.5474735088646412E-13</v>
      </c>
      <c r="DP177" s="17">
        <f>DO177*VLOOKUP('Données projet'!$B$14,Paramètres!$A$1:$I$89,3,0)*VLOOKUP('Données projet'!$B$14,Paramètres!$A$1:$I$89,5,0)</f>
        <v>-2.7193891583010558E-13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216.94426559495264</v>
      </c>
      <c r="DU177" s="59">
        <f t="shared" si="152"/>
        <v>225.33715877618704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0.23710759311732946</v>
      </c>
      <c r="EC177" s="21">
        <f>EXP(-LN(2)/2)*EC176+(1-EXP(-LN(2)/2))/(LN(2)/2)*DW177*DZ177*VLOOKUP('Données projet'!$B$14,Paramètres!$A$1:$I$89,3,0)*0.475*44/12</f>
        <v>5.024887407594704E-21</v>
      </c>
      <c r="ED177" s="22">
        <f t="shared" si="178"/>
        <v>0.23710759311732946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6.8212102632969618E-13</v>
      </c>
      <c r="EK177" s="17">
        <f>EJ177*VLOOKUP('Données projet'!$B$15,Paramètres!$A$1:$I$89,3,0)*VLOOKUP('Données projet'!$B$15,Paramètres!$A$1:$I$89,5,0)</f>
        <v>3.2810021366458383E-13</v>
      </c>
      <c r="EL177" s="13">
        <f t="shared" si="179"/>
        <v>4.2923528923937213E-12</v>
      </c>
      <c r="EM177" s="20">
        <f t="shared" si="180"/>
        <v>8.0472891597182151E-12</v>
      </c>
      <c r="EN177" s="59">
        <f t="shared" si="128"/>
        <v>293.33333333334139</v>
      </c>
      <c r="EO177" s="59">
        <f ca="1">AVERAGE(OFFSET($EN$3,0,0,'Données projet'!$E$15+1,1))-AVERAGE(OFFSET($H$3,0,0,'Données projet'!$E$15+1,1))</f>
        <v>292.1792787220852</v>
      </c>
      <c r="EP177" s="59">
        <f t="shared" si="154"/>
        <v>273.69206144662144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0.38905763302867519</v>
      </c>
      <c r="EW177" s="21">
        <f>EXP(-LN(2)/25)*EW176+(1-EXP(-LN(2)/25))/(LN(2)/25)*Calculateur!ER177*Calculateur!ET177*VLOOKUP('Données projet'!$B$15,Paramètres!$A$1:$I$89,3,0)*0.475*44/12</f>
        <v>0.2476972662797427</v>
      </c>
      <c r="EX177" s="21">
        <f>EXP(-LN(2)/2)*EX176+(1-EXP(-LN(2)/2))/(LN(2)/2)*ER177*EU177*VLOOKUP('Données projet'!$B$15,Paramètres!$A$1:$I$89,3,0)*0.475*44/12</f>
        <v>4.4284541456267373E-21</v>
      </c>
      <c r="EY177" s="22">
        <f t="shared" si="181"/>
        <v>0.63675489930841789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215.23235148064941</v>
      </c>
      <c r="T178" s="59">
        <f t="shared" si="142"/>
        <v>184.07239726900434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0.17744154589595146</v>
      </c>
      <c r="AA178" s="21">
        <f>EXP(-LN(2)/25)*AA177+(1-EXP(-LN(2)/25))/(LN(2)/25)*Calculateur!V178*Calculateur!X178*VLOOKUP('Données projet'!$B$9,Paramètres!$A$1:$I$89,3,0)*0.475*44/12</f>
        <v>0.14099310908077917</v>
      </c>
      <c r="AB178" s="21">
        <f>EXP(-LN(2)/2)*AB177+(1-EXP(-LN(2)/2))/(LN(2)/2)*V178*Y178*VLOOKUP('Données projet'!$B$9,Paramètres!$A$1:$I$89,3,0)*0.475*44/12</f>
        <v>1.4722276825104446E-21</v>
      </c>
      <c r="AC178" s="22">
        <f t="shared" si="163"/>
        <v>0.31843465497673062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-8.5265128291212022E-14</v>
      </c>
      <c r="AJ178" s="13">
        <f>AI178*VLOOKUP('Données projet'!$B$10,Paramètres!$A$1:$I$89,3,0)*VLOOKUP('Données projet'!$B$10,Paramètres!$A$1:$I$89,5,0)</f>
        <v>-7.7147888077888636E-14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225.28075317732998</v>
      </c>
      <c r="AO178" s="59">
        <f t="shared" si="144"/>
        <v>358.43407531256207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0.12700080345307613</v>
      </c>
      <c r="AV178" s="21">
        <f>EXP(-LN(2)/25)*AV177+(1-EXP(-LN(2)/25))/(LN(2)/25)*Calculateur!AQ178*Calculateur!AS178*VLOOKUP('Données projet'!$B$10,Paramètres!$A$1:$I$89,3,0)*0.475*44/12</f>
        <v>0.14847027970044646</v>
      </c>
      <c r="AW178" s="21">
        <f>EXP(-LN(2)/2)*AW177+(1-EXP(-LN(2)/2))/(LN(2)/2)*AQ178*AT178*VLOOKUP('Données projet'!$B$10,Paramètres!$A$1:$I$89,3,0)*0.475*44/12</f>
        <v>6.6093647623868919E-22</v>
      </c>
      <c r="AX178" s="21">
        <f t="shared" si="166"/>
        <v>0.27547108315352259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-5.6843418860808015E-13</v>
      </c>
      <c r="BE178" s="13">
        <f>BD178*VLOOKUP('Données projet'!$B$11,Paramètres!$A$1:$I$89,3,0)*VLOOKUP('Données projet'!$B$11,Paramètres!$A$1:$I$89,5,0)</f>
        <v>-3.177547114319168E-13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326.31232746914907</v>
      </c>
      <c r="BJ178" s="59">
        <f t="shared" si="146"/>
        <v>330.17137761430297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0.25858099886071834</v>
      </c>
      <c r="BQ178" s="21">
        <f>EXP(-LN(2)/25)*BQ177+(1-EXP(-LN(2)/25))/(LN(2)/25)*Calculateur!BL178*Calculateur!BN178*VLOOKUP('Données projet'!$B$11,Paramètres!$A$1:$I$89,3,0)*0.475*44/12</f>
        <v>0.54155650064808769</v>
      </c>
      <c r="BR178" s="21">
        <f>EXP(-LN(2)/2)*BR177+(1-EXP(-LN(2)/2))/(LN(2)/2)*BL178*BO178*VLOOKUP('Données projet'!$B$11,Paramètres!$A$1:$I$89,3,0)*0.475*44/12</f>
        <v>4.8697171870296169E-21</v>
      </c>
      <c r="BS178" s="22">
        <f t="shared" si="169"/>
        <v>0.80013749950880597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210.04871822652808</v>
      </c>
      <c r="CE178" s="59">
        <f t="shared" si="148"/>
        <v>250.17540614049324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0.41329225187886437</v>
      </c>
      <c r="CL178" s="21">
        <f>EXP(-LN(2)/25)*CL177+(1-EXP(-LN(2)/25))/(LN(2)/25)*Calculateur!CG178*Calculateur!CI178*VLOOKUP('Données projet'!$B$12,Paramètres!$A$1:$I$89,3,0)*0.475*44/12</f>
        <v>0.49951710800805099</v>
      </c>
      <c r="CM178" s="21">
        <f>EXP(-LN(2)/2)*CM177+(1-EXP(-LN(2)/2))/(LN(2)/2)*CG178*CJ178*VLOOKUP('Données projet'!$B$12,Paramètres!$A$1:$I$89,3,0)*0.475*44/12</f>
        <v>3.2273862993073523E-21</v>
      </c>
      <c r="CN178" s="22">
        <f t="shared" si="172"/>
        <v>0.91280935988691536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4.5224624045658861E-14</v>
      </c>
      <c r="CV178" s="13">
        <f t="shared" si="173"/>
        <v>7.4514601661523691E-13</v>
      </c>
      <c r="CW178" s="20">
        <f t="shared" si="174"/>
        <v>1.3765621991510601E-12</v>
      </c>
      <c r="CX178" s="59">
        <f t="shared" si="122"/>
        <v>293.33333333333468</v>
      </c>
      <c r="CY178" s="59">
        <f ca="1">AVERAGE(OFFSET($CX$3,0,0,'Données projet'!$E$13+1,1))-AVERAGE(OFFSET($H$3,0,0,'Données projet'!$E$13+1,1))</f>
        <v>199.58763537752952</v>
      </c>
      <c r="CZ178" s="59">
        <f t="shared" si="150"/>
        <v>242.62852778451929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0.18456309617010289</v>
      </c>
      <c r="DH178" s="21">
        <f>EXP(-LN(2)/2)*DH177+(1-EXP(-LN(2)/2))/(LN(2)/2)*DB178*DE178*VLOOKUP('Données projet'!$B$13,Paramètres!$A$1:$I$89,3,0)*0.475*44/12</f>
        <v>1.6113893200760032E-21</v>
      </c>
      <c r="DI178" s="22">
        <f t="shared" si="175"/>
        <v>0.18456309617010289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-4.5474735088646412E-13</v>
      </c>
      <c r="DP178" s="17">
        <f>DO178*VLOOKUP('Données projet'!$B$14,Paramètres!$A$1:$I$89,3,0)*VLOOKUP('Données projet'!$B$14,Paramètres!$A$1:$I$89,5,0)</f>
        <v>-2.7193891583010558E-13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216.94426559495264</v>
      </c>
      <c r="DU178" s="59">
        <f t="shared" si="152"/>
        <v>225.33715877618704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0.23062387351458968</v>
      </c>
      <c r="EC178" s="21">
        <f>EXP(-LN(2)/2)*EC177+(1-EXP(-LN(2)/2))/(LN(2)/2)*DW178*DZ178*VLOOKUP('Données projet'!$B$14,Paramètres!$A$1:$I$89,3,0)*0.475*44/12</f>
        <v>3.5531319606091063E-21</v>
      </c>
      <c r="ED178" s="22">
        <f t="shared" si="178"/>
        <v>0.23062387351458968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6.8212102632969618E-13</v>
      </c>
      <c r="EK178" s="17">
        <f>EJ178*VLOOKUP('Données projet'!$B$15,Paramètres!$A$1:$I$89,3,0)*VLOOKUP('Données projet'!$B$15,Paramètres!$A$1:$I$89,5,0)</f>
        <v>3.2810021366458383E-13</v>
      </c>
      <c r="EL178" s="13">
        <f t="shared" si="179"/>
        <v>4.2923528923937213E-12</v>
      </c>
      <c r="EM178" s="20">
        <f t="shared" si="180"/>
        <v>8.0472891597182151E-12</v>
      </c>
      <c r="EN178" s="59">
        <f t="shared" si="128"/>
        <v>293.33333333334139</v>
      </c>
      <c r="EO178" s="59">
        <f ca="1">AVERAGE(OFFSET($EN$3,0,0,'Données projet'!$E$15+1,1))-AVERAGE(OFFSET($H$3,0,0,'Données projet'!$E$15+1,1))</f>
        <v>292.1792787220852</v>
      </c>
      <c r="EP178" s="59">
        <f t="shared" si="154"/>
        <v>273.69206144662144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0.3814284501467074</v>
      </c>
      <c r="EW178" s="21">
        <f>EXP(-LN(2)/25)*EW177+(1-EXP(-LN(2)/25))/(LN(2)/25)*Calculateur!ER178*Calculateur!ET178*VLOOKUP('Données projet'!$B$15,Paramètres!$A$1:$I$89,3,0)*0.475*44/12</f>
        <v>0.24092397150749001</v>
      </c>
      <c r="EX178" s="21">
        <f>EXP(-LN(2)/2)*EX177+(1-EXP(-LN(2)/2))/(LN(2)/2)*ER178*EU178*VLOOKUP('Données projet'!$B$15,Paramètres!$A$1:$I$89,3,0)*0.475*44/12</f>
        <v>3.1313899565463446E-21</v>
      </c>
      <c r="EY178" s="22">
        <f t="shared" si="181"/>
        <v>0.62235242165419735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215.23235148064941</v>
      </c>
      <c r="T179" s="59">
        <f t="shared" si="142"/>
        <v>184.07239726900434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0.17396202540958816</v>
      </c>
      <c r="AA179" s="21">
        <f>EXP(-LN(2)/25)*AA178+(1-EXP(-LN(2)/25))/(LN(2)/25)*Calculateur!V179*Calculateur!X179*VLOOKUP('Données projet'!$B$9,Paramètres!$A$1:$I$89,3,0)*0.475*44/12</f>
        <v>0.13713764509845991</v>
      </c>
      <c r="AB179" s="21">
        <f>EXP(-LN(2)/2)*AB178+(1-EXP(-LN(2)/2))/(LN(2)/2)*V179*Y179*VLOOKUP('Données projet'!$B$9,Paramètres!$A$1:$I$89,3,0)*0.475*44/12</f>
        <v>1.0410221777536909E-21</v>
      </c>
      <c r="AC179" s="22">
        <f t="shared" si="163"/>
        <v>0.3110996705080481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-8.5265128291212022E-14</v>
      </c>
      <c r="AJ179" s="13">
        <f>AI179*VLOOKUP('Données projet'!$B$10,Paramètres!$A$1:$I$89,3,0)*VLOOKUP('Données projet'!$B$10,Paramètres!$A$1:$I$89,5,0)</f>
        <v>-7.7147888077888636E-14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225.28075317732998</v>
      </c>
      <c r="AO179" s="59">
        <f t="shared" si="144"/>
        <v>358.43407531256207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0.1245103951602026</v>
      </c>
      <c r="AV179" s="21">
        <f>EXP(-LN(2)/25)*AV178+(1-EXP(-LN(2)/25))/(LN(2)/25)*Calculateur!AQ179*Calculateur!AS179*VLOOKUP('Données projet'!$B$10,Paramètres!$A$1:$I$89,3,0)*0.475*44/12</f>
        <v>0.14441035209432507</v>
      </c>
      <c r="AW179" s="21">
        <f>EXP(-LN(2)/2)*AW178+(1-EXP(-LN(2)/2))/(LN(2)/2)*AQ179*AT179*VLOOKUP('Données projet'!$B$10,Paramètres!$A$1:$I$89,3,0)*0.475*44/12</f>
        <v>4.6735266428191856E-22</v>
      </c>
      <c r="AX179" s="21">
        <f t="shared" si="166"/>
        <v>0.26892074725452764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-5.6843418860808015E-13</v>
      </c>
      <c r="BE179" s="13">
        <f>BD179*VLOOKUP('Données projet'!$B$11,Paramètres!$A$1:$I$89,3,0)*VLOOKUP('Données projet'!$B$11,Paramètres!$A$1:$I$89,5,0)</f>
        <v>-3.177547114319168E-13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326.31232746914907</v>
      </c>
      <c r="BJ179" s="59">
        <f t="shared" si="146"/>
        <v>330.17137761430297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0.25351038319189551</v>
      </c>
      <c r="BQ179" s="21">
        <f>EXP(-LN(2)/25)*BQ178+(1-EXP(-LN(2)/25))/(LN(2)/25)*Calculateur!BL179*Calculateur!BN179*VLOOKUP('Données projet'!$B$11,Paramètres!$A$1:$I$89,3,0)*0.475*44/12</f>
        <v>0.52674760965864709</v>
      </c>
      <c r="BR179" s="21">
        <f>EXP(-LN(2)/2)*BR178+(1-EXP(-LN(2)/2))/(LN(2)/2)*BL179*BO179*VLOOKUP('Données projet'!$B$11,Paramètres!$A$1:$I$89,3,0)*0.475*44/12</f>
        <v>3.4434100454093211E-21</v>
      </c>
      <c r="BS179" s="22">
        <f t="shared" si="169"/>
        <v>0.78025799285054265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210.04871822652808</v>
      </c>
      <c r="CE179" s="59">
        <f t="shared" si="148"/>
        <v>250.17540614049324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0.40518784290290233</v>
      </c>
      <c r="CL179" s="21">
        <f>EXP(-LN(2)/25)*CL178+(1-EXP(-LN(2)/25))/(LN(2)/25)*Calculateur!CG179*Calculateur!CI179*VLOOKUP('Données projet'!$B$12,Paramètres!$A$1:$I$89,3,0)*0.475*44/12</f>
        <v>0.48585778642110777</v>
      </c>
      <c r="CM179" s="21">
        <f>EXP(-LN(2)/2)*CM178+(1-EXP(-LN(2)/2))/(LN(2)/2)*CG179*CJ179*VLOOKUP('Données projet'!$B$12,Paramètres!$A$1:$I$89,3,0)*0.475*44/12</f>
        <v>2.2821067377487853E-21</v>
      </c>
      <c r="CN179" s="22">
        <f t="shared" si="172"/>
        <v>0.8910456293240101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4.5224624045658861E-14</v>
      </c>
      <c r="CV179" s="13">
        <f t="shared" si="173"/>
        <v>7.4514601661523691E-13</v>
      </c>
      <c r="CW179" s="20">
        <f t="shared" si="174"/>
        <v>1.3765621991510601E-12</v>
      </c>
      <c r="CX179" s="59">
        <f t="shared" si="122"/>
        <v>293.33333333333468</v>
      </c>
      <c r="CY179" s="59">
        <f ca="1">AVERAGE(OFFSET($CX$3,0,0,'Données projet'!$E$13+1,1))-AVERAGE(OFFSET($H$3,0,0,'Données projet'!$E$13+1,1))</f>
        <v>199.58763537752952</v>
      </c>
      <c r="CZ179" s="59">
        <f t="shared" si="150"/>
        <v>242.62852778451929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0.17951620859958001</v>
      </c>
      <c r="DH179" s="21">
        <f>EXP(-LN(2)/2)*DH178+(1-EXP(-LN(2)/2))/(LN(2)/2)*DB179*DE179*VLOOKUP('Données projet'!$B$13,Paramètres!$A$1:$I$89,3,0)*0.475*44/12</f>
        <v>1.139424315357322E-21</v>
      </c>
      <c r="DI179" s="22">
        <f t="shared" si="175"/>
        <v>0.17951620859958001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-4.5474735088646412E-13</v>
      </c>
      <c r="DP179" s="17">
        <f>DO179*VLOOKUP('Données projet'!$B$14,Paramètres!$A$1:$I$89,3,0)*VLOOKUP('Données projet'!$B$14,Paramètres!$A$1:$I$89,5,0)</f>
        <v>-2.7193891583010558E-13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216.94426559495264</v>
      </c>
      <c r="DU179" s="59">
        <f t="shared" si="152"/>
        <v>225.33715877618704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0.22431745156535082</v>
      </c>
      <c r="EC179" s="21">
        <f>EXP(-LN(2)/2)*EC178+(1-EXP(-LN(2)/2))/(LN(2)/2)*DW179*DZ179*VLOOKUP('Données projet'!$B$14,Paramètres!$A$1:$I$89,3,0)*0.475*44/12</f>
        <v>2.512443703797352E-21</v>
      </c>
      <c r="ED179" s="22">
        <f t="shared" si="178"/>
        <v>0.22431745156535082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6.8212102632969618E-13</v>
      </c>
      <c r="EK179" s="17">
        <f>EJ179*VLOOKUP('Données projet'!$B$15,Paramètres!$A$1:$I$89,3,0)*VLOOKUP('Données projet'!$B$15,Paramètres!$A$1:$I$89,5,0)</f>
        <v>3.2810021366458383E-13</v>
      </c>
      <c r="EL179" s="13">
        <f t="shared" si="179"/>
        <v>4.2923528923937213E-12</v>
      </c>
      <c r="EM179" s="20">
        <f t="shared" si="180"/>
        <v>8.0472891597182151E-12</v>
      </c>
      <c r="EN179" s="59">
        <f t="shared" si="128"/>
        <v>293.33333333334139</v>
      </c>
      <c r="EO179" s="59">
        <f ca="1">AVERAGE(OFFSET($EN$3,0,0,'Données projet'!$E$15+1,1))-AVERAGE(OFFSET($H$3,0,0,'Données projet'!$E$15+1,1))</f>
        <v>292.1792787220852</v>
      </c>
      <c r="EP179" s="59">
        <f t="shared" si="154"/>
        <v>273.69206144662144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0.37394887088771295</v>
      </c>
      <c r="EW179" s="21">
        <f>EXP(-LN(2)/25)*EW178+(1-EXP(-LN(2)/25))/(LN(2)/25)*Calculateur!ER179*Calculateur!ET179*VLOOKUP('Données projet'!$B$15,Paramètres!$A$1:$I$89,3,0)*0.475*44/12</f>
        <v>0.23433589283697667</v>
      </c>
      <c r="EX179" s="21">
        <f>EXP(-LN(2)/2)*EX178+(1-EXP(-LN(2)/2))/(LN(2)/2)*ER179*EU179*VLOOKUP('Données projet'!$B$15,Paramètres!$A$1:$I$89,3,0)*0.475*44/12</f>
        <v>2.2142270728133687E-21</v>
      </c>
      <c r="EY179" s="22">
        <f t="shared" si="181"/>
        <v>0.60828476372468965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215.23235148064941</v>
      </c>
      <c r="T180" s="59">
        <f t="shared" si="142"/>
        <v>184.07239726900434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0.1705507361976645</v>
      </c>
      <c r="AA180" s="21">
        <f>EXP(-LN(2)/25)*AA179+(1-EXP(-LN(2)/25))/(LN(2)/25)*Calculateur!V180*Calculateur!X180*VLOOKUP('Données projet'!$B$9,Paramètres!$A$1:$I$89,3,0)*0.475*44/12</f>
        <v>0.13338760898148719</v>
      </c>
      <c r="AB180" s="21">
        <f>EXP(-LN(2)/2)*AB179+(1-EXP(-LN(2)/2))/(LN(2)/2)*V180*Y180*VLOOKUP('Données projet'!$B$9,Paramètres!$A$1:$I$89,3,0)*0.475*44/12</f>
        <v>7.3611384125522231E-22</v>
      </c>
      <c r="AC180" s="22">
        <f t="shared" si="163"/>
        <v>0.30393834517915169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-8.5265128291212022E-14</v>
      </c>
      <c r="AJ180" s="13">
        <f>AI180*VLOOKUP('Données projet'!$B$10,Paramètres!$A$1:$I$89,3,0)*VLOOKUP('Données projet'!$B$10,Paramètres!$A$1:$I$89,5,0)</f>
        <v>-7.7147888077888636E-14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225.28075317732998</v>
      </c>
      <c r="AO180" s="59">
        <f t="shared" si="144"/>
        <v>358.43407531256207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0.12206882225495325</v>
      </c>
      <c r="AV180" s="21">
        <f>EXP(-LN(2)/25)*AV179+(1-EXP(-LN(2)/25))/(LN(2)/25)*Calculateur!AQ180*Calculateur!AS180*VLOOKUP('Données projet'!$B$10,Paramètres!$A$1:$I$89,3,0)*0.475*44/12</f>
        <v>0.14046144342209538</v>
      </c>
      <c r="AW180" s="21">
        <f>EXP(-LN(2)/2)*AW179+(1-EXP(-LN(2)/2))/(LN(2)/2)*AQ180*AT180*VLOOKUP('Données projet'!$B$10,Paramètres!$A$1:$I$89,3,0)*0.475*44/12</f>
        <v>3.3046823811934459E-22</v>
      </c>
      <c r="AX180" s="21">
        <f t="shared" si="166"/>
        <v>0.26253026567704862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-5.6843418860808015E-13</v>
      </c>
      <c r="BE180" s="13">
        <f>BD180*VLOOKUP('Données projet'!$B$11,Paramètres!$A$1:$I$89,3,0)*VLOOKUP('Données projet'!$B$11,Paramètres!$A$1:$I$89,5,0)</f>
        <v>-3.177547114319168E-13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326.31232746914907</v>
      </c>
      <c r="BJ180" s="59">
        <f t="shared" si="146"/>
        <v>330.17137761430297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0.24853919920356812</v>
      </c>
      <c r="BQ180" s="21">
        <f>EXP(-LN(2)/25)*BQ179+(1-EXP(-LN(2)/25))/(LN(2)/25)*Calculateur!BL180*Calculateur!BN180*VLOOKUP('Données projet'!$B$11,Paramètres!$A$1:$I$89,3,0)*0.475*44/12</f>
        <v>0.51234366857207847</v>
      </c>
      <c r="BR180" s="21">
        <f>EXP(-LN(2)/2)*BR179+(1-EXP(-LN(2)/2))/(LN(2)/2)*BL180*BO180*VLOOKUP('Données projet'!$B$11,Paramètres!$A$1:$I$89,3,0)*0.475*44/12</f>
        <v>2.4348585935148085E-21</v>
      </c>
      <c r="BS180" s="22">
        <f t="shared" si="169"/>
        <v>0.76088286777564662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210.04871822652808</v>
      </c>
      <c r="CE180" s="59">
        <f t="shared" si="148"/>
        <v>250.17540614049324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0.39724235644375749</v>
      </c>
      <c r="CL180" s="21">
        <f>EXP(-LN(2)/25)*CL179+(1-EXP(-LN(2)/25))/(LN(2)/25)*Calculateur!CG180*Calculateur!CI180*VLOOKUP('Données projet'!$B$12,Paramètres!$A$1:$I$89,3,0)*0.475*44/12</f>
        <v>0.47257197970127202</v>
      </c>
      <c r="CM180" s="21">
        <f>EXP(-LN(2)/2)*CM179+(1-EXP(-LN(2)/2))/(LN(2)/2)*CG180*CJ180*VLOOKUP('Données projet'!$B$12,Paramètres!$A$1:$I$89,3,0)*0.475*44/12</f>
        <v>1.6136931496536761E-21</v>
      </c>
      <c r="CN180" s="22">
        <f t="shared" si="172"/>
        <v>0.86981433614502945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4.5224624045658861E-14</v>
      </c>
      <c r="CV180" s="13">
        <f t="shared" si="173"/>
        <v>7.4514601661523691E-13</v>
      </c>
      <c r="CW180" s="20">
        <f t="shared" si="174"/>
        <v>1.3765621991510601E-12</v>
      </c>
      <c r="CX180" s="59">
        <f t="shared" si="122"/>
        <v>293.33333333333468</v>
      </c>
      <c r="CY180" s="59">
        <f ca="1">AVERAGE(OFFSET($CX$3,0,0,'Données projet'!$E$13+1,1))-AVERAGE(OFFSET($H$3,0,0,'Données projet'!$E$13+1,1))</f>
        <v>199.58763537752952</v>
      </c>
      <c r="CZ180" s="59">
        <f t="shared" si="150"/>
        <v>242.62852778451929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0.17460732843507737</v>
      </c>
      <c r="DH180" s="21">
        <f>EXP(-LN(2)/2)*DH179+(1-EXP(-LN(2)/2))/(LN(2)/2)*DB180*DE180*VLOOKUP('Données projet'!$B$13,Paramètres!$A$1:$I$89,3,0)*0.475*44/12</f>
        <v>8.0569466003800159E-22</v>
      </c>
      <c r="DI180" s="22">
        <f t="shared" si="175"/>
        <v>0.17460732843507737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-4.5474735088646412E-13</v>
      </c>
      <c r="DP180" s="17">
        <f>DO180*VLOOKUP('Données projet'!$B$14,Paramètres!$A$1:$I$89,3,0)*VLOOKUP('Données projet'!$B$14,Paramètres!$A$1:$I$89,5,0)</f>
        <v>-2.7193891583010558E-13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216.94426559495264</v>
      </c>
      <c r="DU180" s="59">
        <f t="shared" si="152"/>
        <v>225.33715877618704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0.2181834790559542</v>
      </c>
      <c r="EC180" s="21">
        <f>EXP(-LN(2)/2)*EC179+(1-EXP(-LN(2)/2))/(LN(2)/2)*DW180*DZ180*VLOOKUP('Données projet'!$B$14,Paramètres!$A$1:$I$89,3,0)*0.475*44/12</f>
        <v>1.7765659803045531E-21</v>
      </c>
      <c r="ED180" s="22">
        <f t="shared" si="178"/>
        <v>0.2181834790559542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6.8212102632969618E-13</v>
      </c>
      <c r="EK180" s="17">
        <f>EJ180*VLOOKUP('Données projet'!$B$15,Paramètres!$A$1:$I$89,3,0)*VLOOKUP('Données projet'!$B$15,Paramètres!$A$1:$I$89,5,0)</f>
        <v>3.2810021366458383E-13</v>
      </c>
      <c r="EL180" s="13">
        <f t="shared" si="179"/>
        <v>4.2923528923937213E-12</v>
      </c>
      <c r="EM180" s="20">
        <f t="shared" si="180"/>
        <v>8.0472891597182151E-12</v>
      </c>
      <c r="EN180" s="59">
        <f t="shared" si="128"/>
        <v>293.33333333334139</v>
      </c>
      <c r="EO180" s="59">
        <f ca="1">AVERAGE(OFFSET($EN$3,0,0,'Données projet'!$E$15+1,1))-AVERAGE(OFFSET($H$3,0,0,'Données projet'!$E$15+1,1))</f>
        <v>292.1792787220852</v>
      </c>
      <c r="EP180" s="59">
        <f t="shared" si="154"/>
        <v>273.69206144662144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0.36661596161589449</v>
      </c>
      <c r="EW180" s="21">
        <f>EXP(-LN(2)/25)*EW179+(1-EXP(-LN(2)/25))/(LN(2)/25)*Calculateur!ER180*Calculateur!ET180*VLOOKUP('Données projet'!$B$15,Paramètres!$A$1:$I$89,3,0)*0.475*44/12</f>
        <v>0.22792796552416053</v>
      </c>
      <c r="EX180" s="21">
        <f>EXP(-LN(2)/2)*EX179+(1-EXP(-LN(2)/2))/(LN(2)/2)*ER180*EU180*VLOOKUP('Données projet'!$B$15,Paramètres!$A$1:$I$89,3,0)*0.475*44/12</f>
        <v>1.5656949782731723E-21</v>
      </c>
      <c r="EY180" s="22">
        <f t="shared" si="181"/>
        <v>0.594543927140055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215.23235148064941</v>
      </c>
      <c r="T181" s="59">
        <f t="shared" si="142"/>
        <v>184.07239726900434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0.16720634028650569</v>
      </c>
      <c r="AA181" s="21">
        <f>EXP(-LN(2)/25)*AA180+(1-EXP(-LN(2)/25))/(LN(2)/25)*Calculateur!V181*Calculateur!X181*VLOOKUP('Données projet'!$B$9,Paramètres!$A$1:$I$89,3,0)*0.475*44/12</f>
        <v>0.12974011779933892</v>
      </c>
      <c r="AB181" s="21">
        <f>EXP(-LN(2)/2)*AB180+(1-EXP(-LN(2)/2))/(LN(2)/2)*V181*Y181*VLOOKUP('Données projet'!$B$9,Paramètres!$A$1:$I$89,3,0)*0.475*44/12</f>
        <v>5.2051108887684545E-22</v>
      </c>
      <c r="AC181" s="22">
        <f t="shared" si="163"/>
        <v>0.29694645808584463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-8.5265128291212022E-14</v>
      </c>
      <c r="AJ181" s="13">
        <f>AI181*VLOOKUP('Données projet'!$B$10,Paramètres!$A$1:$I$89,3,0)*VLOOKUP('Données projet'!$B$10,Paramètres!$A$1:$I$89,5,0)</f>
        <v>-7.7147888077888636E-14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225.28075317732998</v>
      </c>
      <c r="AO181" s="59">
        <f t="shared" si="144"/>
        <v>358.43407531256207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0.1196751271051634</v>
      </c>
      <c r="AV181" s="21">
        <f>EXP(-LN(2)/25)*AV180+(1-EXP(-LN(2)/25))/(LN(2)/25)*Calculateur!AQ181*Calculateur!AS181*VLOOKUP('Données projet'!$B$10,Paramètres!$A$1:$I$89,3,0)*0.475*44/12</f>
        <v>0.1366205178651719</v>
      </c>
      <c r="AW181" s="21">
        <f>EXP(-LN(2)/2)*AW180+(1-EXP(-LN(2)/2))/(LN(2)/2)*AQ181*AT181*VLOOKUP('Données projet'!$B$10,Paramètres!$A$1:$I$89,3,0)*0.475*44/12</f>
        <v>2.3367633214095928E-22</v>
      </c>
      <c r="AX181" s="21">
        <f t="shared" si="166"/>
        <v>0.2562956449703353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-5.6843418860808015E-13</v>
      </c>
      <c r="BE181" s="13">
        <f>BD181*VLOOKUP('Données projet'!$B$11,Paramètres!$A$1:$I$89,3,0)*VLOOKUP('Données projet'!$B$11,Paramètres!$A$1:$I$89,5,0)</f>
        <v>-3.177547114319168E-13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326.31232746914907</v>
      </c>
      <c r="BJ181" s="59">
        <f t="shared" si="146"/>
        <v>330.17137761430297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0.243665497101129</v>
      </c>
      <c r="BQ181" s="21">
        <f>EXP(-LN(2)/25)*BQ180+(1-EXP(-LN(2)/25))/(LN(2)/25)*Calculateur!BL181*Calculateur!BN181*VLOOKUP('Données projet'!$B$11,Paramètres!$A$1:$I$89,3,0)*0.475*44/12</f>
        <v>0.49833360401199245</v>
      </c>
      <c r="BR181" s="21">
        <f>EXP(-LN(2)/2)*BR180+(1-EXP(-LN(2)/2))/(LN(2)/2)*BL181*BO181*VLOOKUP('Données projet'!$B$11,Paramètres!$A$1:$I$89,3,0)*0.475*44/12</f>
        <v>1.7217050227046605E-21</v>
      </c>
      <c r="BS181" s="22">
        <f t="shared" si="169"/>
        <v>0.74199910111312151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210.04871822652808</v>
      </c>
      <c r="CE181" s="59">
        <f t="shared" si="148"/>
        <v>250.17540614049324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0.38945267612780832</v>
      </c>
      <c r="CL181" s="21">
        <f>EXP(-LN(2)/25)*CL180+(1-EXP(-LN(2)/25))/(LN(2)/25)*Calculateur!CG181*Calculateur!CI181*VLOOKUP('Données projet'!$B$12,Paramètres!$A$1:$I$89,3,0)*0.475*44/12</f>
        <v>0.4596494740648604</v>
      </c>
      <c r="CM181" s="21">
        <f>EXP(-LN(2)/2)*CM180+(1-EXP(-LN(2)/2))/(LN(2)/2)*CG181*CJ181*VLOOKUP('Données projet'!$B$12,Paramètres!$A$1:$I$89,3,0)*0.475*44/12</f>
        <v>1.1410533688743926E-21</v>
      </c>
      <c r="CN181" s="22">
        <f t="shared" si="172"/>
        <v>0.84910215019266877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4.5224624045658861E-14</v>
      </c>
      <c r="CV181" s="13">
        <f t="shared" si="173"/>
        <v>7.4514601661523691E-13</v>
      </c>
      <c r="CW181" s="20">
        <f t="shared" si="174"/>
        <v>1.3765621991510601E-12</v>
      </c>
      <c r="CX181" s="59">
        <f t="shared" si="122"/>
        <v>293.33333333333468</v>
      </c>
      <c r="CY181" s="59">
        <f ca="1">AVERAGE(OFFSET($CX$3,0,0,'Données projet'!$E$13+1,1))-AVERAGE(OFFSET($H$3,0,0,'Données projet'!$E$13+1,1))</f>
        <v>199.58763537752952</v>
      </c>
      <c r="CZ181" s="59">
        <f t="shared" si="150"/>
        <v>242.62852778451929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0.16983268185681985</v>
      </c>
      <c r="DH181" s="21">
        <f>EXP(-LN(2)/2)*DH180+(1-EXP(-LN(2)/2))/(LN(2)/2)*DB181*DE181*VLOOKUP('Données projet'!$B$13,Paramètres!$A$1:$I$89,3,0)*0.475*44/12</f>
        <v>5.6971215767866098E-22</v>
      </c>
      <c r="DI181" s="22">
        <f t="shared" si="175"/>
        <v>0.16983268185681985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-4.5474735088646412E-13</v>
      </c>
      <c r="DP181" s="17">
        <f>DO181*VLOOKUP('Données projet'!$B$14,Paramètres!$A$1:$I$89,3,0)*VLOOKUP('Données projet'!$B$14,Paramètres!$A$1:$I$89,5,0)</f>
        <v>-2.7193891583010558E-13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216.94426559495264</v>
      </c>
      <c r="DU181" s="59">
        <f t="shared" si="152"/>
        <v>225.33715877618704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0.21221724034739864</v>
      </c>
      <c r="EC181" s="21">
        <f>EXP(-LN(2)/2)*EC180+(1-EXP(-LN(2)/2))/(LN(2)/2)*DW181*DZ181*VLOOKUP('Données projet'!$B$14,Paramètres!$A$1:$I$89,3,0)*0.475*44/12</f>
        <v>1.256221851898676E-21</v>
      </c>
      <c r="ED181" s="22">
        <f t="shared" si="178"/>
        <v>0.21221724034739864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6.8212102632969618E-13</v>
      </c>
      <c r="EK181" s="17">
        <f>EJ181*VLOOKUP('Données projet'!$B$15,Paramètres!$A$1:$I$89,3,0)*VLOOKUP('Données projet'!$B$15,Paramètres!$A$1:$I$89,5,0)</f>
        <v>3.2810021366458383E-13</v>
      </c>
      <c r="EL181" s="13">
        <f t="shared" si="179"/>
        <v>4.2923528923937213E-12</v>
      </c>
      <c r="EM181" s="20">
        <f t="shared" si="180"/>
        <v>8.0472891597182151E-12</v>
      </c>
      <c r="EN181" s="59">
        <f t="shared" si="128"/>
        <v>293.33333333334139</v>
      </c>
      <c r="EO181" s="59">
        <f ca="1">AVERAGE(OFFSET($EN$3,0,0,'Données projet'!$E$15+1,1))-AVERAGE(OFFSET($H$3,0,0,'Données projet'!$E$15+1,1))</f>
        <v>292.1792787220852</v>
      </c>
      <c r="EP181" s="59">
        <f t="shared" si="154"/>
        <v>273.69206144662144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0.3594268462222634</v>
      </c>
      <c r="EW181" s="21">
        <f>EXP(-LN(2)/25)*EW180+(1-EXP(-LN(2)/25))/(LN(2)/25)*Calculateur!ER181*Calculateur!ET181*VLOOKUP('Données projet'!$B$15,Paramètres!$A$1:$I$89,3,0)*0.475*44/12</f>
        <v>0.22169526332069159</v>
      </c>
      <c r="EX181" s="21">
        <f>EXP(-LN(2)/2)*EX180+(1-EXP(-LN(2)/2))/(LN(2)/2)*ER181*EU181*VLOOKUP('Données projet'!$B$15,Paramètres!$A$1:$I$89,3,0)*0.475*44/12</f>
        <v>1.1071135364066843E-21</v>
      </c>
      <c r="EY181" s="22">
        <f t="shared" si="181"/>
        <v>0.58112210954295496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215.23235148064941</v>
      </c>
      <c r="T182" s="59">
        <f t="shared" si="142"/>
        <v>184.07239726900434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0.16392752593928461</v>
      </c>
      <c r="AA182" s="21">
        <f>EXP(-LN(2)/25)*AA181+(1-EXP(-LN(2)/25))/(LN(2)/25)*Calculateur!V182*Calculateur!X182*VLOOKUP('Données projet'!$B$9,Paramètres!$A$1:$I$89,3,0)*0.475*44/12</f>
        <v>0.12619236745537973</v>
      </c>
      <c r="AB182" s="21">
        <f>EXP(-LN(2)/2)*AB181+(1-EXP(-LN(2)/2))/(LN(2)/2)*V182*Y182*VLOOKUP('Données projet'!$B$9,Paramètres!$A$1:$I$89,3,0)*0.475*44/12</f>
        <v>3.6805692062761116E-22</v>
      </c>
      <c r="AC182" s="22">
        <f t="shared" si="163"/>
        <v>0.29011989339466437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-8.5265128291212022E-14</v>
      </c>
      <c r="AJ182" s="13">
        <f>AI182*VLOOKUP('Données projet'!$B$10,Paramètres!$A$1:$I$89,3,0)*VLOOKUP('Données projet'!$B$10,Paramètres!$A$1:$I$89,5,0)</f>
        <v>-7.7147888077888636E-14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225.28075317732998</v>
      </c>
      <c r="AO182" s="59">
        <f t="shared" si="144"/>
        <v>358.43407531256207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0.11732837085725106</v>
      </c>
      <c r="AV182" s="21">
        <f>EXP(-LN(2)/25)*AV181+(1-EXP(-LN(2)/25))/(LN(2)/25)*Calculateur!AQ182*Calculateur!AS182*VLOOKUP('Données projet'!$B$10,Paramètres!$A$1:$I$89,3,0)*0.475*44/12</f>
        <v>0.132884622619588</v>
      </c>
      <c r="AW182" s="21">
        <f>EXP(-LN(2)/2)*AW181+(1-EXP(-LN(2)/2))/(LN(2)/2)*AQ182*AT182*VLOOKUP('Données projet'!$B$10,Paramètres!$A$1:$I$89,3,0)*0.475*44/12</f>
        <v>1.652341190596723E-22</v>
      </c>
      <c r="AX182" s="21">
        <f t="shared" si="166"/>
        <v>0.25021299347683906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-5.6843418860808015E-13</v>
      </c>
      <c r="BE182" s="13">
        <f>BD182*VLOOKUP('Données projet'!$B$11,Paramètres!$A$1:$I$89,3,0)*VLOOKUP('Données projet'!$B$11,Paramètres!$A$1:$I$89,5,0)</f>
        <v>-3.177547114319168E-13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326.31232746914907</v>
      </c>
      <c r="BJ182" s="59">
        <f t="shared" si="146"/>
        <v>330.17137761430297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0.23888736532425398</v>
      </c>
      <c r="BQ182" s="21">
        <f>EXP(-LN(2)/25)*BQ181+(1-EXP(-LN(2)/25))/(LN(2)/25)*Calculateur!BL182*Calculateur!BN182*VLOOKUP('Données projet'!$B$11,Paramètres!$A$1:$I$89,3,0)*0.475*44/12</f>
        <v>0.48470664540405922</v>
      </c>
      <c r="BR182" s="21">
        <f>EXP(-LN(2)/2)*BR181+(1-EXP(-LN(2)/2))/(LN(2)/2)*BL182*BO182*VLOOKUP('Données projet'!$B$11,Paramètres!$A$1:$I$89,3,0)*0.475*44/12</f>
        <v>1.2174292967574042E-21</v>
      </c>
      <c r="BS182" s="22">
        <f t="shared" si="169"/>
        <v>0.7235940107283132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210.04871822652808</v>
      </c>
      <c r="CE182" s="59">
        <f t="shared" si="148"/>
        <v>250.17540614049324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0.38181574669161905</v>
      </c>
      <c r="CL182" s="21">
        <f>EXP(-LN(2)/25)*CL181+(1-EXP(-LN(2)/25))/(LN(2)/25)*Calculateur!CG182*Calculateur!CI182*VLOOKUP('Données projet'!$B$12,Paramètres!$A$1:$I$89,3,0)*0.475*44/12</f>
        <v>0.44708033502464151</v>
      </c>
      <c r="CM182" s="21">
        <f>EXP(-LN(2)/2)*CM181+(1-EXP(-LN(2)/2))/(LN(2)/2)*CG182*CJ182*VLOOKUP('Données projet'!$B$12,Paramètres!$A$1:$I$89,3,0)*0.475*44/12</f>
        <v>8.0684657482683807E-22</v>
      </c>
      <c r="CN182" s="22">
        <f t="shared" si="172"/>
        <v>0.8288960817162605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4.5224624045658861E-14</v>
      </c>
      <c r="CV182" s="13">
        <f t="shared" si="173"/>
        <v>7.4514601661523691E-13</v>
      </c>
      <c r="CW182" s="20">
        <f t="shared" si="174"/>
        <v>1.3765621991510601E-12</v>
      </c>
      <c r="CX182" s="59">
        <f t="shared" si="122"/>
        <v>293.33333333333468</v>
      </c>
      <c r="CY182" s="59">
        <f ca="1">AVERAGE(OFFSET($CX$3,0,0,'Données projet'!$E$13+1,1))-AVERAGE(OFFSET($H$3,0,0,'Données projet'!$E$13+1,1))</f>
        <v>199.58763537752952</v>
      </c>
      <c r="CZ182" s="59">
        <f t="shared" si="150"/>
        <v>242.62852778451929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0.16518859824033252</v>
      </c>
      <c r="DH182" s="21">
        <f>EXP(-LN(2)/2)*DH181+(1-EXP(-LN(2)/2))/(LN(2)/2)*DB182*DE182*VLOOKUP('Données projet'!$B$13,Paramètres!$A$1:$I$89,3,0)*0.475*44/12</f>
        <v>4.0284733001900079E-22</v>
      </c>
      <c r="DI182" s="22">
        <f t="shared" si="175"/>
        <v>0.16518859824033252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-4.5474735088646412E-13</v>
      </c>
      <c r="DP182" s="17">
        <f>DO182*VLOOKUP('Données projet'!$B$14,Paramètres!$A$1:$I$89,3,0)*VLOOKUP('Données projet'!$B$14,Paramètres!$A$1:$I$89,5,0)</f>
        <v>-2.7193891583010558E-13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216.94426559495264</v>
      </c>
      <c r="DU182" s="59">
        <f t="shared" si="152"/>
        <v>225.33715877618704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0.20641414875007938</v>
      </c>
      <c r="EC182" s="21">
        <f>EXP(-LN(2)/2)*EC181+(1-EXP(-LN(2)/2))/(LN(2)/2)*DW182*DZ182*VLOOKUP('Données projet'!$B$14,Paramètres!$A$1:$I$89,3,0)*0.475*44/12</f>
        <v>8.8828299015227657E-22</v>
      </c>
      <c r="ED182" s="22">
        <f t="shared" si="178"/>
        <v>0.20641414875007938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6.8212102632969618E-13</v>
      </c>
      <c r="EK182" s="17">
        <f>EJ182*VLOOKUP('Données projet'!$B$15,Paramètres!$A$1:$I$89,3,0)*VLOOKUP('Données projet'!$B$15,Paramètres!$A$1:$I$89,5,0)</f>
        <v>3.2810021366458383E-13</v>
      </c>
      <c r="EL182" s="13">
        <f t="shared" si="179"/>
        <v>4.2923528923937213E-12</v>
      </c>
      <c r="EM182" s="20">
        <f t="shared" si="180"/>
        <v>8.0472891597182151E-12</v>
      </c>
      <c r="EN182" s="59">
        <f t="shared" si="128"/>
        <v>293.33333333334139</v>
      </c>
      <c r="EO182" s="59">
        <f ca="1">AVERAGE(OFFSET($EN$3,0,0,'Données projet'!$E$15+1,1))-AVERAGE(OFFSET($H$3,0,0,'Données projet'!$E$15+1,1))</f>
        <v>292.1792787220852</v>
      </c>
      <c r="EP182" s="59">
        <f t="shared" si="154"/>
        <v>273.69206144662144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0.35237870499657398</v>
      </c>
      <c r="EW182" s="21">
        <f>EXP(-LN(2)/25)*EW181+(1-EXP(-LN(2)/25))/(LN(2)/25)*Calculateur!ER182*Calculateur!ET182*VLOOKUP('Données projet'!$B$15,Paramètres!$A$1:$I$89,3,0)*0.475*44/12</f>
        <v>0.21563299468674008</v>
      </c>
      <c r="EX182" s="21">
        <f>EXP(-LN(2)/2)*EX181+(1-EXP(-LN(2)/2))/(LN(2)/2)*ER182*EU182*VLOOKUP('Données projet'!$B$15,Paramètres!$A$1:$I$89,3,0)*0.475*44/12</f>
        <v>7.8284748913658616E-22</v>
      </c>
      <c r="EY182" s="22">
        <f t="shared" si="181"/>
        <v>0.568011699683314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215.23235148064941</v>
      </c>
      <c r="T183" s="59">
        <f t="shared" si="142"/>
        <v>184.07239726900434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0.16071300714153328</v>
      </c>
      <c r="AA183" s="21">
        <f>EXP(-LN(2)/25)*AA182+(1-EXP(-LN(2)/25))/(LN(2)/25)*Calculateur!V183*Calculateur!X183*VLOOKUP('Données projet'!$B$9,Paramètres!$A$1:$I$89,3,0)*0.475*44/12</f>
        <v>0.12274163053114419</v>
      </c>
      <c r="AB183" s="21">
        <f>EXP(-LN(2)/2)*AB182+(1-EXP(-LN(2)/2))/(LN(2)/2)*V183*Y183*VLOOKUP('Données projet'!$B$9,Paramètres!$A$1:$I$89,3,0)*0.475*44/12</f>
        <v>2.6025554443842273E-22</v>
      </c>
      <c r="AC183" s="22">
        <f t="shared" si="163"/>
        <v>0.28345463767267748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-8.5265128291212022E-14</v>
      </c>
      <c r="AJ183" s="13">
        <f>AI183*VLOOKUP('Données projet'!$B$10,Paramètres!$A$1:$I$89,3,0)*VLOOKUP('Données projet'!$B$10,Paramètres!$A$1:$I$89,5,0)</f>
        <v>-7.7147888077888636E-14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225.28075317732998</v>
      </c>
      <c r="AO183" s="59">
        <f t="shared" si="144"/>
        <v>358.43407531256207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0.11502763306798031</v>
      </c>
      <c r="AV183" s="21">
        <f>EXP(-LN(2)/25)*AV182+(1-EXP(-LN(2)/25))/(LN(2)/25)*Calculateur!AQ183*Calculateur!AS183*VLOOKUP('Données projet'!$B$10,Paramètres!$A$1:$I$89,3,0)*0.475*44/12</f>
        <v>0.12925088562595677</v>
      </c>
      <c r="AW183" s="21">
        <f>EXP(-LN(2)/2)*AW182+(1-EXP(-LN(2)/2))/(LN(2)/2)*AQ183*AT183*VLOOKUP('Données projet'!$B$10,Paramètres!$A$1:$I$89,3,0)*0.475*44/12</f>
        <v>1.1683816607047964E-22</v>
      </c>
      <c r="AX183" s="21">
        <f t="shared" si="166"/>
        <v>0.24427851869393707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-5.6843418860808015E-13</v>
      </c>
      <c r="BE183" s="13">
        <f>BD183*VLOOKUP('Données projet'!$B$11,Paramètres!$A$1:$I$89,3,0)*VLOOKUP('Données projet'!$B$11,Paramètres!$A$1:$I$89,5,0)</f>
        <v>-3.177547114319168E-13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326.31232746914907</v>
      </c>
      <c r="BJ183" s="59">
        <f t="shared" si="146"/>
        <v>330.17137761430297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0.23420292979715085</v>
      </c>
      <c r="BQ183" s="21">
        <f>EXP(-LN(2)/25)*BQ182+(1-EXP(-LN(2)/25))/(LN(2)/25)*Calculateur!BL183*Calculateur!BN183*VLOOKUP('Données projet'!$B$11,Paramètres!$A$1:$I$89,3,0)*0.475*44/12</f>
        <v>0.47145231669587057</v>
      </c>
      <c r="BR183" s="21">
        <f>EXP(-LN(2)/2)*BR182+(1-EXP(-LN(2)/2))/(LN(2)/2)*BL183*BO183*VLOOKUP('Données projet'!$B$11,Paramètres!$A$1:$I$89,3,0)*0.475*44/12</f>
        <v>8.6085251135233027E-22</v>
      </c>
      <c r="BS183" s="22">
        <f t="shared" si="169"/>
        <v>0.70565524649302147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210.04871822652808</v>
      </c>
      <c r="CE183" s="59">
        <f t="shared" si="148"/>
        <v>250.17540614049324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0.37432857278360643</v>
      </c>
      <c r="CL183" s="21">
        <f>EXP(-LN(2)/25)*CL182+(1-EXP(-LN(2)/25))/(LN(2)/25)*Calculateur!CG183*Calculateur!CI183*VLOOKUP('Données projet'!$B$12,Paramètres!$A$1:$I$89,3,0)*0.475*44/12</f>
        <v>0.43485489975245967</v>
      </c>
      <c r="CM183" s="21">
        <f>EXP(-LN(2)/2)*CM182+(1-EXP(-LN(2)/2))/(LN(2)/2)*CG183*CJ183*VLOOKUP('Données projet'!$B$12,Paramètres!$A$1:$I$89,3,0)*0.475*44/12</f>
        <v>5.7052668443719632E-22</v>
      </c>
      <c r="CN183" s="22">
        <f t="shared" si="172"/>
        <v>0.80918347253606604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4.5224624045658861E-14</v>
      </c>
      <c r="CV183" s="13">
        <f t="shared" si="173"/>
        <v>7.4514601661523691E-13</v>
      </c>
      <c r="CW183" s="20">
        <f t="shared" si="174"/>
        <v>1.3765621991510601E-12</v>
      </c>
      <c r="CX183" s="59">
        <f t="shared" si="122"/>
        <v>293.33333333333468</v>
      </c>
      <c r="CY183" s="59">
        <f ca="1">AVERAGE(OFFSET($CX$3,0,0,'Données projet'!$E$13+1,1))-AVERAGE(OFFSET($H$3,0,0,'Données projet'!$E$13+1,1))</f>
        <v>199.58763537752952</v>
      </c>
      <c r="CZ183" s="59">
        <f t="shared" si="150"/>
        <v>242.62852778451929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0.16067150733455979</v>
      </c>
      <c r="DH183" s="21">
        <f>EXP(-LN(2)/2)*DH182+(1-EXP(-LN(2)/2))/(LN(2)/2)*DB183*DE183*VLOOKUP('Données projet'!$B$13,Paramètres!$A$1:$I$89,3,0)*0.475*44/12</f>
        <v>2.8485607883933049E-22</v>
      </c>
      <c r="DI183" s="22">
        <f t="shared" si="175"/>
        <v>0.16067150733455979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-4.5474735088646412E-13</v>
      </c>
      <c r="DP183" s="17">
        <f>DO183*VLOOKUP('Données projet'!$B$14,Paramètres!$A$1:$I$89,3,0)*VLOOKUP('Données projet'!$B$14,Paramètres!$A$1:$I$89,5,0)</f>
        <v>-2.7193891583010558E-13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216.94426559495264</v>
      </c>
      <c r="DU183" s="59">
        <f t="shared" si="152"/>
        <v>225.33715877618704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0.20076974299766015</v>
      </c>
      <c r="EC183" s="21">
        <f>EXP(-LN(2)/2)*EC182+(1-EXP(-LN(2)/2))/(LN(2)/2)*DW183*DZ183*VLOOKUP('Données projet'!$B$14,Paramètres!$A$1:$I$89,3,0)*0.475*44/12</f>
        <v>6.2811092594933799E-22</v>
      </c>
      <c r="ED183" s="22">
        <f t="shared" si="178"/>
        <v>0.20076974299766015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6.8212102632969618E-13</v>
      </c>
      <c r="EK183" s="17">
        <f>EJ183*VLOOKUP('Données projet'!$B$15,Paramètres!$A$1:$I$89,3,0)*VLOOKUP('Données projet'!$B$15,Paramètres!$A$1:$I$89,5,0)</f>
        <v>3.2810021366458383E-13</v>
      </c>
      <c r="EL183" s="13">
        <f t="shared" si="179"/>
        <v>4.2923528923937213E-12</v>
      </c>
      <c r="EM183" s="20">
        <f t="shared" si="180"/>
        <v>8.0472891597182151E-12</v>
      </c>
      <c r="EN183" s="59">
        <f t="shared" si="128"/>
        <v>293.33333333334139</v>
      </c>
      <c r="EO183" s="59">
        <f ca="1">AVERAGE(OFFSET($EN$3,0,0,'Données projet'!$E$15+1,1))-AVERAGE(OFFSET($H$3,0,0,'Données projet'!$E$15+1,1))</f>
        <v>292.1792787220852</v>
      </c>
      <c r="EP183" s="59">
        <f t="shared" si="154"/>
        <v>273.69206144662144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0.34546877352137867</v>
      </c>
      <c r="EW183" s="21">
        <f>EXP(-LN(2)/25)*EW182+(1-EXP(-LN(2)/25))/(LN(2)/25)*Calculateur!ER183*Calculateur!ET183*VLOOKUP('Données projet'!$B$15,Paramètres!$A$1:$I$89,3,0)*0.475*44/12</f>
        <v>0.20973649910738482</v>
      </c>
      <c r="EX183" s="21">
        <f>EXP(-LN(2)/2)*EX182+(1-EXP(-LN(2)/2))/(LN(2)/2)*ER183*EU183*VLOOKUP('Données projet'!$B$15,Paramètres!$A$1:$I$89,3,0)*0.475*44/12</f>
        <v>5.5355676820334216E-22</v>
      </c>
      <c r="EY183" s="22">
        <f t="shared" si="181"/>
        <v>0.55520527262876351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215.23235148064941</v>
      </c>
      <c r="T184" s="59">
        <f t="shared" si="142"/>
        <v>184.07239726900434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0.15756152309674298</v>
      </c>
      <c r="AA184" s="21">
        <f>EXP(-LN(2)/25)*AA183+(1-EXP(-LN(2)/25))/(LN(2)/25)*Calculateur!V184*Calculateur!X184*VLOOKUP('Données projet'!$B$9,Paramètres!$A$1:$I$89,3,0)*0.475*44/12</f>
        <v>0.11938525418956823</v>
      </c>
      <c r="AB184" s="21">
        <f>EXP(-LN(2)/2)*AB183+(1-EXP(-LN(2)/2))/(LN(2)/2)*V184*Y184*VLOOKUP('Données projet'!$B$9,Paramètres!$A$1:$I$89,3,0)*0.475*44/12</f>
        <v>1.8402846031380558E-22</v>
      </c>
      <c r="AC184" s="22">
        <f t="shared" si="163"/>
        <v>0.27694677728631123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-8.5265128291212022E-14</v>
      </c>
      <c r="AJ184" s="13">
        <f>AI184*VLOOKUP('Données projet'!$B$10,Paramètres!$A$1:$I$89,3,0)*VLOOKUP('Données projet'!$B$10,Paramètres!$A$1:$I$89,5,0)</f>
        <v>-7.7147888077888636E-14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225.28075317732998</v>
      </c>
      <c r="AO184" s="59">
        <f t="shared" si="144"/>
        <v>358.43407531256207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0.11277201134344567</v>
      </c>
      <c r="AV184" s="21">
        <f>EXP(-LN(2)/25)*AV183+(1-EXP(-LN(2)/25))/(LN(2)/25)*Calculateur!AQ184*Calculateur!AS184*VLOOKUP('Données projet'!$B$10,Paramètres!$A$1:$I$89,3,0)*0.475*44/12</f>
        <v>0.1257165133615063</v>
      </c>
      <c r="AW184" s="21">
        <f>EXP(-LN(2)/2)*AW183+(1-EXP(-LN(2)/2))/(LN(2)/2)*AQ184*AT184*VLOOKUP('Données projet'!$B$10,Paramètres!$A$1:$I$89,3,0)*0.475*44/12</f>
        <v>8.2617059529836148E-23</v>
      </c>
      <c r="AX184" s="21">
        <f t="shared" si="166"/>
        <v>0.23848852470495197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-5.6843418860808015E-13</v>
      </c>
      <c r="BE184" s="13">
        <f>BD184*VLOOKUP('Données projet'!$B$11,Paramètres!$A$1:$I$89,3,0)*VLOOKUP('Données projet'!$B$11,Paramètres!$A$1:$I$89,5,0)</f>
        <v>-3.177547114319168E-13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326.31232746914907</v>
      </c>
      <c r="BJ184" s="59">
        <f t="shared" si="146"/>
        <v>330.17137761430297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0.22961035319351067</v>
      </c>
      <c r="BQ184" s="21">
        <f>EXP(-LN(2)/25)*BQ183+(1-EXP(-LN(2)/25))/(LN(2)/25)*Calculateur!BL184*Calculateur!BN184*VLOOKUP('Données projet'!$B$11,Paramètres!$A$1:$I$89,3,0)*0.475*44/12</f>
        <v>0.45856042830322219</v>
      </c>
      <c r="BR184" s="21">
        <f>EXP(-LN(2)/2)*BR183+(1-EXP(-LN(2)/2))/(LN(2)/2)*BL184*BO184*VLOOKUP('Données projet'!$B$11,Paramètres!$A$1:$I$89,3,0)*0.475*44/12</f>
        <v>6.0871464837870211E-22</v>
      </c>
      <c r="BS184" s="22">
        <f t="shared" si="169"/>
        <v>0.68817078149673283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210.04871822652808</v>
      </c>
      <c r="CE184" s="59">
        <f t="shared" si="148"/>
        <v>250.17540614049324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0.36698821778920476</v>
      </c>
      <c r="CL184" s="21">
        <f>EXP(-LN(2)/25)*CL183+(1-EXP(-LN(2)/25))/(LN(2)/25)*Calculateur!CG184*Calculateur!CI184*VLOOKUP('Données projet'!$B$12,Paramètres!$A$1:$I$89,3,0)*0.475*44/12</f>
        <v>0.42296376965070337</v>
      </c>
      <c r="CM184" s="21">
        <f>EXP(-LN(2)/2)*CM183+(1-EXP(-LN(2)/2))/(LN(2)/2)*CG184*CJ184*VLOOKUP('Données projet'!$B$12,Paramètres!$A$1:$I$89,3,0)*0.475*44/12</f>
        <v>4.0342328741341904E-22</v>
      </c>
      <c r="CN184" s="22">
        <f t="shared" si="172"/>
        <v>0.78995198743990813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4.5224624045658861E-14</v>
      </c>
      <c r="CV184" s="13">
        <f t="shared" si="173"/>
        <v>7.4514601661523691E-13</v>
      </c>
      <c r="CW184" s="20">
        <f t="shared" si="174"/>
        <v>1.3765621991510601E-12</v>
      </c>
      <c r="CX184" s="59">
        <f t="shared" si="122"/>
        <v>293.33333333333468</v>
      </c>
      <c r="CY184" s="59">
        <f ca="1">AVERAGE(OFFSET($CX$3,0,0,'Données projet'!$E$13+1,1))-AVERAGE(OFFSET($H$3,0,0,'Données projet'!$E$13+1,1))</f>
        <v>199.58763537752952</v>
      </c>
      <c r="CZ184" s="59">
        <f t="shared" si="150"/>
        <v>242.62852778451929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0.15627793651714889</v>
      </c>
      <c r="DH184" s="21">
        <f>EXP(-LN(2)/2)*DH183+(1-EXP(-LN(2)/2))/(LN(2)/2)*DB184*DE184*VLOOKUP('Données projet'!$B$13,Paramètres!$A$1:$I$89,3,0)*0.475*44/12</f>
        <v>2.014236650095004E-22</v>
      </c>
      <c r="DI184" s="22">
        <f t="shared" si="175"/>
        <v>0.15627793651714889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-4.5474735088646412E-13</v>
      </c>
      <c r="DP184" s="17">
        <f>DO184*VLOOKUP('Données projet'!$B$14,Paramètres!$A$1:$I$89,3,0)*VLOOKUP('Données projet'!$B$14,Paramètres!$A$1:$I$89,5,0)</f>
        <v>-2.7193891583010558E-13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216.94426559495264</v>
      </c>
      <c r="DU184" s="59">
        <f t="shared" si="152"/>
        <v>225.33715877618704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0.19527968381736721</v>
      </c>
      <c r="EC184" s="21">
        <f>EXP(-LN(2)/2)*EC183+(1-EXP(-LN(2)/2))/(LN(2)/2)*DW184*DZ184*VLOOKUP('Données projet'!$B$14,Paramètres!$A$1:$I$89,3,0)*0.475*44/12</f>
        <v>4.4414149507613829E-22</v>
      </c>
      <c r="ED184" s="22">
        <f t="shared" si="178"/>
        <v>0.19527968381736721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6.8212102632969618E-13</v>
      </c>
      <c r="EK184" s="17">
        <f>EJ184*VLOOKUP('Données projet'!$B$15,Paramètres!$A$1:$I$89,3,0)*VLOOKUP('Données projet'!$B$15,Paramètres!$A$1:$I$89,5,0)</f>
        <v>3.2810021366458383E-13</v>
      </c>
      <c r="EL184" s="13">
        <f t="shared" si="179"/>
        <v>4.2923528923937213E-12</v>
      </c>
      <c r="EM184" s="20">
        <f t="shared" si="180"/>
        <v>8.0472891597182151E-12</v>
      </c>
      <c r="EN184" s="59">
        <f t="shared" si="128"/>
        <v>293.33333333334139</v>
      </c>
      <c r="EO184" s="59">
        <f ca="1">AVERAGE(OFFSET($EN$3,0,0,'Données projet'!$E$15+1,1))-AVERAGE(OFFSET($H$3,0,0,'Données projet'!$E$15+1,1))</f>
        <v>292.1792787220852</v>
      </c>
      <c r="EP184" s="59">
        <f t="shared" si="154"/>
        <v>273.69206144662144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0.3386943415877699</v>
      </c>
      <c r="EW184" s="21">
        <f>EXP(-LN(2)/25)*EW183+(1-EXP(-LN(2)/25))/(LN(2)/25)*Calculateur!ER184*Calculateur!ET184*VLOOKUP('Données projet'!$B$15,Paramètres!$A$1:$I$89,3,0)*0.475*44/12</f>
        <v>0.20400124350973026</v>
      </c>
      <c r="EX184" s="21">
        <f>EXP(-LN(2)/2)*EX183+(1-EXP(-LN(2)/2))/(LN(2)/2)*ER184*EU184*VLOOKUP('Données projet'!$B$15,Paramètres!$A$1:$I$89,3,0)*0.475*44/12</f>
        <v>3.9142374456829308E-22</v>
      </c>
      <c r="EY184" s="22">
        <f t="shared" si="181"/>
        <v>0.54269558509750015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215.23235148064941</v>
      </c>
      <c r="T185" s="59">
        <f t="shared" si="142"/>
        <v>184.07239726900434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0.15447183773185555</v>
      </c>
      <c r="AA185" s="21">
        <f>EXP(-LN(2)/25)*AA184+(1-EXP(-LN(2)/25))/(LN(2)/25)*Calculateur!V185*Calculateur!X185*VLOOKUP('Données projet'!$B$9,Paramètres!$A$1:$I$89,3,0)*0.475*44/12</f>
        <v>0.11612065813555683</v>
      </c>
      <c r="AB185" s="21">
        <f>EXP(-LN(2)/2)*AB184+(1-EXP(-LN(2)/2))/(LN(2)/2)*V185*Y185*VLOOKUP('Données projet'!$B$9,Paramètres!$A$1:$I$89,3,0)*0.475*44/12</f>
        <v>1.3012777221921136E-22</v>
      </c>
      <c r="AC185" s="22">
        <f t="shared" si="163"/>
        <v>0.27059249586741241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-8.5265128291212022E-14</v>
      </c>
      <c r="AJ185" s="13">
        <f>AI185*VLOOKUP('Données projet'!$B$10,Paramètres!$A$1:$I$89,3,0)*VLOOKUP('Données projet'!$B$10,Paramètres!$A$1:$I$89,5,0)</f>
        <v>-7.7147888077888636E-14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225.28075317732998</v>
      </c>
      <c r="AO185" s="59">
        <f t="shared" si="144"/>
        <v>358.43407531256207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0.11056062098513575</v>
      </c>
      <c r="AV185" s="21">
        <f>EXP(-LN(2)/25)*AV184+(1-EXP(-LN(2)/25))/(LN(2)/25)*Calculateur!AQ185*Calculateur!AS185*VLOOKUP('Données projet'!$B$10,Paramètres!$A$1:$I$89,3,0)*0.475*44/12</f>
        <v>0.1222787886924918</v>
      </c>
      <c r="AW185" s="21">
        <f>EXP(-LN(2)/2)*AW184+(1-EXP(-LN(2)/2))/(LN(2)/2)*AQ185*AT185*VLOOKUP('Données projet'!$B$10,Paramètres!$A$1:$I$89,3,0)*0.475*44/12</f>
        <v>5.841908303523982E-23</v>
      </c>
      <c r="AX185" s="21">
        <f t="shared" si="166"/>
        <v>0.23283940967762756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-5.6843418860808015E-13</v>
      </c>
      <c r="BE185" s="13">
        <f>BD185*VLOOKUP('Données projet'!$B$11,Paramètres!$A$1:$I$89,3,0)*VLOOKUP('Données projet'!$B$11,Paramètres!$A$1:$I$89,5,0)</f>
        <v>-3.177547114319168E-13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326.31232746914907</v>
      </c>
      <c r="BJ185" s="59">
        <f t="shared" si="146"/>
        <v>330.17137761430297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0.22510783421587274</v>
      </c>
      <c r="BQ185" s="21">
        <f>EXP(-LN(2)/25)*BQ184+(1-EXP(-LN(2)/25))/(LN(2)/25)*Calculateur!BL185*Calculateur!BN185*VLOOKUP('Données projet'!$B$11,Paramètres!$A$1:$I$89,3,0)*0.475*44/12</f>
        <v>0.44602106927662571</v>
      </c>
      <c r="BR185" s="21">
        <f>EXP(-LN(2)/2)*BR184+(1-EXP(-LN(2)/2))/(LN(2)/2)*BL185*BO185*VLOOKUP('Données projet'!$B$11,Paramètres!$A$1:$I$89,3,0)*0.475*44/12</f>
        <v>4.3042625567616513E-22</v>
      </c>
      <c r="BS185" s="22">
        <f t="shared" si="169"/>
        <v>0.67112890349249843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210.04871822652808</v>
      </c>
      <c r="CE185" s="59">
        <f t="shared" si="148"/>
        <v>250.17540614049324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0.35979180267906885</v>
      </c>
      <c r="CL185" s="21">
        <f>EXP(-LN(2)/25)*CL184+(1-EXP(-LN(2)/25))/(LN(2)/25)*Calculateur!CG185*Calculateur!CI185*VLOOKUP('Données projet'!$B$12,Paramètres!$A$1:$I$89,3,0)*0.475*44/12</f>
        <v>0.41139780312690694</v>
      </c>
      <c r="CM185" s="21">
        <f>EXP(-LN(2)/2)*CM184+(1-EXP(-LN(2)/2))/(LN(2)/2)*CG185*CJ185*VLOOKUP('Données projet'!$B$12,Paramètres!$A$1:$I$89,3,0)*0.475*44/12</f>
        <v>2.8526334221859816E-22</v>
      </c>
      <c r="CN185" s="22">
        <f t="shared" si="172"/>
        <v>0.77118960580597573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4.5224624045658861E-14</v>
      </c>
      <c r="CV185" s="13">
        <f t="shared" si="173"/>
        <v>7.4514601661523691E-13</v>
      </c>
      <c r="CW185" s="20">
        <f t="shared" si="174"/>
        <v>1.3765621991510601E-12</v>
      </c>
      <c r="CX185" s="59">
        <f t="shared" si="122"/>
        <v>293.33333333333468</v>
      </c>
      <c r="CY185" s="59">
        <f ca="1">AVERAGE(OFFSET($CX$3,0,0,'Données projet'!$E$13+1,1))-AVERAGE(OFFSET($H$3,0,0,'Données projet'!$E$13+1,1))</f>
        <v>199.58763537752952</v>
      </c>
      <c r="CZ185" s="59">
        <f t="shared" si="150"/>
        <v>242.62852778451929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0.15200450812478794</v>
      </c>
      <c r="DH185" s="21">
        <f>EXP(-LN(2)/2)*DH184+(1-EXP(-LN(2)/2))/(LN(2)/2)*DB185*DE185*VLOOKUP('Données projet'!$B$13,Paramètres!$A$1:$I$89,3,0)*0.475*44/12</f>
        <v>1.4242803941966524E-22</v>
      </c>
      <c r="DI185" s="22">
        <f t="shared" si="175"/>
        <v>0.15200450812478794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-4.5474735088646412E-13</v>
      </c>
      <c r="DP185" s="17">
        <f>DO185*VLOOKUP('Données projet'!$B$14,Paramètres!$A$1:$I$89,3,0)*VLOOKUP('Données projet'!$B$14,Paramètres!$A$1:$I$89,5,0)</f>
        <v>-2.7193891583010558E-13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216.94426559495264</v>
      </c>
      <c r="DU185" s="59">
        <f t="shared" si="152"/>
        <v>225.33715877618704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0.18993975059406906</v>
      </c>
      <c r="EC185" s="21">
        <f>EXP(-LN(2)/2)*EC184+(1-EXP(-LN(2)/2))/(LN(2)/2)*DW185*DZ185*VLOOKUP('Données projet'!$B$14,Paramètres!$A$1:$I$89,3,0)*0.475*44/12</f>
        <v>3.14055462974669E-22</v>
      </c>
      <c r="ED185" s="22">
        <f t="shared" si="178"/>
        <v>0.18993975059406906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6.8212102632969618E-13</v>
      </c>
      <c r="EK185" s="17">
        <f>EJ185*VLOOKUP('Données projet'!$B$15,Paramètres!$A$1:$I$89,3,0)*VLOOKUP('Données projet'!$B$15,Paramètres!$A$1:$I$89,5,0)</f>
        <v>3.2810021366458383E-13</v>
      </c>
      <c r="EL185" s="13">
        <f t="shared" si="179"/>
        <v>4.2923528923937213E-12</v>
      </c>
      <c r="EM185" s="20">
        <f t="shared" si="180"/>
        <v>8.0472891597182151E-12</v>
      </c>
      <c r="EN185" s="59">
        <f t="shared" si="128"/>
        <v>293.33333333334139</v>
      </c>
      <c r="EO185" s="59">
        <f ca="1">AVERAGE(OFFSET($EN$3,0,0,'Données projet'!$E$15+1,1))-AVERAGE(OFFSET($H$3,0,0,'Données projet'!$E$15+1,1))</f>
        <v>292.1792787220852</v>
      </c>
      <c r="EP185" s="59">
        <f t="shared" si="154"/>
        <v>273.69206144662144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0.33205275213238372</v>
      </c>
      <c r="EW185" s="21">
        <f>EXP(-LN(2)/25)*EW184+(1-EXP(-LN(2)/25))/(LN(2)/25)*Calculateur!ER185*Calculateur!ET185*VLOOKUP('Données projet'!$B$15,Paramètres!$A$1:$I$89,3,0)*0.475*44/12</f>
        <v>0.19842281877799753</v>
      </c>
      <c r="EX185" s="21">
        <f>EXP(-LN(2)/2)*EX184+(1-EXP(-LN(2)/2))/(LN(2)/2)*ER185*EU185*VLOOKUP('Données projet'!$B$15,Paramètres!$A$1:$I$89,3,0)*0.475*44/12</f>
        <v>2.7677838410167108E-22</v>
      </c>
      <c r="EY185" s="22">
        <f t="shared" si="181"/>
        <v>0.53047557091038122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215.23235148064941</v>
      </c>
      <c r="T186" s="59">
        <f t="shared" si="142"/>
        <v>184.07239726900434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0.15144273921245158</v>
      </c>
      <c r="AA186" s="21">
        <f>EXP(-LN(2)/25)*AA185+(1-EXP(-LN(2)/25))/(LN(2)/25)*Calculateur!V186*Calculateur!X186*VLOOKUP('Données projet'!$B$9,Paramètres!$A$1:$I$89,3,0)*0.475*44/12</f>
        <v>0.11294533263232001</v>
      </c>
      <c r="AB186" s="21">
        <f>EXP(-LN(2)/2)*AB185+(1-EXP(-LN(2)/2))/(LN(2)/2)*V186*Y186*VLOOKUP('Données projet'!$B$9,Paramètres!$A$1:$I$89,3,0)*0.475*44/12</f>
        <v>9.2014230156902789E-23</v>
      </c>
      <c r="AC186" s="22">
        <f t="shared" si="163"/>
        <v>0.26438807184477159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-8.5265128291212022E-14</v>
      </c>
      <c r="AJ186" s="13">
        <f>AI186*VLOOKUP('Données projet'!$B$10,Paramètres!$A$1:$I$89,3,0)*VLOOKUP('Données projet'!$B$10,Paramètres!$A$1:$I$89,5,0)</f>
        <v>-7.7147888077888636E-14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225.28075317732998</v>
      </c>
      <c r="AO186" s="59">
        <f t="shared" si="144"/>
        <v>358.43407531256207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0.10839259464293735</v>
      </c>
      <c r="AV186" s="21">
        <f>EXP(-LN(2)/25)*AV185+(1-EXP(-LN(2)/25))/(LN(2)/25)*Calculateur!AQ186*Calculateur!AS186*VLOOKUP('Données projet'!$B$10,Paramètres!$A$1:$I$89,3,0)*0.475*44/12</f>
        <v>0.11893506878533358</v>
      </c>
      <c r="AW186" s="21">
        <f>EXP(-LN(2)/2)*AW185+(1-EXP(-LN(2)/2))/(LN(2)/2)*AQ186*AT186*VLOOKUP('Données projet'!$B$10,Paramètres!$A$1:$I$89,3,0)*0.475*44/12</f>
        <v>4.1308529764918074E-23</v>
      </c>
      <c r="AX186" s="21">
        <f t="shared" si="166"/>
        <v>0.22732766342827093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-5.6843418860808015E-13</v>
      </c>
      <c r="BE186" s="13">
        <f>BD186*VLOOKUP('Données projet'!$B$11,Paramètres!$A$1:$I$89,3,0)*VLOOKUP('Données projet'!$B$11,Paramètres!$A$1:$I$89,5,0)</f>
        <v>-3.177547114319168E-13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326.31232746914907</v>
      </c>
      <c r="BJ186" s="59">
        <f t="shared" si="146"/>
        <v>330.17137761430297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0.22069360688912087</v>
      </c>
      <c r="BQ186" s="21">
        <f>EXP(-LN(2)/25)*BQ185+(1-EXP(-LN(2)/25))/(LN(2)/25)*Calculateur!BL186*Calculateur!BN186*VLOOKUP('Données projet'!$B$11,Paramètres!$A$1:$I$89,3,0)*0.475*44/12</f>
        <v>0.43382459968202775</v>
      </c>
      <c r="BR186" s="21">
        <f>EXP(-LN(2)/2)*BR185+(1-EXP(-LN(2)/2))/(LN(2)/2)*BL186*BO186*VLOOKUP('Données projet'!$B$11,Paramètres!$A$1:$I$89,3,0)*0.475*44/12</f>
        <v>3.0435732418935106E-22</v>
      </c>
      <c r="BS186" s="22">
        <f t="shared" si="169"/>
        <v>0.65451820657114856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210.04871822652808</v>
      </c>
      <c r="CE186" s="59">
        <f t="shared" si="148"/>
        <v>250.17540614049324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0.35273650487986291</v>
      </c>
      <c r="CL186" s="21">
        <f>EXP(-LN(2)/25)*CL185+(1-EXP(-LN(2)/25))/(LN(2)/25)*Calculateur!CG186*Calculateur!CI186*VLOOKUP('Données projet'!$B$12,Paramètres!$A$1:$I$89,3,0)*0.475*44/12</f>
        <v>0.40014810856593147</v>
      </c>
      <c r="CM186" s="21">
        <f>EXP(-LN(2)/2)*CM185+(1-EXP(-LN(2)/2))/(LN(2)/2)*CG186*CJ186*VLOOKUP('Données projet'!$B$12,Paramètres!$A$1:$I$89,3,0)*0.475*44/12</f>
        <v>2.0171164370670952E-22</v>
      </c>
      <c r="CN186" s="22">
        <f t="shared" si="172"/>
        <v>0.75288461344579438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4.5224624045658861E-14</v>
      </c>
      <c r="CV186" s="13">
        <f t="shared" si="173"/>
        <v>7.4514601661523691E-13</v>
      </c>
      <c r="CW186" s="20">
        <f t="shared" si="174"/>
        <v>1.3765621991510601E-12</v>
      </c>
      <c r="CX186" s="59">
        <f t="shared" si="122"/>
        <v>293.33333333333468</v>
      </c>
      <c r="CY186" s="59">
        <f ca="1">AVERAGE(OFFSET($CX$3,0,0,'Données projet'!$E$13+1,1))-AVERAGE(OFFSET($H$3,0,0,'Données projet'!$E$13+1,1))</f>
        <v>199.58763537752952</v>
      </c>
      <c r="CZ186" s="59">
        <f t="shared" si="150"/>
        <v>242.62852778451929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0.14784793685654593</v>
      </c>
      <c r="DH186" s="21">
        <f>EXP(-LN(2)/2)*DH185+(1-EXP(-LN(2)/2))/(LN(2)/2)*DB186*DE186*VLOOKUP('Données projet'!$B$13,Paramètres!$A$1:$I$89,3,0)*0.475*44/12</f>
        <v>1.007118325047502E-22</v>
      </c>
      <c r="DI186" s="22">
        <f t="shared" si="175"/>
        <v>0.14784793685654593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-4.5474735088646412E-13</v>
      </c>
      <c r="DP186" s="17">
        <f>DO186*VLOOKUP('Données projet'!$B$14,Paramètres!$A$1:$I$89,3,0)*VLOOKUP('Données projet'!$B$14,Paramètres!$A$1:$I$89,5,0)</f>
        <v>-2.7193891583010558E-13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216.94426559495264</v>
      </c>
      <c r="DU186" s="59">
        <f t="shared" si="152"/>
        <v>225.33715877618704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0.18474583812557688</v>
      </c>
      <c r="EC186" s="21">
        <f>EXP(-LN(2)/2)*EC185+(1-EXP(-LN(2)/2))/(LN(2)/2)*DW186*DZ186*VLOOKUP('Données projet'!$B$14,Paramètres!$A$1:$I$89,3,0)*0.475*44/12</f>
        <v>2.2207074753806914E-22</v>
      </c>
      <c r="ED186" s="22">
        <f t="shared" si="178"/>
        <v>0.18474583812557688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6.8212102632969618E-13</v>
      </c>
      <c r="EK186" s="17">
        <f>EJ186*VLOOKUP('Données projet'!$B$15,Paramètres!$A$1:$I$89,3,0)*VLOOKUP('Données projet'!$B$15,Paramètres!$A$1:$I$89,5,0)</f>
        <v>3.2810021366458383E-13</v>
      </c>
      <c r="EL186" s="13">
        <f t="shared" si="179"/>
        <v>4.2923528923937213E-12</v>
      </c>
      <c r="EM186" s="20">
        <f t="shared" si="180"/>
        <v>8.0472891597182151E-12</v>
      </c>
      <c r="EN186" s="59">
        <f t="shared" si="128"/>
        <v>293.33333333334139</v>
      </c>
      <c r="EO186" s="59">
        <f ca="1">AVERAGE(OFFSET($EN$3,0,0,'Données projet'!$E$15+1,1))-AVERAGE(OFFSET($H$3,0,0,'Données projet'!$E$15+1,1))</f>
        <v>292.1792787220852</v>
      </c>
      <c r="EP186" s="59">
        <f t="shared" si="154"/>
        <v>273.69206144662144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0.32554140019524808</v>
      </c>
      <c r="EW186" s="21">
        <f>EXP(-LN(2)/25)*EW185+(1-EXP(-LN(2)/25))/(LN(2)/25)*Calculateur!ER186*Calculateur!ET186*VLOOKUP('Données projet'!$B$15,Paramètres!$A$1:$I$89,3,0)*0.475*44/12</f>
        <v>0.19299693636391066</v>
      </c>
      <c r="EX186" s="21">
        <f>EXP(-LN(2)/2)*EX185+(1-EXP(-LN(2)/2))/(LN(2)/2)*ER186*EU186*VLOOKUP('Données projet'!$B$15,Paramètres!$A$1:$I$89,3,0)*0.475*44/12</f>
        <v>1.9571187228414654E-22</v>
      </c>
      <c r="EY186" s="22">
        <f t="shared" si="181"/>
        <v>0.51853833655915871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215.23235148064941</v>
      </c>
      <c r="T187" s="59">
        <f t="shared" si="142"/>
        <v>184.07239726900434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0.14847303946744544</v>
      </c>
      <c r="AA187" s="21">
        <f>EXP(-LN(2)/25)*AA186+(1-EXP(-LN(2)/25))/(LN(2)/25)*Calculateur!V187*Calculateur!X187*VLOOKUP('Données projet'!$B$9,Paramètres!$A$1:$I$89,3,0)*0.475*44/12</f>
        <v>0.10985683657195232</v>
      </c>
      <c r="AB187" s="21">
        <f>EXP(-LN(2)/2)*AB186+(1-EXP(-LN(2)/2))/(LN(2)/2)*V187*Y187*VLOOKUP('Données projet'!$B$9,Paramètres!$A$1:$I$89,3,0)*0.475*44/12</f>
        <v>6.5063886109605682E-23</v>
      </c>
      <c r="AC187" s="22">
        <f t="shared" si="163"/>
        <v>0.25832987603939778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-8.5265128291212022E-14</v>
      </c>
      <c r="AJ187" s="13">
        <f>AI187*VLOOKUP('Données projet'!$B$10,Paramètres!$A$1:$I$89,3,0)*VLOOKUP('Données projet'!$B$10,Paramètres!$A$1:$I$89,5,0)</f>
        <v>-7.7147888077888636E-14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225.28075317732998</v>
      </c>
      <c r="AO187" s="59">
        <f t="shared" si="144"/>
        <v>358.43407531256207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0.10626708197494397</v>
      </c>
      <c r="AV187" s="21">
        <f>EXP(-LN(2)/25)*AV186+(1-EXP(-LN(2)/25))/(LN(2)/25)*Calculateur!AQ187*Calculateur!AS187*VLOOKUP('Données projet'!$B$10,Paramètres!$A$1:$I$89,3,0)*0.475*44/12</f>
        <v>0.1156827830748752</v>
      </c>
      <c r="AW187" s="21">
        <f>EXP(-LN(2)/2)*AW186+(1-EXP(-LN(2)/2))/(LN(2)/2)*AQ187*AT187*VLOOKUP('Données projet'!$B$10,Paramètres!$A$1:$I$89,3,0)*0.475*44/12</f>
        <v>2.920954151761991E-23</v>
      </c>
      <c r="AX187" s="21">
        <f t="shared" si="166"/>
        <v>0.22194986504981917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-5.6843418860808015E-13</v>
      </c>
      <c r="BE187" s="13">
        <f>BD187*VLOOKUP('Données projet'!$B$11,Paramètres!$A$1:$I$89,3,0)*VLOOKUP('Données projet'!$B$11,Paramètres!$A$1:$I$89,5,0)</f>
        <v>-3.177547114319168E-13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326.31232746914907</v>
      </c>
      <c r="BJ187" s="59">
        <f t="shared" si="146"/>
        <v>330.17137761430297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0.21636593986783381</v>
      </c>
      <c r="BQ187" s="21">
        <f>EXP(-LN(2)/25)*BQ186+(1-EXP(-LN(2)/25))/(LN(2)/25)*Calculateur!BL187*Calculateur!BN187*VLOOKUP('Données projet'!$B$11,Paramètres!$A$1:$I$89,3,0)*0.475*44/12</f>
        <v>0.4219616431898785</v>
      </c>
      <c r="BR187" s="21">
        <f>EXP(-LN(2)/2)*BR186+(1-EXP(-LN(2)/2))/(LN(2)/2)*BL187*BO187*VLOOKUP('Données projet'!$B$11,Paramètres!$A$1:$I$89,3,0)*0.475*44/12</f>
        <v>2.1521312783808257E-22</v>
      </c>
      <c r="BS187" s="22">
        <f t="shared" si="169"/>
        <v>0.63832758305771231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210.04871822652808</v>
      </c>
      <c r="CE187" s="59">
        <f t="shared" si="148"/>
        <v>250.17540614049324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0.34581955716719265</v>
      </c>
      <c r="CL187" s="21">
        <f>EXP(-LN(2)/25)*CL186+(1-EXP(-LN(2)/25))/(LN(2)/25)*Calculateur!CG187*Calculateur!CI187*VLOOKUP('Données projet'!$B$12,Paramètres!$A$1:$I$89,3,0)*0.475*44/12</f>
        <v>0.38920603749432159</v>
      </c>
      <c r="CM187" s="21">
        <f>EXP(-LN(2)/2)*CM186+(1-EXP(-LN(2)/2))/(LN(2)/2)*CG187*CJ187*VLOOKUP('Données projet'!$B$12,Paramètres!$A$1:$I$89,3,0)*0.475*44/12</f>
        <v>1.4263167110929908E-22</v>
      </c>
      <c r="CN187" s="22">
        <f t="shared" si="172"/>
        <v>0.73502559466151429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4.5224624045658861E-14</v>
      </c>
      <c r="CV187" s="13">
        <f t="shared" si="173"/>
        <v>7.4514601661523691E-13</v>
      </c>
      <c r="CW187" s="20">
        <f t="shared" si="174"/>
        <v>1.3765621991510601E-12</v>
      </c>
      <c r="CX187" s="59">
        <f t="shared" si="122"/>
        <v>293.33333333333468</v>
      </c>
      <c r="CY187" s="59">
        <f ca="1">AVERAGE(OFFSET($CX$3,0,0,'Données projet'!$E$13+1,1))-AVERAGE(OFFSET($H$3,0,0,'Données projet'!$E$13+1,1))</f>
        <v>199.58763537752952</v>
      </c>
      <c r="CZ187" s="59">
        <f t="shared" si="150"/>
        <v>242.62852778451929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0.14380502724821859</v>
      </c>
      <c r="DH187" s="21">
        <f>EXP(-LN(2)/2)*DH186+(1-EXP(-LN(2)/2))/(LN(2)/2)*DB187*DE187*VLOOKUP('Données projet'!$B$13,Paramètres!$A$1:$I$89,3,0)*0.475*44/12</f>
        <v>7.1214019709832622E-23</v>
      </c>
      <c r="DI187" s="22">
        <f t="shared" si="175"/>
        <v>0.14380502724821859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-4.5474735088646412E-13</v>
      </c>
      <c r="DP187" s="17">
        <f>DO187*VLOOKUP('Données projet'!$B$14,Paramètres!$A$1:$I$89,3,0)*VLOOKUP('Données projet'!$B$14,Paramètres!$A$1:$I$89,5,0)</f>
        <v>-2.7193891583010558E-13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216.94426559495264</v>
      </c>
      <c r="DU187" s="59">
        <f t="shared" si="152"/>
        <v>225.33715877618704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0.17969395346667158</v>
      </c>
      <c r="EC187" s="21">
        <f>EXP(-LN(2)/2)*EC186+(1-EXP(-LN(2)/2))/(LN(2)/2)*DW187*DZ187*VLOOKUP('Données projet'!$B$14,Paramètres!$A$1:$I$89,3,0)*0.475*44/12</f>
        <v>1.570277314873345E-22</v>
      </c>
      <c r="ED187" s="22">
        <f t="shared" si="178"/>
        <v>0.17969395346667158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6.8212102632969618E-13</v>
      </c>
      <c r="EK187" s="17">
        <f>EJ187*VLOOKUP('Données projet'!$B$15,Paramètres!$A$1:$I$89,3,0)*VLOOKUP('Données projet'!$B$15,Paramètres!$A$1:$I$89,5,0)</f>
        <v>3.2810021366458383E-13</v>
      </c>
      <c r="EL187" s="13">
        <f t="shared" si="179"/>
        <v>4.2923528923937213E-12</v>
      </c>
      <c r="EM187" s="20">
        <f t="shared" si="180"/>
        <v>8.0472891597182151E-12</v>
      </c>
      <c r="EN187" s="59">
        <f t="shared" si="128"/>
        <v>293.33333333334139</v>
      </c>
      <c r="EO187" s="59">
        <f ca="1">AVERAGE(OFFSET($EN$3,0,0,'Données projet'!$E$15+1,1))-AVERAGE(OFFSET($H$3,0,0,'Données projet'!$E$15+1,1))</f>
        <v>292.1792787220852</v>
      </c>
      <c r="EP187" s="59">
        <f t="shared" si="154"/>
        <v>273.69206144662144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0.31915773189806712</v>
      </c>
      <c r="EW187" s="21">
        <f>EXP(-LN(2)/25)*EW186+(1-EXP(-LN(2)/25))/(LN(2)/25)*Calculateur!ER187*Calculateur!ET187*VLOOKUP('Données projet'!$B$15,Paramètres!$A$1:$I$89,3,0)*0.475*44/12</f>
        <v>0.18771942498977173</v>
      </c>
      <c r="EX187" s="21">
        <f>EXP(-LN(2)/2)*EX186+(1-EXP(-LN(2)/2))/(LN(2)/2)*ER187*EU187*VLOOKUP('Données projet'!$B$15,Paramètres!$A$1:$I$89,3,0)*0.475*44/12</f>
        <v>1.3838919205083554E-22</v>
      </c>
      <c r="EY187" s="22">
        <f t="shared" si="181"/>
        <v>0.50687715688783885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215.23235148064941</v>
      </c>
      <c r="T188" s="59">
        <f t="shared" si="142"/>
        <v>184.07239726900434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0.14556157372310088</v>
      </c>
      <c r="AA188" s="21">
        <f>EXP(-LN(2)/25)*AA187+(1-EXP(-LN(2)/25))/(LN(2)/25)*Calculateur!V188*Calculateur!X188*VLOOKUP('Données projet'!$B$9,Paramètres!$A$1:$I$89,3,0)*0.475*44/12</f>
        <v>0.10685279559877232</v>
      </c>
      <c r="AB188" s="21">
        <f>EXP(-LN(2)/2)*AB187+(1-EXP(-LN(2)/2))/(LN(2)/2)*V188*Y188*VLOOKUP('Données projet'!$B$9,Paramètres!$A$1:$I$89,3,0)*0.475*44/12</f>
        <v>4.6007115078451394E-23</v>
      </c>
      <c r="AC188" s="22">
        <f t="shared" si="163"/>
        <v>0.25241436932187322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-8.5265128291212022E-14</v>
      </c>
      <c r="AJ188" s="13">
        <f>AI188*VLOOKUP('Données projet'!$B$10,Paramètres!$A$1:$I$89,3,0)*VLOOKUP('Données projet'!$B$10,Paramètres!$A$1:$I$89,5,0)</f>
        <v>-7.7147888077888636E-14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225.28075317732998</v>
      </c>
      <c r="AO188" s="59">
        <f t="shared" si="144"/>
        <v>358.43407531256207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0.10418324931393523</v>
      </c>
      <c r="AV188" s="21">
        <f>EXP(-LN(2)/25)*AV187+(1-EXP(-LN(2)/25))/(LN(2)/25)*Calculateur!AQ188*Calculateur!AS188*VLOOKUP('Données projet'!$B$10,Paramètres!$A$1:$I$89,3,0)*0.475*44/12</f>
        <v>0.11251943128819958</v>
      </c>
      <c r="AW188" s="21">
        <f>EXP(-LN(2)/2)*AW187+(1-EXP(-LN(2)/2))/(LN(2)/2)*AQ188*AT188*VLOOKUP('Données projet'!$B$10,Paramètres!$A$1:$I$89,3,0)*0.475*44/12</f>
        <v>2.0654264882459037E-23</v>
      </c>
      <c r="AX188" s="21">
        <f t="shared" si="166"/>
        <v>0.21670268060213482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-5.6843418860808015E-13</v>
      </c>
      <c r="BE188" s="13">
        <f>BD188*VLOOKUP('Données projet'!$B$11,Paramètres!$A$1:$I$89,3,0)*VLOOKUP('Données projet'!$B$11,Paramètres!$A$1:$I$89,5,0)</f>
        <v>-3.177547114319168E-13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326.31232746914907</v>
      </c>
      <c r="BJ188" s="59">
        <f t="shared" si="146"/>
        <v>330.17137761430297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0.21212313575721795</v>
      </c>
      <c r="BQ188" s="21">
        <f>EXP(-LN(2)/25)*BQ187+(1-EXP(-LN(2)/25))/(LN(2)/25)*Calculateur!BL188*Calculateur!BN188*VLOOKUP('Données projet'!$B$11,Paramètres!$A$1:$I$89,3,0)*0.475*44/12</f>
        <v>0.41042307986685284</v>
      </c>
      <c r="BR188" s="21">
        <f>EXP(-LN(2)/2)*BR187+(1-EXP(-LN(2)/2))/(LN(2)/2)*BL188*BO188*VLOOKUP('Données projet'!$B$11,Paramètres!$A$1:$I$89,3,0)*0.475*44/12</f>
        <v>1.5217866209467553E-22</v>
      </c>
      <c r="BS188" s="22">
        <f t="shared" si="169"/>
        <v>0.62254621562407075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210.04871822652808</v>
      </c>
      <c r="CE188" s="59">
        <f t="shared" si="148"/>
        <v>250.17540614049324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0.33903824658024634</v>
      </c>
      <c r="CL188" s="21">
        <f>EXP(-LN(2)/25)*CL187+(1-EXP(-LN(2)/25))/(LN(2)/25)*Calculateur!CG188*Calculateur!CI188*VLOOKUP('Données projet'!$B$12,Paramètres!$A$1:$I$89,3,0)*0.475*44/12</f>
        <v>0.37856317793158339</v>
      </c>
      <c r="CM188" s="21">
        <f>EXP(-LN(2)/2)*CM187+(1-EXP(-LN(2)/2))/(LN(2)/2)*CG188*CJ188*VLOOKUP('Données projet'!$B$12,Paramètres!$A$1:$I$89,3,0)*0.475*44/12</f>
        <v>1.0085582185335476E-22</v>
      </c>
      <c r="CN188" s="22">
        <f t="shared" si="172"/>
        <v>0.71760142451182973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4.5224624045658861E-14</v>
      </c>
      <c r="CV188" s="13">
        <f t="shared" si="173"/>
        <v>7.4514601661523691E-13</v>
      </c>
      <c r="CW188" s="20">
        <f t="shared" si="174"/>
        <v>1.3765621991510601E-12</v>
      </c>
      <c r="CX188" s="59">
        <f t="shared" si="122"/>
        <v>293.33333333333468</v>
      </c>
      <c r="CY188" s="59">
        <f ca="1">AVERAGE(OFFSET($CX$3,0,0,'Données projet'!$E$13+1,1))-AVERAGE(OFFSET($H$3,0,0,'Données projet'!$E$13+1,1))</f>
        <v>199.58763537752952</v>
      </c>
      <c r="CZ188" s="59">
        <f t="shared" si="150"/>
        <v>242.62852778451929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0.13987267121573835</v>
      </c>
      <c r="DH188" s="21">
        <f>EXP(-LN(2)/2)*DH187+(1-EXP(-LN(2)/2))/(LN(2)/2)*DB188*DE188*VLOOKUP('Données projet'!$B$13,Paramètres!$A$1:$I$89,3,0)*0.475*44/12</f>
        <v>5.0355916252375099E-23</v>
      </c>
      <c r="DI188" s="22">
        <f t="shared" si="175"/>
        <v>0.13987267121573835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-4.5474735088646412E-13</v>
      </c>
      <c r="DP188" s="17">
        <f>DO188*VLOOKUP('Données projet'!$B$14,Paramètres!$A$1:$I$89,3,0)*VLOOKUP('Données projet'!$B$14,Paramètres!$A$1:$I$89,5,0)</f>
        <v>-2.7193891583010558E-13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216.94426559495264</v>
      </c>
      <c r="DU188" s="59">
        <f t="shared" si="152"/>
        <v>225.33715877618704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0.17478021285943113</v>
      </c>
      <c r="EC188" s="21">
        <f>EXP(-LN(2)/2)*EC187+(1-EXP(-LN(2)/2))/(LN(2)/2)*DW188*DZ188*VLOOKUP('Données projet'!$B$14,Paramètres!$A$1:$I$89,3,0)*0.475*44/12</f>
        <v>1.1103537376903457E-22</v>
      </c>
      <c r="ED188" s="22">
        <f t="shared" si="178"/>
        <v>0.17478021285943113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6.8212102632969618E-13</v>
      </c>
      <c r="EK188" s="17">
        <f>EJ188*VLOOKUP('Données projet'!$B$15,Paramètres!$A$1:$I$89,3,0)*VLOOKUP('Données projet'!$B$15,Paramètres!$A$1:$I$89,5,0)</f>
        <v>3.2810021366458383E-13</v>
      </c>
      <c r="EL188" s="13">
        <f t="shared" si="179"/>
        <v>4.2923528923937213E-12</v>
      </c>
      <c r="EM188" s="20">
        <f t="shared" si="180"/>
        <v>8.0472891597182151E-12</v>
      </c>
      <c r="EN188" s="59">
        <f t="shared" si="128"/>
        <v>293.33333333334139</v>
      </c>
      <c r="EO188" s="59">
        <f ca="1">AVERAGE(OFFSET($EN$3,0,0,'Données projet'!$E$15+1,1))-AVERAGE(OFFSET($H$3,0,0,'Données projet'!$E$15+1,1))</f>
        <v>292.1792787220852</v>
      </c>
      <c r="EP188" s="59">
        <f t="shared" si="154"/>
        <v>273.69206144662144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0.31289924344254072</v>
      </c>
      <c r="EW188" s="21">
        <f>EXP(-LN(2)/25)*EW187+(1-EXP(-LN(2)/25))/(LN(2)/25)*Calculateur!ER188*Calculateur!ET188*VLOOKUP('Données projet'!$B$15,Paramètres!$A$1:$I$89,3,0)*0.475*44/12</f>
        <v>0.1825862274416909</v>
      </c>
      <c r="EX188" s="21">
        <f>EXP(-LN(2)/2)*EX187+(1-EXP(-LN(2)/2))/(LN(2)/2)*ER188*EU188*VLOOKUP('Données projet'!$B$15,Paramètres!$A$1:$I$89,3,0)*0.475*44/12</f>
        <v>9.785593614207327E-23</v>
      </c>
      <c r="EY188" s="22">
        <f t="shared" si="181"/>
        <v>0.49548547088423162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215.23235148064941</v>
      </c>
      <c r="T189" s="59">
        <f t="shared" si="142"/>
        <v>184.07239726900434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0.14270720004618417</v>
      </c>
      <c r="AA189" s="21">
        <f>EXP(-LN(2)/25)*AA188+(1-EXP(-LN(2)/25))/(LN(2)/25)*Calculateur!V189*Calculateur!X189*VLOOKUP('Données projet'!$B$9,Paramètres!$A$1:$I$89,3,0)*0.475*44/12</f>
        <v>0.10393090028397958</v>
      </c>
      <c r="AB189" s="21">
        <f>EXP(-LN(2)/2)*AB188+(1-EXP(-LN(2)/2))/(LN(2)/2)*V189*Y189*VLOOKUP('Données projet'!$B$9,Paramètres!$A$1:$I$89,3,0)*0.475*44/12</f>
        <v>3.2531943054802841E-23</v>
      </c>
      <c r="AC189" s="22">
        <f t="shared" si="163"/>
        <v>0.24663810033016376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-8.5265128291212022E-14</v>
      </c>
      <c r="AJ189" s="13">
        <f>AI189*VLOOKUP('Données projet'!$B$10,Paramètres!$A$1:$I$89,3,0)*VLOOKUP('Données projet'!$B$10,Paramètres!$A$1:$I$89,5,0)</f>
        <v>-7.7147888077888636E-14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225.28075317732998</v>
      </c>
      <c r="AO189" s="59">
        <f t="shared" si="144"/>
        <v>358.43407531256207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0.10214027934039645</v>
      </c>
      <c r="AV189" s="21">
        <f>EXP(-LN(2)/25)*AV188+(1-EXP(-LN(2)/25))/(LN(2)/25)*Calculateur!AQ189*Calculateur!AS189*VLOOKUP('Données projet'!$B$10,Paramètres!$A$1:$I$89,3,0)*0.475*44/12</f>
        <v>0.10944258152248404</v>
      </c>
      <c r="AW189" s="21">
        <f>EXP(-LN(2)/2)*AW188+(1-EXP(-LN(2)/2))/(LN(2)/2)*AQ189*AT189*VLOOKUP('Données projet'!$B$10,Paramètres!$A$1:$I$89,3,0)*0.475*44/12</f>
        <v>1.4604770758809955E-23</v>
      </c>
      <c r="AX189" s="21">
        <f t="shared" si="166"/>
        <v>0.21158286086288047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-5.6843418860808015E-13</v>
      </c>
      <c r="BE189" s="13">
        <f>BD189*VLOOKUP('Données projet'!$B$11,Paramètres!$A$1:$I$89,3,0)*VLOOKUP('Données projet'!$B$11,Paramètres!$A$1:$I$89,5,0)</f>
        <v>-3.177547114319168E-13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326.31232746914907</v>
      </c>
      <c r="BJ189" s="59">
        <f t="shared" si="146"/>
        <v>330.17137761430297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0.20796353044735627</v>
      </c>
      <c r="BQ189" s="21">
        <f>EXP(-LN(2)/25)*BQ188+(1-EXP(-LN(2)/25))/(LN(2)/25)*Calculateur!BL189*Calculateur!BN189*VLOOKUP('Données projet'!$B$11,Paramètres!$A$1:$I$89,3,0)*0.475*44/12</f>
        <v>0.399200039164682</v>
      </c>
      <c r="BR189" s="21">
        <f>EXP(-LN(2)/2)*BR188+(1-EXP(-LN(2)/2))/(LN(2)/2)*BL189*BO189*VLOOKUP('Données projet'!$B$11,Paramètres!$A$1:$I$89,3,0)*0.475*44/12</f>
        <v>1.0760656391904128E-22</v>
      </c>
      <c r="BS189" s="22">
        <f t="shared" si="169"/>
        <v>0.60716356961203832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210.04871822652808</v>
      </c>
      <c r="CE189" s="59">
        <f t="shared" si="148"/>
        <v>250.17540614049324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0.332389913357719</v>
      </c>
      <c r="CL189" s="21">
        <f>EXP(-LN(2)/25)*CL188+(1-EXP(-LN(2)/25))/(LN(2)/25)*Calculateur!CG189*Calculateur!CI189*VLOOKUP('Données projet'!$B$12,Paramètres!$A$1:$I$89,3,0)*0.475*44/12</f>
        <v>0.36821134792327193</v>
      </c>
      <c r="CM189" s="21">
        <f>EXP(-LN(2)/2)*CM188+(1-EXP(-LN(2)/2))/(LN(2)/2)*CG189*CJ189*VLOOKUP('Données projet'!$B$12,Paramètres!$A$1:$I$89,3,0)*0.475*44/12</f>
        <v>7.1315835554649541E-23</v>
      </c>
      <c r="CN189" s="22">
        <f t="shared" si="172"/>
        <v>0.70060126128099087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4.5224624045658861E-14</v>
      </c>
      <c r="CV189" s="13">
        <f t="shared" si="173"/>
        <v>7.4514601661523691E-13</v>
      </c>
      <c r="CW189" s="20">
        <f t="shared" si="174"/>
        <v>1.3765621991510601E-12</v>
      </c>
      <c r="CX189" s="59">
        <f t="shared" si="122"/>
        <v>293.33333333333468</v>
      </c>
      <c r="CY189" s="59">
        <f ca="1">AVERAGE(OFFSET($CX$3,0,0,'Données projet'!$E$13+1,1))-AVERAGE(OFFSET($H$3,0,0,'Données projet'!$E$13+1,1))</f>
        <v>199.58763537752952</v>
      </c>
      <c r="CZ189" s="59">
        <f t="shared" si="150"/>
        <v>242.62852778451929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0.13604784566575989</v>
      </c>
      <c r="DH189" s="21">
        <f>EXP(-LN(2)/2)*DH188+(1-EXP(-LN(2)/2))/(LN(2)/2)*DB189*DE189*VLOOKUP('Données projet'!$B$13,Paramètres!$A$1:$I$89,3,0)*0.475*44/12</f>
        <v>3.5607009854916311E-23</v>
      </c>
      <c r="DI189" s="22">
        <f t="shared" si="175"/>
        <v>0.13604784566575989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-4.5474735088646412E-13</v>
      </c>
      <c r="DP189" s="17">
        <f>DO189*VLOOKUP('Données projet'!$B$14,Paramètres!$A$1:$I$89,3,0)*VLOOKUP('Données projet'!$B$14,Paramètres!$A$1:$I$89,5,0)</f>
        <v>-2.7193891583010558E-13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216.94426559495264</v>
      </c>
      <c r="DU189" s="59">
        <f t="shared" si="152"/>
        <v>225.33715877618704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0.17000083874749805</v>
      </c>
      <c r="EC189" s="21">
        <f>EXP(-LN(2)/2)*EC188+(1-EXP(-LN(2)/2))/(LN(2)/2)*DW189*DZ189*VLOOKUP('Données projet'!$B$14,Paramètres!$A$1:$I$89,3,0)*0.475*44/12</f>
        <v>7.8513865743667249E-23</v>
      </c>
      <c r="ED189" s="22">
        <f t="shared" si="178"/>
        <v>0.17000083874749805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6.8212102632969618E-13</v>
      </c>
      <c r="EK189" s="17">
        <f>EJ189*VLOOKUP('Données projet'!$B$15,Paramètres!$A$1:$I$89,3,0)*VLOOKUP('Données projet'!$B$15,Paramètres!$A$1:$I$89,5,0)</f>
        <v>3.2810021366458383E-13</v>
      </c>
      <c r="EL189" s="13">
        <f t="shared" si="179"/>
        <v>4.2923528923937213E-12</v>
      </c>
      <c r="EM189" s="20">
        <f t="shared" si="180"/>
        <v>8.0472891597182151E-12</v>
      </c>
      <c r="EN189" s="59">
        <f t="shared" si="128"/>
        <v>293.33333333334139</v>
      </c>
      <c r="EO189" s="59">
        <f ca="1">AVERAGE(OFFSET($EN$3,0,0,'Données projet'!$E$15+1,1))-AVERAGE(OFFSET($H$3,0,0,'Données projet'!$E$15+1,1))</f>
        <v>292.1792787220852</v>
      </c>
      <c r="EP189" s="59">
        <f t="shared" si="154"/>
        <v>273.69206144662144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0.30676348012832616</v>
      </c>
      <c r="EW189" s="21">
        <f>EXP(-LN(2)/25)*EW188+(1-EXP(-LN(2)/25))/(LN(2)/25)*Calculateur!ER189*Calculateur!ET189*VLOOKUP('Données projet'!$B$15,Paramètres!$A$1:$I$89,3,0)*0.475*44/12</f>
        <v>0.17759339745050545</v>
      </c>
      <c r="EX189" s="21">
        <f>EXP(-LN(2)/2)*EX188+(1-EXP(-LN(2)/2))/(LN(2)/2)*ER189*EU189*VLOOKUP('Données projet'!$B$15,Paramètres!$A$1:$I$89,3,0)*0.475*44/12</f>
        <v>6.919459602541777E-23</v>
      </c>
      <c r="EY189" s="22">
        <f t="shared" si="181"/>
        <v>0.48435687757883161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215.23235148064941</v>
      </c>
      <c r="T190" s="59">
        <f t="shared" si="142"/>
        <v>184.07239726900434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0.13990879889607577</v>
      </c>
      <c r="AA190" s="21">
        <f>EXP(-LN(2)/25)*AA189+(1-EXP(-LN(2)/25))/(LN(2)/25)*Calculateur!V190*Calculateur!X190*VLOOKUP('Données projet'!$B$9,Paramètres!$A$1:$I$89,3,0)*0.475*44/12</f>
        <v>0.10108890435022565</v>
      </c>
      <c r="AB190" s="21">
        <f>EXP(-LN(2)/2)*AB189+(1-EXP(-LN(2)/2))/(LN(2)/2)*V190*Y190*VLOOKUP('Données projet'!$B$9,Paramètres!$A$1:$I$89,3,0)*0.475*44/12</f>
        <v>2.3003557539225697E-23</v>
      </c>
      <c r="AC190" s="22">
        <f t="shared" si="163"/>
        <v>0.24099770324630143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-8.5265128291212022E-14</v>
      </c>
      <c r="AJ190" s="13">
        <f>AI190*VLOOKUP('Données projet'!$B$10,Paramètres!$A$1:$I$89,3,0)*VLOOKUP('Données projet'!$B$10,Paramètres!$A$1:$I$89,5,0)</f>
        <v>-7.7147888077888636E-14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225.28075317732998</v>
      </c>
      <c r="AO190" s="59">
        <f t="shared" si="144"/>
        <v>358.43407531256207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0.10013737076195012</v>
      </c>
      <c r="AV190" s="21">
        <f>EXP(-LN(2)/25)*AV189+(1-EXP(-LN(2)/25))/(LN(2)/25)*Calculateur!AQ190*Calculateur!AS190*VLOOKUP('Données projet'!$B$10,Paramètres!$A$1:$I$89,3,0)*0.475*44/12</f>
        <v>0.10644986837541648</v>
      </c>
      <c r="AW190" s="21">
        <f>EXP(-LN(2)/2)*AW189+(1-EXP(-LN(2)/2))/(LN(2)/2)*AQ190*AT190*VLOOKUP('Données projet'!$B$10,Paramètres!$A$1:$I$89,3,0)*0.475*44/12</f>
        <v>1.0327132441229519E-23</v>
      </c>
      <c r="AX190" s="21">
        <f t="shared" si="166"/>
        <v>0.2065872391373666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-5.6843418860808015E-13</v>
      </c>
      <c r="BE190" s="13">
        <f>BD190*VLOOKUP('Données projet'!$B$11,Paramètres!$A$1:$I$89,3,0)*VLOOKUP('Données projet'!$B$11,Paramètres!$A$1:$I$89,5,0)</f>
        <v>-3.177547114319168E-13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326.31232746914907</v>
      </c>
      <c r="BJ190" s="59">
        <f t="shared" si="146"/>
        <v>330.17137761430297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0.20388549246051227</v>
      </c>
      <c r="BQ190" s="21">
        <f>EXP(-LN(2)/25)*BQ189+(1-EXP(-LN(2)/25))/(LN(2)/25)*Calculateur!BL190*Calculateur!BN190*VLOOKUP('Données projet'!$B$11,Paramètres!$A$1:$I$89,3,0)*0.475*44/12</f>
        <v>0.3882838931007061</v>
      </c>
      <c r="BR190" s="21">
        <f>EXP(-LN(2)/2)*BR189+(1-EXP(-LN(2)/2))/(LN(2)/2)*BL190*BO190*VLOOKUP('Données projet'!$B$11,Paramètres!$A$1:$I$89,3,0)*0.475*44/12</f>
        <v>7.6089331047337764E-23</v>
      </c>
      <c r="BS190" s="22">
        <f t="shared" si="169"/>
        <v>0.59216938556121834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210.04871822652808</v>
      </c>
      <c r="CE190" s="59">
        <f t="shared" si="148"/>
        <v>250.17540614049324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0.32587194989460261</v>
      </c>
      <c r="CL190" s="21">
        <f>EXP(-LN(2)/25)*CL189+(1-EXP(-LN(2)/25))/(LN(2)/25)*Calculateur!CG190*Calculateur!CI190*VLOOKUP('Données projet'!$B$12,Paramètres!$A$1:$I$89,3,0)*0.475*44/12</f>
        <v>0.3581425892509168</v>
      </c>
      <c r="CM190" s="21">
        <f>EXP(-LN(2)/2)*CM189+(1-EXP(-LN(2)/2))/(LN(2)/2)*CG190*CJ190*VLOOKUP('Données projet'!$B$12,Paramètres!$A$1:$I$89,3,0)*0.475*44/12</f>
        <v>5.0427910926677379E-23</v>
      </c>
      <c r="CN190" s="22">
        <f t="shared" si="172"/>
        <v>0.68401453914551946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4.5224624045658861E-14</v>
      </c>
      <c r="CV190" s="13">
        <f t="shared" si="173"/>
        <v>7.4514601661523691E-13</v>
      </c>
      <c r="CW190" s="20">
        <f t="shared" si="174"/>
        <v>1.3765621991510601E-12</v>
      </c>
      <c r="CX190" s="59">
        <f t="shared" si="122"/>
        <v>293.33333333333468</v>
      </c>
      <c r="CY190" s="59">
        <f ca="1">AVERAGE(OFFSET($CX$3,0,0,'Données projet'!$E$13+1,1))-AVERAGE(OFFSET($H$3,0,0,'Données projet'!$E$13+1,1))</f>
        <v>199.58763537752952</v>
      </c>
      <c r="CZ190" s="59">
        <f t="shared" si="150"/>
        <v>242.62852778451929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0.13232761017158443</v>
      </c>
      <c r="DH190" s="21">
        <f>EXP(-LN(2)/2)*DH189+(1-EXP(-LN(2)/2))/(LN(2)/2)*DB190*DE190*VLOOKUP('Données projet'!$B$13,Paramètres!$A$1:$I$89,3,0)*0.475*44/12</f>
        <v>2.517795812618755E-23</v>
      </c>
      <c r="DI190" s="22">
        <f t="shared" si="175"/>
        <v>0.13232761017158443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-4.5474735088646412E-13</v>
      </c>
      <c r="DP190" s="17">
        <f>DO190*VLOOKUP('Données projet'!$B$14,Paramètres!$A$1:$I$89,3,0)*VLOOKUP('Données projet'!$B$14,Paramètres!$A$1:$I$89,5,0)</f>
        <v>-2.7193891583010558E-13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216.94426559495264</v>
      </c>
      <c r="DU190" s="59">
        <f t="shared" si="152"/>
        <v>225.33715877618704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0.16535215687199215</v>
      </c>
      <c r="EC190" s="21">
        <f>EXP(-LN(2)/2)*EC189+(1-EXP(-LN(2)/2))/(LN(2)/2)*DW190*DZ190*VLOOKUP('Données projet'!$B$14,Paramètres!$A$1:$I$89,3,0)*0.475*44/12</f>
        <v>5.5517686884517286E-23</v>
      </c>
      <c r="ED190" s="22">
        <f t="shared" si="178"/>
        <v>0.16535215687199215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6.8212102632969618E-13</v>
      </c>
      <c r="EK190" s="17">
        <f>EJ190*VLOOKUP('Données projet'!$B$15,Paramètres!$A$1:$I$89,3,0)*VLOOKUP('Données projet'!$B$15,Paramètres!$A$1:$I$89,5,0)</f>
        <v>3.2810021366458383E-13</v>
      </c>
      <c r="EL190" s="13">
        <f t="shared" si="179"/>
        <v>4.2923528923937213E-12</v>
      </c>
      <c r="EM190" s="20">
        <f t="shared" si="180"/>
        <v>8.0472891597182151E-12</v>
      </c>
      <c r="EN190" s="59">
        <f t="shared" si="128"/>
        <v>293.33333333334139</v>
      </c>
      <c r="EO190" s="59">
        <f ca="1">AVERAGE(OFFSET($EN$3,0,0,'Données projet'!$E$15+1,1))-AVERAGE(OFFSET($H$3,0,0,'Données projet'!$E$15+1,1))</f>
        <v>292.1792787220852</v>
      </c>
      <c r="EP190" s="59">
        <f t="shared" si="154"/>
        <v>273.69206144662144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0.30074803539025724</v>
      </c>
      <c r="EW190" s="21">
        <f>EXP(-LN(2)/25)*EW189+(1-EXP(-LN(2)/25))/(LN(2)/25)*Calculateur!ER190*Calculateur!ET190*VLOOKUP('Données projet'!$B$15,Paramètres!$A$1:$I$89,3,0)*0.475*44/12</f>
        <v>0.1727370966579905</v>
      </c>
      <c r="EX190" s="21">
        <f>EXP(-LN(2)/2)*EX189+(1-EXP(-LN(2)/2))/(LN(2)/2)*ER190*EU190*VLOOKUP('Données projet'!$B$15,Paramètres!$A$1:$I$89,3,0)*0.475*44/12</f>
        <v>4.8927968071036635E-23</v>
      </c>
      <c r="EY190" s="22">
        <f t="shared" si="181"/>
        <v>0.47348513204824771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215.23235148064941</v>
      </c>
      <c r="T191" s="59">
        <f t="shared" si="142"/>
        <v>184.07239726900434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0.13716527268566484</v>
      </c>
      <c r="AA191" s="21">
        <f>EXP(-LN(2)/25)*AA190+(1-EXP(-LN(2)/25))/(LN(2)/25)*Calculateur!V191*Calculateur!X191*VLOOKUP('Données projet'!$B$9,Paramètres!$A$1:$I$89,3,0)*0.475*44/12</f>
        <v>9.8324622944734291E-2</v>
      </c>
      <c r="AB191" s="21">
        <f>EXP(-LN(2)/2)*AB190+(1-EXP(-LN(2)/2))/(LN(2)/2)*V191*Y191*VLOOKUP('Données projet'!$B$9,Paramètres!$A$1:$I$89,3,0)*0.475*44/12</f>
        <v>1.626597152740142E-23</v>
      </c>
      <c r="AC191" s="22">
        <f t="shared" si="163"/>
        <v>0.23548989563039913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-8.5265128291212022E-14</v>
      </c>
      <c r="AJ191" s="13">
        <f>AI191*VLOOKUP('Données projet'!$B$10,Paramètres!$A$1:$I$89,3,0)*VLOOKUP('Données projet'!$B$10,Paramètres!$A$1:$I$89,5,0)</f>
        <v>-7.7147888077888636E-14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225.28075317732998</v>
      </c>
      <c r="AO191" s="59">
        <f t="shared" si="144"/>
        <v>358.43407531256207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9.8173737999073515E-2</v>
      </c>
      <c r="AV191" s="21">
        <f>EXP(-LN(2)/25)*AV190+(1-EXP(-LN(2)/25))/(LN(2)/25)*Calculateur!AQ191*Calculateur!AS191*VLOOKUP('Données projet'!$B$10,Paramètres!$A$1:$I$89,3,0)*0.475*44/12</f>
        <v>0.10353899112673544</v>
      </c>
      <c r="AW191" s="21">
        <f>EXP(-LN(2)/2)*AW190+(1-EXP(-LN(2)/2))/(LN(2)/2)*AQ191*AT191*VLOOKUP('Données projet'!$B$10,Paramètres!$A$1:$I$89,3,0)*0.475*44/12</f>
        <v>7.3023853794049775E-24</v>
      </c>
      <c r="AX191" s="21">
        <f t="shared" si="166"/>
        <v>0.20171272912580895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-5.6843418860808015E-13</v>
      </c>
      <c r="BE191" s="13">
        <f>BD191*VLOOKUP('Données projet'!$B$11,Paramètres!$A$1:$I$89,3,0)*VLOOKUP('Données projet'!$B$11,Paramètres!$A$1:$I$89,5,0)</f>
        <v>-3.177547114319168E-13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326.31232746914907</v>
      </c>
      <c r="BJ191" s="59">
        <f t="shared" si="146"/>
        <v>330.17137761430297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0.19988742231123272</v>
      </c>
      <c r="BQ191" s="21">
        <f>EXP(-LN(2)/25)*BQ190+(1-EXP(-LN(2)/25))/(LN(2)/25)*Calculateur!BL191*Calculateur!BN191*VLOOKUP('Données projet'!$B$11,Paramètres!$A$1:$I$89,3,0)*0.475*44/12</f>
        <v>0.3776662496249048</v>
      </c>
      <c r="BR191" s="21">
        <f>EXP(-LN(2)/2)*BR190+(1-EXP(-LN(2)/2))/(LN(2)/2)*BL191*BO191*VLOOKUP('Données projet'!$B$11,Paramètres!$A$1:$I$89,3,0)*0.475*44/12</f>
        <v>5.3803281959520642E-23</v>
      </c>
      <c r="BS191" s="22">
        <f t="shared" si="169"/>
        <v>0.57755367193613749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210.04871822652808</v>
      </c>
      <c r="CE191" s="59">
        <f t="shared" si="148"/>
        <v>250.17540614049324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0.31948179971943275</v>
      </c>
      <c r="CL191" s="21">
        <f>EXP(-LN(2)/25)*CL190+(1-EXP(-LN(2)/25))/(LN(2)/25)*Calculateur!CG191*Calculateur!CI191*VLOOKUP('Données projet'!$B$12,Paramètres!$A$1:$I$89,3,0)*0.475*44/12</f>
        <v>0.34834916131395027</v>
      </c>
      <c r="CM191" s="21">
        <f>EXP(-LN(2)/2)*CM190+(1-EXP(-LN(2)/2))/(LN(2)/2)*CG191*CJ191*VLOOKUP('Données projet'!$B$12,Paramètres!$A$1:$I$89,3,0)*0.475*44/12</f>
        <v>3.565791777732477E-23</v>
      </c>
      <c r="CN191" s="22">
        <f t="shared" si="172"/>
        <v>0.66783096103338302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4.5224624045658861E-14</v>
      </c>
      <c r="CV191" s="13">
        <f t="shared" si="173"/>
        <v>7.4514601661523691E-13</v>
      </c>
      <c r="CW191" s="20">
        <f t="shared" si="174"/>
        <v>1.3765621991510601E-12</v>
      </c>
      <c r="CX191" s="59">
        <f t="shared" si="122"/>
        <v>293.33333333333468</v>
      </c>
      <c r="CY191" s="59">
        <f ca="1">AVERAGE(OFFSET($CX$3,0,0,'Données projet'!$E$13+1,1))-AVERAGE(OFFSET($H$3,0,0,'Données projet'!$E$13+1,1))</f>
        <v>199.58763537752952</v>
      </c>
      <c r="CZ191" s="59">
        <f t="shared" si="150"/>
        <v>242.62852778451929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0.12870910471263586</v>
      </c>
      <c r="DH191" s="21">
        <f>EXP(-LN(2)/2)*DH190+(1-EXP(-LN(2)/2))/(LN(2)/2)*DB191*DE191*VLOOKUP('Données projet'!$B$13,Paramètres!$A$1:$I$89,3,0)*0.475*44/12</f>
        <v>1.7803504927458156E-23</v>
      </c>
      <c r="DI191" s="22">
        <f t="shared" si="175"/>
        <v>0.12870910471263586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-4.5474735088646412E-13</v>
      </c>
      <c r="DP191" s="17">
        <f>DO191*VLOOKUP('Données projet'!$B$14,Paramètres!$A$1:$I$89,3,0)*VLOOKUP('Données projet'!$B$14,Paramètres!$A$1:$I$89,5,0)</f>
        <v>-2.7193891583010558E-13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216.94426559495264</v>
      </c>
      <c r="DU191" s="59">
        <f t="shared" si="152"/>
        <v>225.33715877618704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0.16083059344683551</v>
      </c>
      <c r="EC191" s="21">
        <f>EXP(-LN(2)/2)*EC190+(1-EXP(-LN(2)/2))/(LN(2)/2)*DW191*DZ191*VLOOKUP('Données projet'!$B$14,Paramètres!$A$1:$I$89,3,0)*0.475*44/12</f>
        <v>3.9256932871833625E-23</v>
      </c>
      <c r="ED191" s="22">
        <f t="shared" si="178"/>
        <v>0.16083059344683551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6.8212102632969618E-13</v>
      </c>
      <c r="EK191" s="17">
        <f>EJ191*VLOOKUP('Données projet'!$B$15,Paramètres!$A$1:$I$89,3,0)*VLOOKUP('Données projet'!$B$15,Paramètres!$A$1:$I$89,5,0)</f>
        <v>3.2810021366458383E-13</v>
      </c>
      <c r="EL191" s="13">
        <f t="shared" si="179"/>
        <v>4.2923528923937213E-12</v>
      </c>
      <c r="EM191" s="20">
        <f t="shared" si="180"/>
        <v>8.0472891597182151E-12</v>
      </c>
      <c r="EN191" s="59">
        <f t="shared" si="128"/>
        <v>293.33333333334139</v>
      </c>
      <c r="EO191" s="59">
        <f ca="1">AVERAGE(OFFSET($EN$3,0,0,'Données projet'!$E$15+1,1))-AVERAGE(OFFSET($H$3,0,0,'Données projet'!$E$15+1,1))</f>
        <v>292.1792787220852</v>
      </c>
      <c r="EP191" s="59">
        <f t="shared" si="154"/>
        <v>273.69206144662144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0.29485054985444287</v>
      </c>
      <c r="EW191" s="21">
        <f>EXP(-LN(2)/25)*EW190+(1-EXP(-LN(2)/25))/(LN(2)/25)*Calculateur!ER191*Calculateur!ET191*VLOOKUP('Données projet'!$B$15,Paramètres!$A$1:$I$89,3,0)*0.475*44/12</f>
        <v>0.16801359166602864</v>
      </c>
      <c r="EX191" s="21">
        <f>EXP(-LN(2)/2)*EX190+(1-EXP(-LN(2)/2))/(LN(2)/2)*ER191*EU191*VLOOKUP('Données projet'!$B$15,Paramètres!$A$1:$I$89,3,0)*0.475*44/12</f>
        <v>3.4597298012708885E-23</v>
      </c>
      <c r="EY191" s="22">
        <f t="shared" si="181"/>
        <v>0.46286414152047151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215.23235148064941</v>
      </c>
      <c r="T192" s="59">
        <f t="shared" si="142"/>
        <v>184.07239726900434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0.13447554535085429</v>
      </c>
      <c r="AA192" s="21">
        <f>EXP(-LN(2)/25)*AA191+(1-EXP(-LN(2)/25))/(LN(2)/25)*Calculateur!V192*Calculateur!X192*VLOOKUP('Données projet'!$B$9,Paramètres!$A$1:$I$89,3,0)*0.475*44/12</f>
        <v>9.5635930959643331E-2</v>
      </c>
      <c r="AB192" s="21">
        <f>EXP(-LN(2)/2)*AB191+(1-EXP(-LN(2)/2))/(LN(2)/2)*V192*Y192*VLOOKUP('Données projet'!$B$9,Paramètres!$A$1:$I$89,3,0)*0.475*44/12</f>
        <v>1.1501778769612849E-23</v>
      </c>
      <c r="AC192" s="22">
        <f t="shared" si="163"/>
        <v>0.23011147631049761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-8.5265128291212022E-14</v>
      </c>
      <c r="AJ192" s="13">
        <f>AI192*VLOOKUP('Données projet'!$B$10,Paramètres!$A$1:$I$89,3,0)*VLOOKUP('Données projet'!$B$10,Paramètres!$A$1:$I$89,5,0)</f>
        <v>-7.7147888077888636E-14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225.28075317732998</v>
      </c>
      <c r="AO192" s="59">
        <f t="shared" si="144"/>
        <v>358.43407531256207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9.6248610876979196E-2</v>
      </c>
      <c r="AV192" s="21">
        <f>EXP(-LN(2)/25)*AV191+(1-EXP(-LN(2)/25))/(LN(2)/25)*Calculateur!AQ192*Calculateur!AS192*VLOOKUP('Données projet'!$B$10,Paramètres!$A$1:$I$89,3,0)*0.475*44/12</f>
        <v>0.10070771196949596</v>
      </c>
      <c r="AW192" s="21">
        <f>EXP(-LN(2)/2)*AW191+(1-EXP(-LN(2)/2))/(LN(2)/2)*AQ192*AT192*VLOOKUP('Données projet'!$B$10,Paramètres!$A$1:$I$89,3,0)*0.475*44/12</f>
        <v>5.1635662206147593E-24</v>
      </c>
      <c r="AX192" s="21">
        <f t="shared" si="166"/>
        <v>0.19695632284647516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-5.6843418860808015E-13</v>
      </c>
      <c r="BE192" s="13">
        <f>BD192*VLOOKUP('Données projet'!$B$11,Paramètres!$A$1:$I$89,3,0)*VLOOKUP('Données projet'!$B$11,Paramètres!$A$1:$I$89,5,0)</f>
        <v>-3.177547114319168E-13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326.31232746914907</v>
      </c>
      <c r="BJ192" s="59">
        <f t="shared" si="146"/>
        <v>330.17137761430297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0.19596775187899851</v>
      </c>
      <c r="BQ192" s="21">
        <f>EXP(-LN(2)/25)*BQ191+(1-EXP(-LN(2)/25))/(LN(2)/25)*Calculateur!BL192*Calculateur!BN192*VLOOKUP('Données projet'!$B$11,Paramètres!$A$1:$I$89,3,0)*0.475*44/12</f>
        <v>0.36733894616830687</v>
      </c>
      <c r="BR192" s="21">
        <f>EXP(-LN(2)/2)*BR191+(1-EXP(-LN(2)/2))/(LN(2)/2)*BL192*BO192*VLOOKUP('Données projet'!$B$11,Paramètres!$A$1:$I$89,3,0)*0.475*44/12</f>
        <v>3.8044665523668882E-23</v>
      </c>
      <c r="BS192" s="22">
        <f t="shared" si="169"/>
        <v>0.56330669804730538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210.04871822652808</v>
      </c>
      <c r="CE192" s="59">
        <f t="shared" si="148"/>
        <v>250.17540614049324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0.3132169564915912</v>
      </c>
      <c r="CL192" s="21">
        <f>EXP(-LN(2)/25)*CL191+(1-EXP(-LN(2)/25))/(LN(2)/25)*Calculateur!CG192*Calculateur!CI192*VLOOKUP('Données projet'!$B$12,Paramètres!$A$1:$I$89,3,0)*0.475*44/12</f>
        <v>0.3388235351789341</v>
      </c>
      <c r="CM192" s="21">
        <f>EXP(-LN(2)/2)*CM191+(1-EXP(-LN(2)/2))/(LN(2)/2)*CG192*CJ192*VLOOKUP('Données projet'!$B$12,Paramètres!$A$1:$I$89,3,0)*0.475*44/12</f>
        <v>2.521395546333869E-23</v>
      </c>
      <c r="CN192" s="22">
        <f t="shared" si="172"/>
        <v>0.65204049167052536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4.5224624045658861E-14</v>
      </c>
      <c r="CV192" s="13">
        <f t="shared" si="173"/>
        <v>7.4514601661523691E-13</v>
      </c>
      <c r="CW192" s="20">
        <f t="shared" si="174"/>
        <v>1.3765621991510601E-12</v>
      </c>
      <c r="CX192" s="59">
        <f t="shared" si="122"/>
        <v>293.33333333333468</v>
      </c>
      <c r="CY192" s="59">
        <f ca="1">AVERAGE(OFFSET($CX$3,0,0,'Données projet'!$E$13+1,1))-AVERAGE(OFFSET($H$3,0,0,'Données projet'!$E$13+1,1))</f>
        <v>199.58763537752952</v>
      </c>
      <c r="CZ192" s="59">
        <f t="shared" si="150"/>
        <v>242.62852778451929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0.12518954747575117</v>
      </c>
      <c r="DH192" s="21">
        <f>EXP(-LN(2)/2)*DH191+(1-EXP(-LN(2)/2))/(LN(2)/2)*DB192*DE192*VLOOKUP('Données projet'!$B$13,Paramètres!$A$1:$I$89,3,0)*0.475*44/12</f>
        <v>1.2588979063093775E-23</v>
      </c>
      <c r="DI192" s="22">
        <f t="shared" si="175"/>
        <v>0.12518954747575117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-4.5474735088646412E-13</v>
      </c>
      <c r="DP192" s="17">
        <f>DO192*VLOOKUP('Données projet'!$B$14,Paramètres!$A$1:$I$89,3,0)*VLOOKUP('Données projet'!$B$14,Paramètres!$A$1:$I$89,5,0)</f>
        <v>-2.7193891583010558E-13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216.94426559495264</v>
      </c>
      <c r="DU192" s="59">
        <f t="shared" si="152"/>
        <v>225.33715877618704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0.15643267241131847</v>
      </c>
      <c r="EC192" s="21">
        <f>EXP(-LN(2)/2)*EC191+(1-EXP(-LN(2)/2))/(LN(2)/2)*DW192*DZ192*VLOOKUP('Données projet'!$B$14,Paramètres!$A$1:$I$89,3,0)*0.475*44/12</f>
        <v>2.7758843442258643E-23</v>
      </c>
      <c r="ED192" s="22">
        <f t="shared" si="178"/>
        <v>0.15643267241131847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6.8212102632969618E-13</v>
      </c>
      <c r="EK192" s="17">
        <f>EJ192*VLOOKUP('Données projet'!$B$15,Paramètres!$A$1:$I$89,3,0)*VLOOKUP('Données projet'!$B$15,Paramètres!$A$1:$I$89,5,0)</f>
        <v>3.2810021366458383E-13</v>
      </c>
      <c r="EL192" s="13">
        <f t="shared" si="179"/>
        <v>4.2923528923937213E-12</v>
      </c>
      <c r="EM192" s="20">
        <f t="shared" si="180"/>
        <v>8.0472891597182151E-12</v>
      </c>
      <c r="EN192" s="59">
        <f t="shared" si="128"/>
        <v>293.33333333334139</v>
      </c>
      <c r="EO192" s="59">
        <f ca="1">AVERAGE(OFFSET($EN$3,0,0,'Données projet'!$E$15+1,1))-AVERAGE(OFFSET($H$3,0,0,'Données projet'!$E$15+1,1))</f>
        <v>292.1792787220852</v>
      </c>
      <c r="EP192" s="59">
        <f t="shared" si="154"/>
        <v>273.69206144662144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0.2890687104128748</v>
      </c>
      <c r="EW192" s="21">
        <f>EXP(-LN(2)/25)*EW191+(1-EXP(-LN(2)/25))/(LN(2)/25)*Calculateur!ER192*Calculateur!ET192*VLOOKUP('Données projet'!$B$15,Paramètres!$A$1:$I$89,3,0)*0.475*44/12</f>
        <v>0.1634192511664703</v>
      </c>
      <c r="EX192" s="21">
        <f>EXP(-LN(2)/2)*EX191+(1-EXP(-LN(2)/2))/(LN(2)/2)*ER192*EU192*VLOOKUP('Données projet'!$B$15,Paramètres!$A$1:$I$89,3,0)*0.475*44/12</f>
        <v>2.4463984035518318E-23</v>
      </c>
      <c r="EY192" s="22">
        <f t="shared" si="181"/>
        <v>0.45248796157934512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215.23235148064941</v>
      </c>
      <c r="T193" s="59">
        <f t="shared" si="142"/>
        <v>184.07239726900434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0.13183856192850771</v>
      </c>
      <c r="AA193" s="21">
        <f>EXP(-LN(2)/25)*AA192+(1-EXP(-LN(2)/25))/(LN(2)/25)*Calculateur!V193*Calculateur!X193*VLOOKUP('Données projet'!$B$9,Paramètres!$A$1:$I$89,3,0)*0.475*44/12</f>
        <v>9.3020761398276849E-2</v>
      </c>
      <c r="AB193" s="21">
        <f>EXP(-LN(2)/2)*AB192+(1-EXP(-LN(2)/2))/(LN(2)/2)*V193*Y193*VLOOKUP('Données projet'!$B$9,Paramètres!$A$1:$I$89,3,0)*0.475*44/12</f>
        <v>8.1329857637007102E-24</v>
      </c>
      <c r="AC193" s="22">
        <f t="shared" si="163"/>
        <v>0.22485932332678454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-8.5265128291212022E-14</v>
      </c>
      <c r="AJ193" s="13">
        <f>AI193*VLOOKUP('Données projet'!$B$10,Paramètres!$A$1:$I$89,3,0)*VLOOKUP('Données projet'!$B$10,Paramètres!$A$1:$I$89,5,0)</f>
        <v>-7.7147888077888636E-14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225.28075317732998</v>
      </c>
      <c r="AO193" s="59">
        <f t="shared" si="144"/>
        <v>358.43407531256207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9.4361234323537546E-2</v>
      </c>
      <c r="AV193" s="21">
        <f>EXP(-LN(2)/25)*AV192+(1-EXP(-LN(2)/25))/(LN(2)/25)*Calculateur!AQ193*Calculateur!AS193*VLOOKUP('Données projet'!$B$10,Paramètres!$A$1:$I$89,3,0)*0.475*44/12</f>
        <v>9.7953854289701686E-2</v>
      </c>
      <c r="AW193" s="21">
        <f>EXP(-LN(2)/2)*AW192+(1-EXP(-LN(2)/2))/(LN(2)/2)*AQ193*AT193*VLOOKUP('Données projet'!$B$10,Paramètres!$A$1:$I$89,3,0)*0.475*44/12</f>
        <v>3.6511926897024888E-24</v>
      </c>
      <c r="AX193" s="21">
        <f t="shared" si="166"/>
        <v>0.19231508861323923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-5.6843418860808015E-13</v>
      </c>
      <c r="BE193" s="13">
        <f>BD193*VLOOKUP('Données projet'!$B$11,Paramètres!$A$1:$I$89,3,0)*VLOOKUP('Données projet'!$B$11,Paramètres!$A$1:$I$89,5,0)</f>
        <v>-3.177547114319168E-13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326.31232746914907</v>
      </c>
      <c r="BJ193" s="59">
        <f t="shared" si="146"/>
        <v>330.17137761430297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0.19212494379317754</v>
      </c>
      <c r="BQ193" s="21">
        <f>EXP(-LN(2)/25)*BQ192+(1-EXP(-LN(2)/25))/(LN(2)/25)*Calculateur!BL193*Calculateur!BN193*VLOOKUP('Données projet'!$B$11,Paramètres!$A$1:$I$89,3,0)*0.475*44/12</f>
        <v>0.35729404336781889</v>
      </c>
      <c r="BR193" s="21">
        <f>EXP(-LN(2)/2)*BR192+(1-EXP(-LN(2)/2))/(LN(2)/2)*BL193*BO193*VLOOKUP('Données projet'!$B$11,Paramètres!$A$1:$I$89,3,0)*0.475*44/12</f>
        <v>2.6901640979760321E-23</v>
      </c>
      <c r="BS193" s="22">
        <f t="shared" si="169"/>
        <v>0.54941898716099646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210.04871822652808</v>
      </c>
      <c r="CE193" s="59">
        <f t="shared" si="148"/>
        <v>250.17540614049324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0.30707496301827059</v>
      </c>
      <c r="CL193" s="21">
        <f>EXP(-LN(2)/25)*CL192+(1-EXP(-LN(2)/25))/(LN(2)/25)*Calculateur!CG193*Calculateur!CI193*VLOOKUP('Données projet'!$B$12,Paramètres!$A$1:$I$89,3,0)*0.475*44/12</f>
        <v>0.32955838779151081</v>
      </c>
      <c r="CM193" s="21">
        <f>EXP(-LN(2)/2)*CM192+(1-EXP(-LN(2)/2))/(LN(2)/2)*CG193*CJ193*VLOOKUP('Données projet'!$B$12,Paramètres!$A$1:$I$89,3,0)*0.475*44/12</f>
        <v>1.7828958888662385E-23</v>
      </c>
      <c r="CN193" s="22">
        <f t="shared" si="172"/>
        <v>0.63663335080978145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4.5224624045658861E-14</v>
      </c>
      <c r="CV193" s="13">
        <f t="shared" si="173"/>
        <v>7.4514601661523691E-13</v>
      </c>
      <c r="CW193" s="20">
        <f t="shared" si="174"/>
        <v>1.3765621991510601E-12</v>
      </c>
      <c r="CX193" s="59">
        <f t="shared" si="122"/>
        <v>293.33333333333468</v>
      </c>
      <c r="CY193" s="59">
        <f ca="1">AVERAGE(OFFSET($CX$3,0,0,'Données projet'!$E$13+1,1))-AVERAGE(OFFSET($H$3,0,0,'Données projet'!$E$13+1,1))</f>
        <v>199.58763537752952</v>
      </c>
      <c r="CZ193" s="59">
        <f t="shared" si="150"/>
        <v>242.62852778451929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0.12176623271659458</v>
      </c>
      <c r="DH193" s="21">
        <f>EXP(-LN(2)/2)*DH192+(1-EXP(-LN(2)/2))/(LN(2)/2)*DB193*DE193*VLOOKUP('Données projet'!$B$13,Paramètres!$A$1:$I$89,3,0)*0.475*44/12</f>
        <v>8.9017524637290778E-24</v>
      </c>
      <c r="DI193" s="22">
        <f t="shared" si="175"/>
        <v>0.12176623271659458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-4.5474735088646412E-13</v>
      </c>
      <c r="DP193" s="17">
        <f>DO193*VLOOKUP('Données projet'!$B$14,Paramètres!$A$1:$I$89,3,0)*VLOOKUP('Données projet'!$B$14,Paramètres!$A$1:$I$89,5,0)</f>
        <v>-2.7193891583010558E-13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216.94426559495264</v>
      </c>
      <c r="DU193" s="59">
        <f t="shared" si="152"/>
        <v>225.33715877618704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0.15215501275779425</v>
      </c>
      <c r="EC193" s="21">
        <f>EXP(-LN(2)/2)*EC192+(1-EXP(-LN(2)/2))/(LN(2)/2)*DW193*DZ193*VLOOKUP('Données projet'!$B$14,Paramètres!$A$1:$I$89,3,0)*0.475*44/12</f>
        <v>1.9628466435916812E-23</v>
      </c>
      <c r="ED193" s="22">
        <f t="shared" si="178"/>
        <v>0.15215501275779425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6.8212102632969618E-13</v>
      </c>
      <c r="EK193" s="17">
        <f>EJ193*VLOOKUP('Données projet'!$B$15,Paramètres!$A$1:$I$89,3,0)*VLOOKUP('Données projet'!$B$15,Paramètres!$A$1:$I$89,5,0)</f>
        <v>3.2810021366458383E-13</v>
      </c>
      <c r="EL193" s="13">
        <f t="shared" si="179"/>
        <v>4.2923528923937213E-12</v>
      </c>
      <c r="EM193" s="20">
        <f t="shared" si="180"/>
        <v>8.0472891597182151E-12</v>
      </c>
      <c r="EN193" s="59">
        <f t="shared" si="128"/>
        <v>293.33333333334139</v>
      </c>
      <c r="EO193" s="59">
        <f ca="1">AVERAGE(OFFSET($EN$3,0,0,'Données projet'!$E$15+1,1))-AVERAGE(OFFSET($H$3,0,0,'Données projet'!$E$15+1,1))</f>
        <v>292.1792787220852</v>
      </c>
      <c r="EP193" s="59">
        <f t="shared" si="154"/>
        <v>273.69206144662144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0.28340024931618207</v>
      </c>
      <c r="EW193" s="21">
        <f>EXP(-LN(2)/25)*EW192+(1-EXP(-LN(2)/25))/(LN(2)/25)*Calculateur!ER193*Calculateur!ET193*VLOOKUP('Données projet'!$B$15,Paramètres!$A$1:$I$89,3,0)*0.475*44/12</f>
        <v>0.15895054314947824</v>
      </c>
      <c r="EX193" s="21">
        <f>EXP(-LN(2)/2)*EX192+(1-EXP(-LN(2)/2))/(LN(2)/2)*ER193*EU193*VLOOKUP('Données projet'!$B$15,Paramètres!$A$1:$I$89,3,0)*0.475*44/12</f>
        <v>1.7298649006354443E-23</v>
      </c>
      <c r="EY193" s="22">
        <f t="shared" si="181"/>
        <v>0.44235079246566034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215.23235148064941</v>
      </c>
      <c r="T194" s="59">
        <f t="shared" si="142"/>
        <v>184.07239726900434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0.12925328814267226</v>
      </c>
      <c r="AA194" s="21">
        <f>EXP(-LN(2)/25)*AA193+(1-EXP(-LN(2)/25))/(LN(2)/25)*Calculateur!V194*Calculateur!X194*VLOOKUP('Données projet'!$B$9,Paramètres!$A$1:$I$89,3,0)*0.475*44/12</f>
        <v>9.0477103786091723E-2</v>
      </c>
      <c r="AB194" s="21">
        <f>EXP(-LN(2)/2)*AB193+(1-EXP(-LN(2)/2))/(LN(2)/2)*V194*Y194*VLOOKUP('Données projet'!$B$9,Paramètres!$A$1:$I$89,3,0)*0.475*44/12</f>
        <v>5.7508893848064243E-24</v>
      </c>
      <c r="AC194" s="22">
        <f t="shared" si="163"/>
        <v>0.21973039192876398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-8.5265128291212022E-14</v>
      </c>
      <c r="AJ194" s="13">
        <f>AI194*VLOOKUP('Données projet'!$B$10,Paramètres!$A$1:$I$89,3,0)*VLOOKUP('Données projet'!$B$10,Paramètres!$A$1:$I$89,5,0)</f>
        <v>-7.7147888077888636E-14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225.28075317732998</v>
      </c>
      <c r="AO194" s="59">
        <f t="shared" si="144"/>
        <v>358.43407531256207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9.2510868073122865E-2</v>
      </c>
      <c r="AV194" s="21">
        <f>EXP(-LN(2)/25)*AV193+(1-EXP(-LN(2)/25))/(LN(2)/25)*Calculateur!AQ194*Calculateur!AS194*VLOOKUP('Données projet'!$B$10,Paramètres!$A$1:$I$89,3,0)*0.475*44/12</f>
        <v>9.5275300992980469E-2</v>
      </c>
      <c r="AW194" s="21">
        <f>EXP(-LN(2)/2)*AW193+(1-EXP(-LN(2)/2))/(LN(2)/2)*AQ194*AT194*VLOOKUP('Données projet'!$B$10,Paramètres!$A$1:$I$89,3,0)*0.475*44/12</f>
        <v>2.5817831103073796E-24</v>
      </c>
      <c r="AX194" s="21">
        <f t="shared" si="166"/>
        <v>0.18778616906610335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-5.6843418860808015E-13</v>
      </c>
      <c r="BE194" s="13">
        <f>BD194*VLOOKUP('Données projet'!$B$11,Paramètres!$A$1:$I$89,3,0)*VLOOKUP('Données projet'!$B$11,Paramètres!$A$1:$I$89,5,0)</f>
        <v>-3.177547114319168E-13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326.31232746914907</v>
      </c>
      <c r="BJ194" s="59">
        <f t="shared" si="146"/>
        <v>330.17137761430297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0.18835749083003803</v>
      </c>
      <c r="BQ194" s="21">
        <f>EXP(-LN(2)/25)*BQ193+(1-EXP(-LN(2)/25))/(LN(2)/25)*Calculateur!BL194*Calculateur!BN194*VLOOKUP('Données projet'!$B$11,Paramètres!$A$1:$I$89,3,0)*0.475*44/12</f>
        <v>0.34752381896264872</v>
      </c>
      <c r="BR194" s="21">
        <f>EXP(-LN(2)/2)*BR193+(1-EXP(-LN(2)/2))/(LN(2)/2)*BL194*BO194*VLOOKUP('Données projet'!$B$11,Paramètres!$A$1:$I$89,3,0)*0.475*44/12</f>
        <v>1.9022332761834441E-23</v>
      </c>
      <c r="BS194" s="22">
        <f t="shared" si="169"/>
        <v>0.53588130979268678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210.04871822652808</v>
      </c>
      <c r="CE194" s="59">
        <f t="shared" si="148"/>
        <v>250.17540614049324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0.3010534102907157</v>
      </c>
      <c r="CL194" s="21">
        <f>EXP(-LN(2)/25)*CL193+(1-EXP(-LN(2)/25))/(LN(2)/25)*Calculateur!CG194*Calculateur!CI194*VLOOKUP('Données projet'!$B$12,Paramètres!$A$1:$I$89,3,0)*0.475*44/12</f>
        <v>0.32054659634662958</v>
      </c>
      <c r="CM194" s="21">
        <f>EXP(-LN(2)/2)*CM193+(1-EXP(-LN(2)/2))/(LN(2)/2)*CG194*CJ194*VLOOKUP('Données projet'!$B$12,Paramètres!$A$1:$I$89,3,0)*0.475*44/12</f>
        <v>1.2606977731669345E-23</v>
      </c>
      <c r="CN194" s="22">
        <f t="shared" si="172"/>
        <v>0.62160000663734527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4.5224624045658861E-14</v>
      </c>
      <c r="CV194" s="13">
        <f t="shared" si="173"/>
        <v>7.4514601661523691E-13</v>
      </c>
      <c r="CW194" s="20">
        <f t="shared" si="174"/>
        <v>1.3765621991510601E-12</v>
      </c>
      <c r="CX194" s="59">
        <f t="shared" si="122"/>
        <v>293.33333333333468</v>
      </c>
      <c r="CY194" s="59">
        <f ca="1">AVERAGE(OFFSET($CX$3,0,0,'Données projet'!$E$13+1,1))-AVERAGE(OFFSET($H$3,0,0,'Données projet'!$E$13+1,1))</f>
        <v>199.58763537752952</v>
      </c>
      <c r="CZ194" s="59">
        <f t="shared" si="150"/>
        <v>242.62852778451929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0.11843652867955141</v>
      </c>
      <c r="DH194" s="21">
        <f>EXP(-LN(2)/2)*DH193+(1-EXP(-LN(2)/2))/(LN(2)/2)*DB194*DE194*VLOOKUP('Données projet'!$B$13,Paramètres!$A$1:$I$89,3,0)*0.475*44/12</f>
        <v>6.2944895315468874E-24</v>
      </c>
      <c r="DI194" s="22">
        <f t="shared" si="175"/>
        <v>0.11843652867955141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-4.5474735088646412E-13</v>
      </c>
      <c r="DP194" s="17">
        <f>DO194*VLOOKUP('Données projet'!$B$14,Paramètres!$A$1:$I$89,3,0)*VLOOKUP('Données projet'!$B$14,Paramètres!$A$1:$I$89,5,0)</f>
        <v>-2.7193891583010558E-13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216.94426559495264</v>
      </c>
      <c r="DU194" s="59">
        <f t="shared" si="152"/>
        <v>225.33715877618704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0.14799432593244799</v>
      </c>
      <c r="EC194" s="21">
        <f>EXP(-LN(2)/2)*EC193+(1-EXP(-LN(2)/2))/(LN(2)/2)*DW194*DZ194*VLOOKUP('Données projet'!$B$14,Paramètres!$A$1:$I$89,3,0)*0.475*44/12</f>
        <v>1.3879421721129321E-23</v>
      </c>
      <c r="ED194" s="22">
        <f t="shared" si="178"/>
        <v>0.14799432593244799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6.8212102632969618E-13</v>
      </c>
      <c r="EK194" s="17">
        <f>EJ194*VLOOKUP('Données projet'!$B$15,Paramètres!$A$1:$I$89,3,0)*VLOOKUP('Données projet'!$B$15,Paramètres!$A$1:$I$89,5,0)</f>
        <v>3.2810021366458383E-13</v>
      </c>
      <c r="EL194" s="13">
        <f t="shared" si="179"/>
        <v>4.2923528923937213E-12</v>
      </c>
      <c r="EM194" s="20">
        <f t="shared" si="180"/>
        <v>8.0472891597182151E-12</v>
      </c>
      <c r="EN194" s="59">
        <f t="shared" si="128"/>
        <v>293.33333333334139</v>
      </c>
      <c r="EO194" s="59">
        <f ca="1">AVERAGE(OFFSET($EN$3,0,0,'Données projet'!$E$15+1,1))-AVERAGE(OFFSET($H$3,0,0,'Données projet'!$E$15+1,1))</f>
        <v>292.1792787220852</v>
      </c>
      <c r="EP194" s="59">
        <f t="shared" si="154"/>
        <v>273.69206144662144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0.27784294328417558</v>
      </c>
      <c r="EW194" s="21">
        <f>EXP(-LN(2)/25)*EW193+(1-EXP(-LN(2)/25))/(LN(2)/25)*Calculateur!ER194*Calculateur!ET194*VLOOKUP('Données projet'!$B$15,Paramètres!$A$1:$I$89,3,0)*0.475*44/12</f>
        <v>0.15460403218820998</v>
      </c>
      <c r="EX194" s="21">
        <f>EXP(-LN(2)/2)*EX193+(1-EXP(-LN(2)/2))/(LN(2)/2)*ER194*EU194*VLOOKUP('Données projet'!$B$15,Paramètres!$A$1:$I$89,3,0)*0.475*44/12</f>
        <v>1.2231992017759159E-23</v>
      </c>
      <c r="EY194" s="22">
        <f t="shared" si="181"/>
        <v>0.43244697547238553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215.23235148064941</v>
      </c>
      <c r="T195" s="59">
        <f t="shared" si="142"/>
        <v>184.07239726900434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0.12671870999891574</v>
      </c>
      <c r="AA195" s="21">
        <f>EXP(-LN(2)/25)*AA194+(1-EXP(-LN(2)/25))/(LN(2)/25)*Calculateur!V195*Calculateur!X195*VLOOKUP('Données projet'!$B$9,Paramètres!$A$1:$I$89,3,0)*0.475*44/12</f>
        <v>8.8003002625076945E-2</v>
      </c>
      <c r="AB195" s="21">
        <f>EXP(-LN(2)/2)*AB194+(1-EXP(-LN(2)/2))/(LN(2)/2)*V195*Y195*VLOOKUP('Données projet'!$B$9,Paramètres!$A$1:$I$89,3,0)*0.475*44/12</f>
        <v>4.0664928818503551E-24</v>
      </c>
      <c r="AC195" s="22">
        <f t="shared" si="163"/>
        <v>0.2147217126239927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-8.5265128291212022E-14</v>
      </c>
      <c r="AJ195" s="13">
        <f>AI195*VLOOKUP('Données projet'!$B$10,Paramètres!$A$1:$I$89,3,0)*VLOOKUP('Données projet'!$B$10,Paramètres!$A$1:$I$89,5,0)</f>
        <v>-7.7147888077888636E-14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225.28075317732998</v>
      </c>
      <c r="AO195" s="59">
        <f t="shared" si="144"/>
        <v>358.43407531256207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9.0696786376266839E-2</v>
      </c>
      <c r="AV195" s="21">
        <f>EXP(-LN(2)/25)*AV194+(1-EXP(-LN(2)/25))/(LN(2)/25)*Calculateur!AQ195*Calculateur!AS195*VLOOKUP('Données projet'!$B$10,Paramètres!$A$1:$I$89,3,0)*0.475*44/12</f>
        <v>9.2669992877017091E-2</v>
      </c>
      <c r="AW195" s="21">
        <f>EXP(-LN(2)/2)*AW194+(1-EXP(-LN(2)/2))/(LN(2)/2)*AQ195*AT195*VLOOKUP('Données projet'!$B$10,Paramètres!$A$1:$I$89,3,0)*0.475*44/12</f>
        <v>1.8255963448512444E-24</v>
      </c>
      <c r="AX195" s="21">
        <f t="shared" si="166"/>
        <v>0.18336677925328393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-5.6843418860808015E-13</v>
      </c>
      <c r="BE195" s="13">
        <f>BD195*VLOOKUP('Données projet'!$B$11,Paramètres!$A$1:$I$89,3,0)*VLOOKUP('Données projet'!$B$11,Paramètres!$A$1:$I$89,5,0)</f>
        <v>-3.177547114319168E-13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326.31232746914907</v>
      </c>
      <c r="BJ195" s="59">
        <f t="shared" si="146"/>
        <v>330.17137761430297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0.18466391532158627</v>
      </c>
      <c r="BQ195" s="21">
        <f>EXP(-LN(2)/25)*BQ194+(1-EXP(-LN(2)/25))/(LN(2)/25)*Calculateur!BL195*Calculateur!BN195*VLOOKUP('Données projet'!$B$11,Paramètres!$A$1:$I$89,3,0)*0.475*44/12</f>
        <v>0.33802076185763175</v>
      </c>
      <c r="BR195" s="21">
        <f>EXP(-LN(2)/2)*BR194+(1-EXP(-LN(2)/2))/(LN(2)/2)*BL195*BO195*VLOOKUP('Données projet'!$B$11,Paramètres!$A$1:$I$89,3,0)*0.475*44/12</f>
        <v>1.345082048988016E-23</v>
      </c>
      <c r="BS195" s="22">
        <f t="shared" si="169"/>
        <v>0.52268467717921796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210.04871822652808</v>
      </c>
      <c r="CE195" s="59">
        <f t="shared" si="148"/>
        <v>250.17540614049324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0.29514993653936361</v>
      </c>
      <c r="CL195" s="21">
        <f>EXP(-LN(2)/25)*CL194+(1-EXP(-LN(2)/25))/(LN(2)/25)*Calculateur!CG195*Calculateur!CI195*VLOOKUP('Données projet'!$B$12,Paramètres!$A$1:$I$89,3,0)*0.475*44/12</f>
        <v>0.31178123281271813</v>
      </c>
      <c r="CM195" s="21">
        <f>EXP(-LN(2)/2)*CM194+(1-EXP(-LN(2)/2))/(LN(2)/2)*CG195*CJ195*VLOOKUP('Données projet'!$B$12,Paramètres!$A$1:$I$89,3,0)*0.475*44/12</f>
        <v>8.9144794443311926E-24</v>
      </c>
      <c r="CN195" s="22">
        <f t="shared" si="172"/>
        <v>0.6069311693520818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4.5224624045658861E-14</v>
      </c>
      <c r="CV195" s="13">
        <f t="shared" si="173"/>
        <v>7.4514601661523691E-13</v>
      </c>
      <c r="CW195" s="20">
        <f t="shared" si="174"/>
        <v>1.3765621991510601E-12</v>
      </c>
      <c r="CX195" s="59">
        <f t="shared" si="122"/>
        <v>293.33333333333468</v>
      </c>
      <c r="CY195" s="59">
        <f ca="1">AVERAGE(OFFSET($CX$3,0,0,'Données projet'!$E$13+1,1))-AVERAGE(OFFSET($H$3,0,0,'Données projet'!$E$13+1,1))</f>
        <v>199.58763537752952</v>
      </c>
      <c r="CZ195" s="59">
        <f t="shared" si="150"/>
        <v>242.62852778451929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0.11519787557450273</v>
      </c>
      <c r="DH195" s="21">
        <f>EXP(-LN(2)/2)*DH194+(1-EXP(-LN(2)/2))/(LN(2)/2)*DB195*DE195*VLOOKUP('Données projet'!$B$13,Paramètres!$A$1:$I$89,3,0)*0.475*44/12</f>
        <v>4.4508762318645389E-24</v>
      </c>
      <c r="DI195" s="22">
        <f t="shared" si="175"/>
        <v>0.11519787557450273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-4.5474735088646412E-13</v>
      </c>
      <c r="DP195" s="17">
        <f>DO195*VLOOKUP('Données projet'!$B$14,Paramètres!$A$1:$I$89,3,0)*VLOOKUP('Données projet'!$B$14,Paramètres!$A$1:$I$89,5,0)</f>
        <v>-2.7193891583010558E-13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216.94426559495264</v>
      </c>
      <c r="DU195" s="59">
        <f t="shared" si="152"/>
        <v>225.33715877618704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0.14394741330714184</v>
      </c>
      <c r="EC195" s="21">
        <f>EXP(-LN(2)/2)*EC194+(1-EXP(-LN(2)/2))/(LN(2)/2)*DW195*DZ195*VLOOKUP('Données projet'!$B$14,Paramètres!$A$1:$I$89,3,0)*0.475*44/12</f>
        <v>9.8142332179584062E-24</v>
      </c>
      <c r="ED195" s="22">
        <f t="shared" si="178"/>
        <v>0.14394741330714184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6.8212102632969618E-13</v>
      </c>
      <c r="EK195" s="17">
        <f>EJ195*VLOOKUP('Données projet'!$B$15,Paramètres!$A$1:$I$89,3,0)*VLOOKUP('Données projet'!$B$15,Paramètres!$A$1:$I$89,5,0)</f>
        <v>3.2810021366458383E-13</v>
      </c>
      <c r="EL195" s="13">
        <f t="shared" si="179"/>
        <v>4.2923528923937213E-12</v>
      </c>
      <c r="EM195" s="20">
        <f t="shared" si="180"/>
        <v>8.0472891597182151E-12</v>
      </c>
      <c r="EN195" s="59">
        <f t="shared" si="128"/>
        <v>293.33333333334139</v>
      </c>
      <c r="EO195" s="59">
        <f ca="1">AVERAGE(OFFSET($EN$3,0,0,'Données projet'!$E$15+1,1))-AVERAGE(OFFSET($H$3,0,0,'Données projet'!$E$15+1,1))</f>
        <v>292.1792787220852</v>
      </c>
      <c r="EP195" s="59">
        <f t="shared" si="154"/>
        <v>273.69206144662144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0.2723946126338348</v>
      </c>
      <c r="EW195" s="21">
        <f>EXP(-LN(2)/25)*EW194+(1-EXP(-LN(2)/25))/(LN(2)/25)*Calculateur!ER195*Calculateur!ET195*VLOOKUP('Données projet'!$B$15,Paramètres!$A$1:$I$89,3,0)*0.475*44/12</f>
        <v>0.15037637679775068</v>
      </c>
      <c r="EX195" s="21">
        <f>EXP(-LN(2)/2)*EX194+(1-EXP(-LN(2)/2))/(LN(2)/2)*ER195*EU195*VLOOKUP('Données projet'!$B$15,Paramètres!$A$1:$I$89,3,0)*0.475*44/12</f>
        <v>8.6493245031772213E-24</v>
      </c>
      <c r="EY195" s="22">
        <f t="shared" si="181"/>
        <v>0.42277098943158548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215.23235148064941</v>
      </c>
      <c r="T196" s="59">
        <f t="shared" si="142"/>
        <v>184.07239726900434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0.12423383338661827</v>
      </c>
      <c r="AA196" s="21">
        <f>EXP(-LN(2)/25)*AA195+(1-EXP(-LN(2)/25))/(LN(2)/25)*Calculateur!V196*Calculateur!X196*VLOOKUP('Données projet'!$B$9,Paramètres!$A$1:$I$89,3,0)*0.475*44/12</f>
        <v>8.5596555890417439E-2</v>
      </c>
      <c r="AB196" s="21">
        <f>EXP(-LN(2)/2)*AB195+(1-EXP(-LN(2)/2))/(LN(2)/2)*V196*Y196*VLOOKUP('Données projet'!$B$9,Paramètres!$A$1:$I$89,3,0)*0.475*44/12</f>
        <v>2.8754446924032122E-24</v>
      </c>
      <c r="AC196" s="22">
        <f t="shared" si="163"/>
        <v>0.20983038927703571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-8.5265128291212022E-14</v>
      </c>
      <c r="AJ196" s="13">
        <f>AI196*VLOOKUP('Données projet'!$B$10,Paramètres!$A$1:$I$89,3,0)*VLOOKUP('Données projet'!$B$10,Paramètres!$A$1:$I$89,5,0)</f>
        <v>-7.7147888077888636E-14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225.28075317732998</v>
      </c>
      <c r="AO196" s="59">
        <f t="shared" si="144"/>
        <v>358.43407531256207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8.8918277715005586E-2</v>
      </c>
      <c r="AV196" s="21">
        <f>EXP(-LN(2)/25)*AV195+(1-EXP(-LN(2)/25))/(LN(2)/25)*Calculateur!AQ196*Calculateur!AS196*VLOOKUP('Données projet'!$B$10,Paramètres!$A$1:$I$89,3,0)*0.475*44/12</f>
        <v>9.0135927048491937E-2</v>
      </c>
      <c r="AW196" s="21">
        <f>EXP(-LN(2)/2)*AW195+(1-EXP(-LN(2)/2))/(LN(2)/2)*AQ196*AT196*VLOOKUP('Données projet'!$B$10,Paramètres!$A$1:$I$89,3,0)*0.475*44/12</f>
        <v>1.2908915551536898E-24</v>
      </c>
      <c r="AX196" s="21">
        <f t="shared" si="166"/>
        <v>0.17905420476349754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-5.6843418860808015E-13</v>
      </c>
      <c r="BE196" s="13">
        <f>BD196*VLOOKUP('Données projet'!$B$11,Paramètres!$A$1:$I$89,3,0)*VLOOKUP('Données projet'!$B$11,Paramètres!$A$1:$I$89,5,0)</f>
        <v>-3.177547114319168E-13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326.31232746914907</v>
      </c>
      <c r="BJ196" s="59">
        <f t="shared" si="146"/>
        <v>330.17137761430297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0.18104276857599663</v>
      </c>
      <c r="BQ196" s="21">
        <f>EXP(-LN(2)/25)*BQ195+(1-EXP(-LN(2)/25))/(LN(2)/25)*Calculateur!BL196*Calculateur!BN196*VLOOKUP('Données projet'!$B$11,Paramètres!$A$1:$I$89,3,0)*0.475*44/12</f>
        <v>0.32877756634889549</v>
      </c>
      <c r="BR196" s="21">
        <f>EXP(-LN(2)/2)*BR195+(1-EXP(-LN(2)/2))/(LN(2)/2)*BL196*BO196*VLOOKUP('Données projet'!$B$11,Paramètres!$A$1:$I$89,3,0)*0.475*44/12</f>
        <v>9.5111663809172205E-24</v>
      </c>
      <c r="BS196" s="22">
        <f t="shared" si="169"/>
        <v>0.50982033492489209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210.04871822652808</v>
      </c>
      <c r="CE196" s="59">
        <f t="shared" si="148"/>
        <v>250.17540614049324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0.28936222630751213</v>
      </c>
      <c r="CL196" s="21">
        <f>EXP(-LN(2)/25)*CL195+(1-EXP(-LN(2)/25))/(LN(2)/25)*Calculateur!CG196*Calculateur!CI196*VLOOKUP('Données projet'!$B$12,Paramètres!$A$1:$I$89,3,0)*0.475*44/12</f>
        <v>0.30325555860559189</v>
      </c>
      <c r="CM196" s="21">
        <f>EXP(-LN(2)/2)*CM195+(1-EXP(-LN(2)/2))/(LN(2)/2)*CG196*CJ196*VLOOKUP('Données projet'!$B$12,Paramètres!$A$1:$I$89,3,0)*0.475*44/12</f>
        <v>6.3034888658346724E-24</v>
      </c>
      <c r="CN196" s="22">
        <f t="shared" si="172"/>
        <v>0.59261778491310402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4.5224624045658861E-14</v>
      </c>
      <c r="CV196" s="13">
        <f t="shared" si="173"/>
        <v>7.4514601661523691E-13</v>
      </c>
      <c r="CW196" s="20">
        <f t="shared" si="174"/>
        <v>1.3765621991510601E-12</v>
      </c>
      <c r="CX196" s="59">
        <f t="shared" ref="CX196:CX203" si="196">CW196+(CO196+CP196)*44/12</f>
        <v>293.33333333333468</v>
      </c>
      <c r="CY196" s="59">
        <f ca="1">AVERAGE(OFFSET($CX$3,0,0,'Données projet'!$E$13+1,1))-AVERAGE(OFFSET($H$3,0,0,'Données projet'!$E$13+1,1))</f>
        <v>199.58763537752952</v>
      </c>
      <c r="CZ196" s="59">
        <f t="shared" si="150"/>
        <v>242.62852778451929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0.11204778360892496</v>
      </c>
      <c r="DH196" s="21">
        <f>EXP(-LN(2)/2)*DH195+(1-EXP(-LN(2)/2))/(LN(2)/2)*DB196*DE196*VLOOKUP('Données projet'!$B$13,Paramètres!$A$1:$I$89,3,0)*0.475*44/12</f>
        <v>3.1472447657734437E-24</v>
      </c>
      <c r="DI196" s="22">
        <f t="shared" si="175"/>
        <v>0.11204778360892496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-4.5474735088646412E-13</v>
      </c>
      <c r="DP196" s="17">
        <f>DO196*VLOOKUP('Données projet'!$B$14,Paramètres!$A$1:$I$89,3,0)*VLOOKUP('Données projet'!$B$14,Paramètres!$A$1:$I$89,5,0)</f>
        <v>-2.7193891583010558E-13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216.94426559495264</v>
      </c>
      <c r="DU196" s="59">
        <f t="shared" si="152"/>
        <v>225.33715877618704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0.14001116372039257</v>
      </c>
      <c r="EC196" s="21">
        <f>EXP(-LN(2)/2)*EC195+(1-EXP(-LN(2)/2))/(LN(2)/2)*DW196*DZ196*VLOOKUP('Données projet'!$B$14,Paramètres!$A$1:$I$89,3,0)*0.475*44/12</f>
        <v>6.9397108605646607E-24</v>
      </c>
      <c r="ED196" s="22">
        <f t="shared" si="178"/>
        <v>0.14001116372039257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6.8212102632969618E-13</v>
      </c>
      <c r="EK196" s="17">
        <f>EJ196*VLOOKUP('Données projet'!$B$15,Paramètres!$A$1:$I$89,3,0)*VLOOKUP('Données projet'!$B$15,Paramètres!$A$1:$I$89,5,0)</f>
        <v>3.2810021366458383E-13</v>
      </c>
      <c r="EL196" s="13">
        <f t="shared" si="179"/>
        <v>4.2923528923937213E-12</v>
      </c>
      <c r="EM196" s="20">
        <f t="shared" si="180"/>
        <v>8.0472891597182151E-12</v>
      </c>
      <c r="EN196" s="59">
        <f t="shared" ref="EN196:EN203" si="198">EM196+(EE196+EF196)*44/12</f>
        <v>293.33333333334139</v>
      </c>
      <c r="EO196" s="59">
        <f ca="1">AVERAGE(OFFSET($EN$3,0,0,'Données projet'!$E$15+1,1))-AVERAGE(OFFSET($H$3,0,0,'Données projet'!$E$15+1,1))</f>
        <v>292.1792787220852</v>
      </c>
      <c r="EP196" s="59">
        <f t="shared" si="154"/>
        <v>273.69206144662144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0.26705312042439361</v>
      </c>
      <c r="EW196" s="21">
        <f>EXP(-LN(2)/25)*EW195+(1-EXP(-LN(2)/25))/(LN(2)/25)*Calculateur!ER196*Calculateur!ET196*VLOOKUP('Données projet'!$B$15,Paramètres!$A$1:$I$89,3,0)*0.475*44/12</f>
        <v>0.14626432686626623</v>
      </c>
      <c r="EX196" s="21">
        <f>EXP(-LN(2)/2)*EX195+(1-EXP(-LN(2)/2))/(LN(2)/2)*ER196*EU196*VLOOKUP('Données projet'!$B$15,Paramètres!$A$1:$I$89,3,0)*0.475*44/12</f>
        <v>6.1159960088795794E-24</v>
      </c>
      <c r="EY196" s="22">
        <f t="shared" si="181"/>
        <v>0.41331744729065983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215.23235148064941</v>
      </c>
      <c r="T197" s="59">
        <f t="shared" ref="T197:T203" si="204">$T$3</f>
        <v>184.07239726900434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0.12179768368906288</v>
      </c>
      <c r="AA197" s="21">
        <f>EXP(-LN(2)/25)*AA196+(1-EXP(-LN(2)/25))/(LN(2)/25)*Calculateur!V197*Calculateur!X197*VLOOKUP('Données projet'!$B$9,Paramètres!$A$1:$I$89,3,0)*0.475*44/12</f>
        <v>8.325591356826674E-2</v>
      </c>
      <c r="AB197" s="21">
        <f>EXP(-LN(2)/2)*AB196+(1-EXP(-LN(2)/2))/(LN(2)/2)*V197*Y197*VLOOKUP('Données projet'!$B$9,Paramètres!$A$1:$I$89,3,0)*0.475*44/12</f>
        <v>2.0332464409251776E-24</v>
      </c>
      <c r="AC197" s="22">
        <f t="shared" si="163"/>
        <v>0.20505359725732963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-8.5265128291212022E-14</v>
      </c>
      <c r="AJ197" s="13">
        <f>AI197*VLOOKUP('Données projet'!$B$10,Paramètres!$A$1:$I$89,3,0)*VLOOKUP('Données projet'!$B$10,Paramètres!$A$1:$I$89,5,0)</f>
        <v>-7.7147888077888636E-14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225.28075317732998</v>
      </c>
      <c r="AO197" s="59">
        <f t="shared" ref="AO197:AO203" si="205">$AO$3</f>
        <v>358.43407531256207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8.7174644523808492E-2</v>
      </c>
      <c r="AV197" s="21">
        <f>EXP(-LN(2)/25)*AV196+(1-EXP(-LN(2)/25))/(LN(2)/25)*Calculateur!AQ197*Calculateur!AS197*VLOOKUP('Données projet'!$B$10,Paramètres!$A$1:$I$89,3,0)*0.475*44/12</f>
        <v>8.7671155383308524E-2</v>
      </c>
      <c r="AW197" s="21">
        <f>EXP(-LN(2)/2)*AW196+(1-EXP(-LN(2)/2))/(LN(2)/2)*AQ197*AT197*VLOOKUP('Données projet'!$B$10,Paramètres!$A$1:$I$89,3,0)*0.475*44/12</f>
        <v>9.1279817242562219E-25</v>
      </c>
      <c r="AX197" s="21">
        <f t="shared" si="166"/>
        <v>0.17484579990711702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-5.6843418860808015E-13</v>
      </c>
      <c r="BE197" s="13">
        <f>BD197*VLOOKUP('Données projet'!$B$11,Paramètres!$A$1:$I$89,3,0)*VLOOKUP('Données projet'!$B$11,Paramètres!$A$1:$I$89,5,0)</f>
        <v>-3.177547114319168E-13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326.31232746914907</v>
      </c>
      <c r="BJ197" s="59">
        <f t="shared" ref="BJ197:BJ203" si="206">$BJ$3</f>
        <v>330.17137761430297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0.1774926303094066</v>
      </c>
      <c r="BQ197" s="21">
        <f>EXP(-LN(2)/25)*BQ196+(1-EXP(-LN(2)/25))/(LN(2)/25)*Calculateur!BL197*Calculateur!BN197*VLOOKUP('Données projet'!$B$11,Paramètres!$A$1:$I$89,3,0)*0.475*44/12</f>
        <v>0.31978712650742414</v>
      </c>
      <c r="BR197" s="21">
        <f>EXP(-LN(2)/2)*BR196+(1-EXP(-LN(2)/2))/(LN(2)/2)*BL197*BO197*VLOOKUP('Données projet'!$B$11,Paramètres!$A$1:$I$89,3,0)*0.475*44/12</f>
        <v>6.7254102449400802E-24</v>
      </c>
      <c r="BS197" s="22">
        <f t="shared" si="169"/>
        <v>0.49727975681683073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210.04871822652808</v>
      </c>
      <c r="CE197" s="59">
        <f t="shared" ref="CE197:CE203" si="207">$CE$3</f>
        <v>250.17540614049324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0.2836880095431526</v>
      </c>
      <c r="CL197" s="21">
        <f>EXP(-LN(2)/25)*CL196+(1-EXP(-LN(2)/25))/(LN(2)/25)*Calculateur!CG197*Calculateur!CI197*VLOOKUP('Données projet'!$B$12,Paramètres!$A$1:$I$89,3,0)*0.475*44/12</f>
        <v>0.29496301940800523</v>
      </c>
      <c r="CM197" s="21">
        <f>EXP(-LN(2)/2)*CM196+(1-EXP(-LN(2)/2))/(LN(2)/2)*CG197*CJ197*VLOOKUP('Données projet'!$B$12,Paramètres!$A$1:$I$89,3,0)*0.475*44/12</f>
        <v>4.4572397221655963E-24</v>
      </c>
      <c r="CN197" s="22">
        <f t="shared" si="172"/>
        <v>0.57865102895115783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4.5224624045658861E-14</v>
      </c>
      <c r="CV197" s="13">
        <f t="shared" si="173"/>
        <v>7.4514601661523691E-13</v>
      </c>
      <c r="CW197" s="20">
        <f t="shared" si="174"/>
        <v>1.3765621991510601E-12</v>
      </c>
      <c r="CX197" s="59">
        <f t="shared" si="196"/>
        <v>293.33333333333468</v>
      </c>
      <c r="CY197" s="59">
        <f ca="1">AVERAGE(OFFSET($CX$3,0,0,'Données projet'!$E$13+1,1))-AVERAGE(OFFSET($H$3,0,0,'Données projet'!$E$13+1,1))</f>
        <v>199.58763537752952</v>
      </c>
      <c r="CZ197" s="59">
        <f t="shared" ref="CZ197:CZ203" si="208">$CZ$3</f>
        <v>242.62852778451929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0.10898383107380206</v>
      </c>
      <c r="DH197" s="21">
        <f>EXP(-LN(2)/2)*DH196+(1-EXP(-LN(2)/2))/(LN(2)/2)*DB197*DE197*VLOOKUP('Données projet'!$B$13,Paramètres!$A$1:$I$89,3,0)*0.475*44/12</f>
        <v>2.2254381159322694E-24</v>
      </c>
      <c r="DI197" s="22">
        <f t="shared" si="175"/>
        <v>0.10898383107380206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-4.5474735088646412E-13</v>
      </c>
      <c r="DP197" s="17">
        <f>DO197*VLOOKUP('Données projet'!$B$14,Paramètres!$A$1:$I$89,3,0)*VLOOKUP('Données projet'!$B$14,Paramètres!$A$1:$I$89,5,0)</f>
        <v>-2.7193891583010558E-13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216.94426559495264</v>
      </c>
      <c r="DU197" s="59">
        <f t="shared" ref="DU197:DU203" si="209">$DU$3</f>
        <v>225.33715877618704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0.13618255108559132</v>
      </c>
      <c r="EC197" s="21">
        <f>EXP(-LN(2)/2)*EC196+(1-EXP(-LN(2)/2))/(LN(2)/2)*DW197*DZ197*VLOOKUP('Données projet'!$B$14,Paramètres!$A$1:$I$89,3,0)*0.475*44/12</f>
        <v>4.9071166089792031E-24</v>
      </c>
      <c r="ED197" s="22">
        <f t="shared" si="178"/>
        <v>0.13618255108559132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6.8212102632969618E-13</v>
      </c>
      <c r="EK197" s="17">
        <f>EJ197*VLOOKUP('Données projet'!$B$15,Paramètres!$A$1:$I$89,3,0)*VLOOKUP('Données projet'!$B$15,Paramètres!$A$1:$I$89,5,0)</f>
        <v>3.2810021366458383E-13</v>
      </c>
      <c r="EL197" s="13">
        <f t="shared" si="179"/>
        <v>4.2923528923937213E-12</v>
      </c>
      <c r="EM197" s="20">
        <f t="shared" si="180"/>
        <v>8.0472891597182151E-12</v>
      </c>
      <c r="EN197" s="59">
        <f t="shared" si="198"/>
        <v>293.33333333334139</v>
      </c>
      <c r="EO197" s="59">
        <f ca="1">AVERAGE(OFFSET($EN$3,0,0,'Données projet'!$E$15+1,1))-AVERAGE(OFFSET($H$3,0,0,'Données projet'!$E$15+1,1))</f>
        <v>292.1792787220852</v>
      </c>
      <c r="EP197" s="59">
        <f t="shared" ref="EP197:EP203" si="210">$EP$3</f>
        <v>273.69206144662144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0.26181637161919102</v>
      </c>
      <c r="EW197" s="21">
        <f>EXP(-LN(2)/25)*EW196+(1-EXP(-LN(2)/25))/(LN(2)/25)*Calculateur!ER197*Calculateur!ET197*VLOOKUP('Données projet'!$B$15,Paramètres!$A$1:$I$89,3,0)*0.475*44/12</f>
        <v>0.14226472115640151</v>
      </c>
      <c r="EX197" s="21">
        <f>EXP(-LN(2)/2)*EX196+(1-EXP(-LN(2)/2))/(LN(2)/2)*ER197*EU197*VLOOKUP('Données projet'!$B$15,Paramètres!$A$1:$I$89,3,0)*0.475*44/12</f>
        <v>4.3246622515886107E-24</v>
      </c>
      <c r="EY197" s="22">
        <f t="shared" si="181"/>
        <v>0.40408109277559257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215.23235148064941</v>
      </c>
      <c r="T198" s="59">
        <f t="shared" si="204"/>
        <v>184.07239726900434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0.11940930540117195</v>
      </c>
      <c r="AA198" s="21">
        <f>EXP(-LN(2)/25)*AA197+(1-EXP(-LN(2)/25))/(LN(2)/25)*Calculateur!V198*Calculateur!X198*VLOOKUP('Données projet'!$B$9,Paramètres!$A$1:$I$89,3,0)*0.475*44/12</f>
        <v>8.0979276233504274E-2</v>
      </c>
      <c r="AB198" s="21">
        <f>EXP(-LN(2)/2)*AB197+(1-EXP(-LN(2)/2))/(LN(2)/2)*V198*Y198*VLOOKUP('Données projet'!$B$9,Paramètres!$A$1:$I$89,3,0)*0.475*44/12</f>
        <v>1.4377223462016061E-24</v>
      </c>
      <c r="AC198" s="22">
        <f t="shared" si="163"/>
        <v>0.20038858163467621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-8.5265128291212022E-14</v>
      </c>
      <c r="AJ198" s="13">
        <f>AI198*VLOOKUP('Données projet'!$B$10,Paramètres!$A$1:$I$89,3,0)*VLOOKUP('Données projet'!$B$10,Paramètres!$A$1:$I$89,5,0)</f>
        <v>-7.7147888077888636E-14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225.28075317732998</v>
      </c>
      <c r="AO198" s="59">
        <f t="shared" si="205"/>
        <v>358.43407531256207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8.5465202915979532E-2</v>
      </c>
      <c r="AV198" s="21">
        <f>EXP(-LN(2)/25)*AV197+(1-EXP(-LN(2)/25))/(LN(2)/25)*Calculateur!AQ198*Calculateur!AS198*VLOOKUP('Données projet'!$B$10,Paramètres!$A$1:$I$89,3,0)*0.475*44/12</f>
        <v>8.527378302892627E-2</v>
      </c>
      <c r="AW198" s="21">
        <f>EXP(-LN(2)/2)*AW197+(1-EXP(-LN(2)/2))/(LN(2)/2)*AQ198*AT198*VLOOKUP('Données projet'!$B$10,Paramètres!$A$1:$I$89,3,0)*0.475*44/12</f>
        <v>6.4544577757684491E-25</v>
      </c>
      <c r="AX198" s="21">
        <f t="shared" si="166"/>
        <v>0.1707389859449058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-5.6843418860808015E-13</v>
      </c>
      <c r="BE198" s="13">
        <f>BD198*VLOOKUP('Données projet'!$B$11,Paramètres!$A$1:$I$89,3,0)*VLOOKUP('Données projet'!$B$11,Paramètres!$A$1:$I$89,5,0)</f>
        <v>-3.177547114319168E-13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326.31232746914907</v>
      </c>
      <c r="BJ198" s="59">
        <f t="shared" si="206"/>
        <v>330.17137761430297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0.17401210808885384</v>
      </c>
      <c r="BQ198" s="21">
        <f>EXP(-LN(2)/25)*BQ197+(1-EXP(-LN(2)/25))/(LN(2)/25)*Calculateur!BL198*Calculateur!BN198*VLOOKUP('Données projet'!$B$11,Paramètres!$A$1:$I$89,3,0)*0.475*44/12</f>
        <v>0.31104253071620452</v>
      </c>
      <c r="BR198" s="21">
        <f>EXP(-LN(2)/2)*BR197+(1-EXP(-LN(2)/2))/(LN(2)/2)*BL198*BO198*VLOOKUP('Données projet'!$B$11,Paramètres!$A$1:$I$89,3,0)*0.475*44/12</f>
        <v>4.7555831904586103E-24</v>
      </c>
      <c r="BS198" s="22">
        <f t="shared" si="169"/>
        <v>0.48505463880505839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210.04871822652808</v>
      </c>
      <c r="CE198" s="59">
        <f t="shared" si="207"/>
        <v>250.17540614049324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0.27812506070861165</v>
      </c>
      <c r="CL198" s="21">
        <f>EXP(-LN(2)/25)*CL197+(1-EXP(-LN(2)/25))/(LN(2)/25)*Calculateur!CG198*Calculateur!CI198*VLOOKUP('Données projet'!$B$12,Paramètres!$A$1:$I$89,3,0)*0.475*44/12</f>
        <v>0.28689724013086226</v>
      </c>
      <c r="CM198" s="21">
        <f>EXP(-LN(2)/2)*CM197+(1-EXP(-LN(2)/2))/(LN(2)/2)*CG198*CJ198*VLOOKUP('Données projet'!$B$12,Paramètres!$A$1:$I$89,3,0)*0.475*44/12</f>
        <v>3.1517444329173362E-24</v>
      </c>
      <c r="CN198" s="22">
        <f t="shared" si="172"/>
        <v>0.56502230083947391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4.5224624045658861E-14</v>
      </c>
      <c r="CV198" s="13">
        <f t="shared" si="173"/>
        <v>7.4514601661523691E-13</v>
      </c>
      <c r="CW198" s="20">
        <f t="shared" si="174"/>
        <v>1.3765621991510601E-12</v>
      </c>
      <c r="CX198" s="59">
        <f t="shared" si="196"/>
        <v>293.33333333333468</v>
      </c>
      <c r="CY198" s="59">
        <f ca="1">AVERAGE(OFFSET($CX$3,0,0,'Données projet'!$E$13+1,1))-AVERAGE(OFFSET($H$3,0,0,'Données projet'!$E$13+1,1))</f>
        <v>199.58763537752952</v>
      </c>
      <c r="CZ198" s="59">
        <f t="shared" si="208"/>
        <v>242.62852778451929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0.10600366248187836</v>
      </c>
      <c r="DH198" s="21">
        <f>EXP(-LN(2)/2)*DH197+(1-EXP(-LN(2)/2))/(LN(2)/2)*DB198*DE198*VLOOKUP('Données projet'!$B$13,Paramètres!$A$1:$I$89,3,0)*0.475*44/12</f>
        <v>1.5736223828867218E-24</v>
      </c>
      <c r="DI198" s="22">
        <f t="shared" si="175"/>
        <v>0.10600366248187836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-4.5474735088646412E-13</v>
      </c>
      <c r="DP198" s="17">
        <f>DO198*VLOOKUP('Données projet'!$B$14,Paramètres!$A$1:$I$89,3,0)*VLOOKUP('Données projet'!$B$14,Paramètres!$A$1:$I$89,5,0)</f>
        <v>-2.7193891583010558E-13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216.94426559495264</v>
      </c>
      <c r="DU198" s="59">
        <f t="shared" si="209"/>
        <v>225.33715877618704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0.13245863206462671</v>
      </c>
      <c r="EC198" s="21">
        <f>EXP(-LN(2)/2)*EC197+(1-EXP(-LN(2)/2))/(LN(2)/2)*DW198*DZ198*VLOOKUP('Données projet'!$B$14,Paramètres!$A$1:$I$89,3,0)*0.475*44/12</f>
        <v>3.4698554302823304E-24</v>
      </c>
      <c r="ED198" s="22">
        <f t="shared" si="178"/>
        <v>0.13245863206462671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6.8212102632969618E-13</v>
      </c>
      <c r="EK198" s="17">
        <f>EJ198*VLOOKUP('Données projet'!$B$15,Paramètres!$A$1:$I$89,3,0)*VLOOKUP('Données projet'!$B$15,Paramètres!$A$1:$I$89,5,0)</f>
        <v>3.2810021366458383E-13</v>
      </c>
      <c r="EL198" s="13">
        <f t="shared" si="179"/>
        <v>4.2923528923937213E-12</v>
      </c>
      <c r="EM198" s="20">
        <f t="shared" si="180"/>
        <v>8.0472891597182151E-12</v>
      </c>
      <c r="EN198" s="59">
        <f t="shared" si="198"/>
        <v>293.33333333334139</v>
      </c>
      <c r="EO198" s="59">
        <f ca="1">AVERAGE(OFFSET($EN$3,0,0,'Données projet'!$E$15+1,1))-AVERAGE(OFFSET($H$3,0,0,'Données projet'!$E$15+1,1))</f>
        <v>292.1792787220852</v>
      </c>
      <c r="EP198" s="59">
        <f t="shared" si="210"/>
        <v>273.69206144662144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0.2566823122639571</v>
      </c>
      <c r="EW198" s="21">
        <f>EXP(-LN(2)/25)*EW197+(1-EXP(-LN(2)/25))/(LN(2)/25)*Calculateur!ER198*Calculateur!ET198*VLOOKUP('Données projet'!$B$15,Paramètres!$A$1:$I$89,3,0)*0.475*44/12</f>
        <v>0.13837448487500317</v>
      </c>
      <c r="EX198" s="21">
        <f>EXP(-LN(2)/2)*EX197+(1-EXP(-LN(2)/2))/(LN(2)/2)*ER198*EU198*VLOOKUP('Données projet'!$B$15,Paramètres!$A$1:$I$89,3,0)*0.475*44/12</f>
        <v>3.0579980044397897E-24</v>
      </c>
      <c r="EY198" s="22">
        <f t="shared" si="181"/>
        <v>0.39505679713896025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215.23235148064941</v>
      </c>
      <c r="T199" s="59">
        <f t="shared" si="204"/>
        <v>184.07239726900434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0.11706776175473965</v>
      </c>
      <c r="AA199" s="21">
        <f>EXP(-LN(2)/25)*AA198+(1-EXP(-LN(2)/25))/(LN(2)/25)*Calculateur!V199*Calculateur!X199*VLOOKUP('Données projet'!$B$9,Paramètres!$A$1:$I$89,3,0)*0.475*44/12</f>
        <v>7.8764893666384048E-2</v>
      </c>
      <c r="AB199" s="21">
        <f>EXP(-LN(2)/2)*AB198+(1-EXP(-LN(2)/2))/(LN(2)/2)*V199*Y199*VLOOKUP('Données projet'!$B$9,Paramètres!$A$1:$I$89,3,0)*0.475*44/12</f>
        <v>1.0166232204625888E-24</v>
      </c>
      <c r="AC199" s="22">
        <f t="shared" si="163"/>
        <v>0.19583265542112371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-8.5265128291212022E-14</v>
      </c>
      <c r="AJ199" s="13">
        <f>AI199*VLOOKUP('Données projet'!$B$10,Paramètres!$A$1:$I$89,3,0)*VLOOKUP('Données projet'!$B$10,Paramètres!$A$1:$I$89,5,0)</f>
        <v>-7.7147888077888636E-14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225.28075317732998</v>
      </c>
      <c r="AO199" s="59">
        <f t="shared" si="205"/>
        <v>358.43407531256207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8.3789282415423674E-2</v>
      </c>
      <c r="AV199" s="21">
        <f>EXP(-LN(2)/25)*AV198+(1-EXP(-LN(2)/25))/(LN(2)/25)*Calculateur!AQ199*Calculateur!AS199*VLOOKUP('Données projet'!$B$10,Paramètres!$A$1:$I$89,3,0)*0.475*44/12</f>
        <v>8.2941966947646925E-2</v>
      </c>
      <c r="AW199" s="21">
        <f>EXP(-LN(2)/2)*AW198+(1-EXP(-LN(2)/2))/(LN(2)/2)*AQ199*AT199*VLOOKUP('Données projet'!$B$10,Paramètres!$A$1:$I$89,3,0)*0.475*44/12</f>
        <v>4.563990862128111E-25</v>
      </c>
      <c r="AX199" s="21">
        <f t="shared" si="166"/>
        <v>0.1667312493630706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-5.6843418860808015E-13</v>
      </c>
      <c r="BE199" s="13">
        <f>BD199*VLOOKUP('Données projet'!$B$11,Paramètres!$A$1:$I$89,3,0)*VLOOKUP('Données projet'!$B$11,Paramètres!$A$1:$I$89,5,0)</f>
        <v>-3.177547114319168E-13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326.31232746914907</v>
      </c>
      <c r="BJ199" s="59">
        <f t="shared" si="206"/>
        <v>330.17137761430297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0.17059983678613719</v>
      </c>
      <c r="BQ199" s="21">
        <f>EXP(-LN(2)/25)*BQ198+(1-EXP(-LN(2)/25))/(LN(2)/25)*Calculateur!BL199*Calculateur!BN199*VLOOKUP('Données projet'!$B$11,Paramètres!$A$1:$I$89,3,0)*0.475*44/12</f>
        <v>0.3025370563567541</v>
      </c>
      <c r="BR199" s="21">
        <f>EXP(-LN(2)/2)*BR198+(1-EXP(-LN(2)/2))/(LN(2)/2)*BL199*BO199*VLOOKUP('Données projet'!$B$11,Paramètres!$A$1:$I$89,3,0)*0.475*44/12</f>
        <v>3.3627051224700401E-24</v>
      </c>
      <c r="BS199" s="22">
        <f t="shared" si="169"/>
        <v>0.47313689314289131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210.04871822652808</v>
      </c>
      <c r="CE199" s="59">
        <f t="shared" si="207"/>
        <v>250.17540614049324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0.27267119790765232</v>
      </c>
      <c r="CL199" s="21">
        <f>EXP(-LN(2)/25)*CL198+(1-EXP(-LN(2)/25))/(LN(2)/25)*Calculateur!CG199*Calculateur!CI199*VLOOKUP('Données projet'!$B$12,Paramètres!$A$1:$I$89,3,0)*0.475*44/12</f>
        <v>0.27905202001221369</v>
      </c>
      <c r="CM199" s="21">
        <f>EXP(-LN(2)/2)*CM198+(1-EXP(-LN(2)/2))/(LN(2)/2)*CG199*CJ199*VLOOKUP('Données projet'!$B$12,Paramètres!$A$1:$I$89,3,0)*0.475*44/12</f>
        <v>2.2286198610827981E-24</v>
      </c>
      <c r="CN199" s="22">
        <f t="shared" si="172"/>
        <v>0.551723217919866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4.5224624045658861E-14</v>
      </c>
      <c r="CV199" s="13">
        <f t="shared" si="173"/>
        <v>7.4514601661523691E-13</v>
      </c>
      <c r="CW199" s="20">
        <f t="shared" si="174"/>
        <v>1.3765621991510601E-12</v>
      </c>
      <c r="CX199" s="59">
        <f t="shared" si="196"/>
        <v>293.33333333333468</v>
      </c>
      <c r="CY199" s="59">
        <f ca="1">AVERAGE(OFFSET($CX$3,0,0,'Données projet'!$E$13+1,1))-AVERAGE(OFFSET($H$3,0,0,'Données projet'!$E$13+1,1))</f>
        <v>199.58763537752952</v>
      </c>
      <c r="CZ199" s="59">
        <f t="shared" si="208"/>
        <v>242.62852778451929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0.10310498675682106</v>
      </c>
      <c r="DH199" s="21">
        <f>EXP(-LN(2)/2)*DH198+(1-EXP(-LN(2)/2))/(LN(2)/2)*DB199*DE199*VLOOKUP('Données projet'!$B$13,Paramètres!$A$1:$I$89,3,0)*0.475*44/12</f>
        <v>1.1127190579661347E-24</v>
      </c>
      <c r="DI199" s="22">
        <f t="shared" si="175"/>
        <v>0.10310498675682106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-4.5474735088646412E-13</v>
      </c>
      <c r="DP199" s="17">
        <f>DO199*VLOOKUP('Données projet'!$B$14,Paramètres!$A$1:$I$89,3,0)*VLOOKUP('Données projet'!$B$14,Paramètres!$A$1:$I$89,5,0)</f>
        <v>-2.7193891583010558E-13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216.94426559495264</v>
      </c>
      <c r="DU199" s="59">
        <f t="shared" si="209"/>
        <v>225.33715877618704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0.12883654380512277</v>
      </c>
      <c r="EC199" s="21">
        <f>EXP(-LN(2)/2)*EC198+(1-EXP(-LN(2)/2))/(LN(2)/2)*DW199*DZ199*VLOOKUP('Données projet'!$B$14,Paramètres!$A$1:$I$89,3,0)*0.475*44/12</f>
        <v>2.4535583044896015E-24</v>
      </c>
      <c r="ED199" s="22">
        <f t="shared" si="178"/>
        <v>0.12883654380512277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6.8212102632969618E-13</v>
      </c>
      <c r="EK199" s="17">
        <f>EJ199*VLOOKUP('Données projet'!$B$15,Paramètres!$A$1:$I$89,3,0)*VLOOKUP('Données projet'!$B$15,Paramètres!$A$1:$I$89,5,0)</f>
        <v>3.2810021366458383E-13</v>
      </c>
      <c r="EL199" s="13">
        <f t="shared" si="179"/>
        <v>4.2923528923937213E-12</v>
      </c>
      <c r="EM199" s="20">
        <f t="shared" si="180"/>
        <v>8.0472891597182151E-12</v>
      </c>
      <c r="EN199" s="59">
        <f t="shared" si="198"/>
        <v>293.33333333334139</v>
      </c>
      <c r="EO199" s="59">
        <f ca="1">AVERAGE(OFFSET($EN$3,0,0,'Données projet'!$E$15+1,1))-AVERAGE(OFFSET($H$3,0,0,'Données projet'!$E$15+1,1))</f>
        <v>292.1792787220852</v>
      </c>
      <c r="EP199" s="59">
        <f t="shared" si="210"/>
        <v>273.69206144662144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0.2516489286812123</v>
      </c>
      <c r="EW199" s="21">
        <f>EXP(-LN(2)/25)*EW198+(1-EXP(-LN(2)/25))/(LN(2)/25)*Calculateur!ER199*Calculateur!ET199*VLOOKUP('Données projet'!$B$15,Paramètres!$A$1:$I$89,3,0)*0.475*44/12</f>
        <v>0.1345906273092983</v>
      </c>
      <c r="EX199" s="21">
        <f>EXP(-LN(2)/2)*EX198+(1-EXP(-LN(2)/2))/(LN(2)/2)*ER199*EU199*VLOOKUP('Données projet'!$B$15,Paramètres!$A$1:$I$89,3,0)*0.475*44/12</f>
        <v>2.1623311257943053E-24</v>
      </c>
      <c r="EY199" s="22">
        <f t="shared" si="181"/>
        <v>0.38623955599051063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215.23235148064941</v>
      </c>
      <c r="T200" s="59">
        <f t="shared" si="204"/>
        <v>184.07239726900434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0.11477213435101329</v>
      </c>
      <c r="AA200" s="21">
        <f>EXP(-LN(2)/25)*AA199+(1-EXP(-LN(2)/25))/(LN(2)/25)*Calculateur!V200*Calculateur!X200*VLOOKUP('Données projet'!$B$9,Paramètres!$A$1:$I$89,3,0)*0.475*44/12</f>
        <v>7.6611063507011037E-2</v>
      </c>
      <c r="AB200" s="21">
        <f>EXP(-LN(2)/2)*AB199+(1-EXP(-LN(2)/2))/(LN(2)/2)*V200*Y200*VLOOKUP('Données projet'!$B$9,Paramètres!$A$1:$I$89,3,0)*0.475*44/12</f>
        <v>7.1886117310080304E-25</v>
      </c>
      <c r="AC200" s="22">
        <f t="shared" si="163"/>
        <v>0.19138319785802432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-8.5265128291212022E-14</v>
      </c>
      <c r="AJ200" s="13">
        <f>AI200*VLOOKUP('Données projet'!$B$10,Paramètres!$A$1:$I$89,3,0)*VLOOKUP('Données projet'!$B$10,Paramètres!$A$1:$I$89,5,0)</f>
        <v>-7.7147888077888636E-14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225.28075317732998</v>
      </c>
      <c r="AO200" s="59">
        <f t="shared" si="205"/>
        <v>358.43407531256207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8.214622569367315E-2</v>
      </c>
      <c r="AV200" s="21">
        <f>EXP(-LN(2)/25)*AV199+(1-EXP(-LN(2)/25))/(LN(2)/25)*Calculateur!AQ200*Calculateur!AS200*VLOOKUP('Données projet'!$B$10,Paramètres!$A$1:$I$89,3,0)*0.475*44/12</f>
        <v>8.0673914499735044E-2</v>
      </c>
      <c r="AW200" s="21">
        <f>EXP(-LN(2)/2)*AW199+(1-EXP(-LN(2)/2))/(LN(2)/2)*AQ200*AT200*VLOOKUP('Données projet'!$B$10,Paramètres!$A$1:$I$89,3,0)*0.475*44/12</f>
        <v>3.2272288878842245E-25</v>
      </c>
      <c r="AX200" s="21">
        <f t="shared" si="166"/>
        <v>0.16282014019340818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-5.6843418860808015E-13</v>
      </c>
      <c r="BE200" s="13">
        <f>BD200*VLOOKUP('Données projet'!$B$11,Paramètres!$A$1:$I$89,3,0)*VLOOKUP('Données projet'!$B$11,Paramètres!$A$1:$I$89,5,0)</f>
        <v>-3.177547114319168E-13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326.31232746914907</v>
      </c>
      <c r="BJ200" s="59">
        <f t="shared" si="206"/>
        <v>330.17137761430297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0.16725447804238683</v>
      </c>
      <c r="BQ200" s="21">
        <f>EXP(-LN(2)/25)*BQ199+(1-EXP(-LN(2)/25))/(LN(2)/25)*Calculateur!BL200*Calculateur!BN200*VLOOKUP('Données projet'!$B$11,Paramètres!$A$1:$I$89,3,0)*0.475*44/12</f>
        <v>0.29426416464094635</v>
      </c>
      <c r="BR200" s="21">
        <f>EXP(-LN(2)/2)*BR199+(1-EXP(-LN(2)/2))/(LN(2)/2)*BL200*BO200*VLOOKUP('Données projet'!$B$11,Paramètres!$A$1:$I$89,3,0)*0.475*44/12</f>
        <v>2.3777915952293051E-24</v>
      </c>
      <c r="BS200" s="22">
        <f t="shared" si="169"/>
        <v>0.4615186426833332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210.04871822652808</v>
      </c>
      <c r="CE200" s="59">
        <f t="shared" si="207"/>
        <v>250.17540614049324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0.26732428202969194</v>
      </c>
      <c r="CL200" s="21">
        <f>EXP(-LN(2)/25)*CL199+(1-EXP(-LN(2)/25))/(LN(2)/25)*Calculateur!CG200*Calculateur!CI200*VLOOKUP('Données projet'!$B$12,Paramètres!$A$1:$I$89,3,0)*0.475*44/12</f>
        <v>0.27142132785027173</v>
      </c>
      <c r="CM200" s="21">
        <f>EXP(-LN(2)/2)*CM199+(1-EXP(-LN(2)/2))/(LN(2)/2)*CG200*CJ200*VLOOKUP('Données projet'!$B$12,Paramètres!$A$1:$I$89,3,0)*0.475*44/12</f>
        <v>1.5758722164586681E-24</v>
      </c>
      <c r="CN200" s="22">
        <f t="shared" si="172"/>
        <v>0.53874560987996367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4.5224624045658861E-14</v>
      </c>
      <c r="CV200" s="13">
        <f t="shared" si="173"/>
        <v>7.4514601661523691E-13</v>
      </c>
      <c r="CW200" s="20">
        <f t="shared" si="174"/>
        <v>1.3765621991510601E-12</v>
      </c>
      <c r="CX200" s="59">
        <f t="shared" si="196"/>
        <v>293.33333333333468</v>
      </c>
      <c r="CY200" s="59">
        <f ca="1">AVERAGE(OFFSET($CX$3,0,0,'Données projet'!$E$13+1,1))-AVERAGE(OFFSET($H$3,0,0,'Données projet'!$E$13+1,1))</f>
        <v>199.58763537752952</v>
      </c>
      <c r="CZ200" s="59">
        <f t="shared" si="208"/>
        <v>242.62852778451929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0.10028557547190019</v>
      </c>
      <c r="DH200" s="21">
        <f>EXP(-LN(2)/2)*DH199+(1-EXP(-LN(2)/2))/(LN(2)/2)*DB200*DE200*VLOOKUP('Données projet'!$B$13,Paramètres!$A$1:$I$89,3,0)*0.475*44/12</f>
        <v>7.8681119144336092E-25</v>
      </c>
      <c r="DI200" s="22">
        <f t="shared" si="175"/>
        <v>0.10028557547190019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-4.5474735088646412E-13</v>
      </c>
      <c r="DP200" s="17">
        <f>DO200*VLOOKUP('Données projet'!$B$14,Paramètres!$A$1:$I$89,3,0)*VLOOKUP('Données projet'!$B$14,Paramètres!$A$1:$I$89,5,0)</f>
        <v>-2.7193891583010558E-13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216.94426559495264</v>
      </c>
      <c r="DU200" s="59">
        <f t="shared" si="209"/>
        <v>225.33715877618704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0.1253135017395523</v>
      </c>
      <c r="EC200" s="21">
        <f>EXP(-LN(2)/2)*EC199+(1-EXP(-LN(2)/2))/(LN(2)/2)*DW200*DZ200*VLOOKUP('Données projet'!$B$14,Paramètres!$A$1:$I$89,3,0)*0.475*44/12</f>
        <v>1.7349277151411652E-24</v>
      </c>
      <c r="ED200" s="22">
        <f t="shared" si="178"/>
        <v>0.1253135017395523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6.8212102632969618E-13</v>
      </c>
      <c r="EK200" s="17">
        <f>EJ200*VLOOKUP('Données projet'!$B$15,Paramètres!$A$1:$I$89,3,0)*VLOOKUP('Données projet'!$B$15,Paramètres!$A$1:$I$89,5,0)</f>
        <v>3.2810021366458383E-13</v>
      </c>
      <c r="EL200" s="13">
        <f t="shared" si="179"/>
        <v>4.2923528923937213E-12</v>
      </c>
      <c r="EM200" s="20">
        <f t="shared" si="180"/>
        <v>8.0472891597182151E-12</v>
      </c>
      <c r="EN200" s="59">
        <f t="shared" si="198"/>
        <v>293.33333333334139</v>
      </c>
      <c r="EO200" s="59">
        <f ca="1">AVERAGE(OFFSET($EN$3,0,0,'Données projet'!$E$15+1,1))-AVERAGE(OFFSET($H$3,0,0,'Données projet'!$E$15+1,1))</f>
        <v>292.1792787220852</v>
      </c>
      <c r="EP200" s="59">
        <f t="shared" si="210"/>
        <v>273.69206144662144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0.24671424668046427</v>
      </c>
      <c r="EW200" s="21">
        <f>EXP(-LN(2)/25)*EW199+(1-EXP(-LN(2)/25))/(LN(2)/25)*Calculateur!ER200*Calculateur!ET200*VLOOKUP('Données projet'!$B$15,Paramètres!$A$1:$I$89,3,0)*0.475*44/12</f>
        <v>0.13091023952771205</v>
      </c>
      <c r="EX200" s="21">
        <f>EXP(-LN(2)/2)*EX199+(1-EXP(-LN(2)/2))/(LN(2)/2)*ER200*EU200*VLOOKUP('Données projet'!$B$15,Paramètres!$A$1:$I$89,3,0)*0.475*44/12</f>
        <v>1.5289990022198948E-24</v>
      </c>
      <c r="EY200" s="22">
        <f t="shared" si="181"/>
        <v>0.37762448620817635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215.23235148064941</v>
      </c>
      <c r="T201" s="59">
        <f t="shared" si="204"/>
        <v>184.07239726900434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0.11252152280047954</v>
      </c>
      <c r="AA201" s="21">
        <f>EXP(-LN(2)/25)*AA200+(1-EXP(-LN(2)/25))/(LN(2)/25)*Calculateur!V201*Calculateur!X201*VLOOKUP('Données projet'!$B$9,Paramètres!$A$1:$I$89,3,0)*0.475*44/12</f>
        <v>7.4516129946611082E-2</v>
      </c>
      <c r="AB201" s="21">
        <f>EXP(-LN(2)/2)*AB200+(1-EXP(-LN(2)/2))/(LN(2)/2)*V201*Y201*VLOOKUP('Données projet'!$B$9,Paramètres!$A$1:$I$89,3,0)*0.475*44/12</f>
        <v>5.0831161023129439E-25</v>
      </c>
      <c r="AC201" s="22">
        <f t="shared" si="163"/>
        <v>0.18703765274709061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-8.5265128291212022E-14</v>
      </c>
      <c r="AJ201" s="13">
        <f>AI201*VLOOKUP('Données projet'!$B$10,Paramètres!$A$1:$I$89,3,0)*VLOOKUP('Données projet'!$B$10,Paramètres!$A$1:$I$89,5,0)</f>
        <v>-7.7147888077888636E-14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225.28075317732998</v>
      </c>
      <c r="AO201" s="59">
        <f t="shared" si="205"/>
        <v>358.43407531256207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8.0535388312070508E-2</v>
      </c>
      <c r="AV201" s="21">
        <f>EXP(-LN(2)/25)*AV200+(1-EXP(-LN(2)/25))/(LN(2)/25)*Calculateur!AQ201*Calculateur!AS201*VLOOKUP('Données projet'!$B$10,Paramètres!$A$1:$I$89,3,0)*0.475*44/12</f>
        <v>7.8467882065283004E-2</v>
      </c>
      <c r="AW201" s="21">
        <f>EXP(-LN(2)/2)*AW200+(1-EXP(-LN(2)/2))/(LN(2)/2)*AQ201*AT201*VLOOKUP('Données projet'!$B$10,Paramètres!$A$1:$I$89,3,0)*0.475*44/12</f>
        <v>2.2819954310640555E-25</v>
      </c>
      <c r="AX201" s="21">
        <f t="shared" si="166"/>
        <v>0.15900327037735351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-5.6843418860808015E-13</v>
      </c>
      <c r="BE201" s="13">
        <f>BD201*VLOOKUP('Données projet'!$B$11,Paramètres!$A$1:$I$89,3,0)*VLOOKUP('Données projet'!$B$11,Paramètres!$A$1:$I$89,5,0)</f>
        <v>-3.177547114319168E-13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326.31232746914907</v>
      </c>
      <c r="BJ201" s="59">
        <f t="shared" si="206"/>
        <v>330.17137761430297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0.16397471974313407</v>
      </c>
      <c r="BQ201" s="21">
        <f>EXP(-LN(2)/25)*BQ200+(1-EXP(-LN(2)/25))/(LN(2)/25)*Calculateur!BL201*Calculateur!BN201*VLOOKUP('Données projet'!$B$11,Paramètres!$A$1:$I$89,3,0)*0.475*44/12</f>
        <v>0.28621749558415982</v>
      </c>
      <c r="BR201" s="21">
        <f>EXP(-LN(2)/2)*BR200+(1-EXP(-LN(2)/2))/(LN(2)/2)*BL201*BO201*VLOOKUP('Données projet'!$B$11,Paramètres!$A$1:$I$89,3,0)*0.475*44/12</f>
        <v>1.6813525612350201E-24</v>
      </c>
      <c r="BS201" s="22">
        <f t="shared" si="169"/>
        <v>0.45019221532729392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210.04871822652808</v>
      </c>
      <c r="CE201" s="59">
        <f t="shared" si="207"/>
        <v>250.17540614049324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0.26208221591080172</v>
      </c>
      <c r="CL201" s="21">
        <f>EXP(-LN(2)/25)*CL200+(1-EXP(-LN(2)/25))/(LN(2)/25)*Calculateur!CG201*Calculateur!CI201*VLOOKUP('Données projet'!$B$12,Paramètres!$A$1:$I$89,3,0)*0.475*44/12</f>
        <v>0.26399929736677874</v>
      </c>
      <c r="CM201" s="21">
        <f>EXP(-LN(2)/2)*CM200+(1-EXP(-LN(2)/2))/(LN(2)/2)*CG201*CJ201*VLOOKUP('Données projet'!$B$12,Paramètres!$A$1:$I$89,3,0)*0.475*44/12</f>
        <v>1.1143099305413991E-24</v>
      </c>
      <c r="CN201" s="22">
        <f t="shared" si="172"/>
        <v>0.52608151327758046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4.5224624045658861E-14</v>
      </c>
      <c r="CV201" s="13">
        <f t="shared" si="173"/>
        <v>7.4514601661523691E-13</v>
      </c>
      <c r="CW201" s="20">
        <f t="shared" si="174"/>
        <v>1.3765621991510601E-12</v>
      </c>
      <c r="CX201" s="59">
        <f t="shared" si="196"/>
        <v>293.33333333333468</v>
      </c>
      <c r="CY201" s="59">
        <f ca="1">AVERAGE(OFFSET($CX$3,0,0,'Données projet'!$E$13+1,1))-AVERAGE(OFFSET($H$3,0,0,'Données projet'!$E$13+1,1))</f>
        <v>199.58763537752952</v>
      </c>
      <c r="CZ201" s="59">
        <f t="shared" si="208"/>
        <v>242.62852778451929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9.7543261136831871E-2</v>
      </c>
      <c r="DH201" s="21">
        <f>EXP(-LN(2)/2)*DH200+(1-EXP(-LN(2)/2))/(LN(2)/2)*DB201*DE201*VLOOKUP('Données projet'!$B$13,Paramètres!$A$1:$I$89,3,0)*0.475*44/12</f>
        <v>5.5635952898306736E-25</v>
      </c>
      <c r="DI201" s="22">
        <f t="shared" si="175"/>
        <v>9.7543261136831871E-2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-4.5474735088646412E-13</v>
      </c>
      <c r="DP201" s="17">
        <f>DO201*VLOOKUP('Données projet'!$B$14,Paramètres!$A$1:$I$89,3,0)*VLOOKUP('Données projet'!$B$14,Paramètres!$A$1:$I$89,5,0)</f>
        <v>-2.7193891583010558E-13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216.94426559495264</v>
      </c>
      <c r="DU201" s="59">
        <f t="shared" si="209"/>
        <v>225.33715877618704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0.1218867974445336</v>
      </c>
      <c r="EC201" s="21">
        <f>EXP(-LN(2)/2)*EC200+(1-EXP(-LN(2)/2))/(LN(2)/2)*DW201*DZ201*VLOOKUP('Données projet'!$B$14,Paramètres!$A$1:$I$89,3,0)*0.475*44/12</f>
        <v>1.2267791522448008E-24</v>
      </c>
      <c r="ED201" s="22">
        <f t="shared" si="178"/>
        <v>0.1218867974445336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6.8212102632969618E-13</v>
      </c>
      <c r="EK201" s="17">
        <f>EJ201*VLOOKUP('Données projet'!$B$15,Paramètres!$A$1:$I$89,3,0)*VLOOKUP('Données projet'!$B$15,Paramètres!$A$1:$I$89,5,0)</f>
        <v>3.2810021366458383E-13</v>
      </c>
      <c r="EL201" s="13">
        <f t="shared" si="179"/>
        <v>4.2923528923937213E-12</v>
      </c>
      <c r="EM201" s="20">
        <f t="shared" si="180"/>
        <v>8.0472891597182151E-12</v>
      </c>
      <c r="EN201" s="59">
        <f t="shared" si="198"/>
        <v>293.33333333334139</v>
      </c>
      <c r="EO201" s="59">
        <f ca="1">AVERAGE(OFFSET($EN$3,0,0,'Données projet'!$E$15+1,1))-AVERAGE(OFFSET($H$3,0,0,'Données projet'!$E$15+1,1))</f>
        <v>292.1792787220852</v>
      </c>
      <c r="EP201" s="59">
        <f t="shared" si="210"/>
        <v>273.69206144662144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0.24187633078389209</v>
      </c>
      <c r="EW201" s="21">
        <f>EXP(-LN(2)/25)*EW200+(1-EXP(-LN(2)/25))/(LN(2)/25)*Calculateur!ER201*Calculateur!ET201*VLOOKUP('Données projet'!$B$15,Paramètres!$A$1:$I$89,3,0)*0.475*44/12</f>
        <v>0.12733049214355646</v>
      </c>
      <c r="EX201" s="21">
        <f>EXP(-LN(2)/2)*EX200+(1-EXP(-LN(2)/2))/(LN(2)/2)*ER201*EU201*VLOOKUP('Données projet'!$B$15,Paramètres!$A$1:$I$89,3,0)*0.475*44/12</f>
        <v>1.0811655628971527E-24</v>
      </c>
      <c r="EY201" s="22">
        <f t="shared" si="181"/>
        <v>0.36920682292744855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215.23235148064941</v>
      </c>
      <c r="T202" s="59">
        <f t="shared" si="204"/>
        <v>184.07239726900434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0.11031504436971426</v>
      </c>
      <c r="AA202" s="21">
        <f>EXP(-LN(2)/25)*AA201+(1-EXP(-LN(2)/25))/(LN(2)/25)*Calculateur!V202*Calculateur!X202*VLOOKUP('Données projet'!$B$9,Paramètres!$A$1:$I$89,3,0)*0.475*44/12</f>
        <v>7.2478482454588031E-2</v>
      </c>
      <c r="AB202" s="21">
        <f>EXP(-LN(2)/2)*AB201+(1-EXP(-LN(2)/2))/(LN(2)/2)*V202*Y202*VLOOKUP('Données projet'!$B$9,Paramètres!$A$1:$I$89,3,0)*0.475*44/12</f>
        <v>3.5943058655040152E-25</v>
      </c>
      <c r="AC202" s="22">
        <f t="shared" si="163"/>
        <v>0.18279352682430228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-8.5265128291212022E-14</v>
      </c>
      <c r="AJ202" s="13">
        <f>AI202*VLOOKUP('Données projet'!$B$10,Paramètres!$A$1:$I$89,3,0)*VLOOKUP('Données projet'!$B$10,Paramètres!$A$1:$I$89,5,0)</f>
        <v>-7.7147888077888636E-14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225.28075317732998</v>
      </c>
      <c r="AO202" s="59">
        <f t="shared" si="205"/>
        <v>358.43407531256207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7.89561384690073E-2</v>
      </c>
      <c r="AV202" s="21">
        <f>EXP(-LN(2)/25)*AV201+(1-EXP(-LN(2)/25))/(LN(2)/25)*Calculateur!AQ202*Calculateur!AS202*VLOOKUP('Données projet'!$B$10,Paramètres!$A$1:$I$89,3,0)*0.475*44/12</f>
        <v>7.6322173703761265E-2</v>
      </c>
      <c r="AW202" s="21">
        <f>EXP(-LN(2)/2)*AW201+(1-EXP(-LN(2)/2))/(LN(2)/2)*AQ202*AT202*VLOOKUP('Données projet'!$B$10,Paramètres!$A$1:$I$89,3,0)*0.475*44/12</f>
        <v>1.6136144439421123E-25</v>
      </c>
      <c r="AX202" s="21">
        <f t="shared" si="166"/>
        <v>0.15527831217276855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-5.6843418860808015E-13</v>
      </c>
      <c r="BE202" s="13">
        <f>BD202*VLOOKUP('Données projet'!$B$11,Paramètres!$A$1:$I$89,3,0)*VLOOKUP('Données projet'!$B$11,Paramètres!$A$1:$I$89,5,0)</f>
        <v>-3.177547114319168E-13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326.31232746914907</v>
      </c>
      <c r="BJ202" s="59">
        <f t="shared" si="206"/>
        <v>330.17137761430297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0.16075927550367464</v>
      </c>
      <c r="BQ202" s="21">
        <f>EXP(-LN(2)/25)*BQ201+(1-EXP(-LN(2)/25))/(LN(2)/25)*Calculateur!BL202*Calculateur!BN202*VLOOKUP('Données projet'!$B$11,Paramètres!$A$1:$I$89,3,0)*0.475*44/12</f>
        <v>0.27839086311588701</v>
      </c>
      <c r="BR202" s="21">
        <f>EXP(-LN(2)/2)*BR201+(1-EXP(-LN(2)/2))/(LN(2)/2)*BL202*BO202*VLOOKUP('Données projet'!$B$11,Paramètres!$A$1:$I$89,3,0)*0.475*44/12</f>
        <v>1.1888957976146526E-24</v>
      </c>
      <c r="BS202" s="22">
        <f t="shared" si="169"/>
        <v>0.43915013861956165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210.04871822652808</v>
      </c>
      <c r="CE202" s="59">
        <f t="shared" si="207"/>
        <v>250.17540614049324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0.25694294351115832</v>
      </c>
      <c r="CL202" s="21">
        <f>EXP(-LN(2)/25)*CL201+(1-EXP(-LN(2)/25))/(LN(2)/25)*Calculateur!CG202*Calculateur!CI202*VLOOKUP('Données projet'!$B$12,Paramètres!$A$1:$I$89,3,0)*0.475*44/12</f>
        <v>0.2567802226971645</v>
      </c>
      <c r="CM202" s="21">
        <f>EXP(-LN(2)/2)*CM201+(1-EXP(-LN(2)/2))/(LN(2)/2)*CG202*CJ202*VLOOKUP('Données projet'!$B$12,Paramètres!$A$1:$I$89,3,0)*0.475*44/12</f>
        <v>7.8793610822933405E-25</v>
      </c>
      <c r="CN202" s="22">
        <f t="shared" si="172"/>
        <v>0.51372316620832281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4.5224624045658861E-14</v>
      </c>
      <c r="CV202" s="13">
        <f t="shared" si="173"/>
        <v>7.4514601661523691E-13</v>
      </c>
      <c r="CW202" s="20">
        <f t="shared" si="174"/>
        <v>1.3765621991510601E-12</v>
      </c>
      <c r="CX202" s="59">
        <f t="shared" si="196"/>
        <v>293.33333333333468</v>
      </c>
      <c r="CY202" s="59">
        <f ca="1">AVERAGE(OFFSET($CX$3,0,0,'Données projet'!$E$13+1,1))-AVERAGE(OFFSET($H$3,0,0,'Données projet'!$E$13+1,1))</f>
        <v>199.58763537752952</v>
      </c>
      <c r="CZ202" s="59">
        <f t="shared" si="208"/>
        <v>242.62852778451929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9.4875935531468045E-2</v>
      </c>
      <c r="DH202" s="21">
        <f>EXP(-LN(2)/2)*DH201+(1-EXP(-LN(2)/2))/(LN(2)/2)*DB202*DE202*VLOOKUP('Données projet'!$B$13,Paramètres!$A$1:$I$89,3,0)*0.475*44/12</f>
        <v>3.9340559572168046E-25</v>
      </c>
      <c r="DI202" s="22">
        <f t="shared" si="175"/>
        <v>9.4875935531468045E-2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-4.5474735088646412E-13</v>
      </c>
      <c r="DP202" s="17">
        <f>DO202*VLOOKUP('Données projet'!$B$14,Paramètres!$A$1:$I$89,3,0)*VLOOKUP('Données projet'!$B$14,Paramètres!$A$1:$I$89,5,0)</f>
        <v>-2.7193891583010558E-13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216.94426559495264</v>
      </c>
      <c r="DU202" s="59">
        <f t="shared" si="209"/>
        <v>225.33715877618704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0.11855379655866473</v>
      </c>
      <c r="EC202" s="21">
        <f>EXP(-LN(2)/2)*EC201+(1-EXP(-LN(2)/2))/(LN(2)/2)*DW202*DZ202*VLOOKUP('Données projet'!$B$14,Paramètres!$A$1:$I$89,3,0)*0.475*44/12</f>
        <v>8.6746385757058259E-25</v>
      </c>
      <c r="ED202" s="22">
        <f t="shared" si="178"/>
        <v>0.11855379655866473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6.8212102632969618E-13</v>
      </c>
      <c r="EK202" s="17">
        <f>EJ202*VLOOKUP('Données projet'!$B$15,Paramètres!$A$1:$I$89,3,0)*VLOOKUP('Données projet'!$B$15,Paramètres!$A$1:$I$89,5,0)</f>
        <v>3.2810021366458383E-13</v>
      </c>
      <c r="EL202" s="13">
        <f t="shared" si="179"/>
        <v>4.2923528923937213E-12</v>
      </c>
      <c r="EM202" s="20">
        <f t="shared" si="180"/>
        <v>8.0472891597182151E-12</v>
      </c>
      <c r="EN202" s="59">
        <f t="shared" si="198"/>
        <v>293.33333333334139</v>
      </c>
      <c r="EO202" s="59">
        <f ca="1">AVERAGE(OFFSET($EN$3,0,0,'Données projet'!$E$15+1,1))-AVERAGE(OFFSET($H$3,0,0,'Données projet'!$E$15+1,1))</f>
        <v>292.1792787220852</v>
      </c>
      <c r="EP202" s="59">
        <f t="shared" si="210"/>
        <v>273.69206144662144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0.23713328346721438</v>
      </c>
      <c r="EW202" s="21">
        <f>EXP(-LN(2)/25)*EW201+(1-EXP(-LN(2)/25))/(LN(2)/25)*Calculateur!ER202*Calculateur!ET202*VLOOKUP('Données projet'!$B$15,Paramètres!$A$1:$I$89,3,0)*0.475*44/12</f>
        <v>0.12384863313987135</v>
      </c>
      <c r="EX202" s="21">
        <f>EXP(-LN(2)/2)*EX201+(1-EXP(-LN(2)/2))/(LN(2)/2)*ER202*EU202*VLOOKUP('Données projet'!$B$15,Paramètres!$A$1:$I$89,3,0)*0.475*44/12</f>
        <v>7.6449950110994742E-25</v>
      </c>
      <c r="EY202" s="22">
        <f t="shared" si="181"/>
        <v>0.36098191660708573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215.23235148064941</v>
      </c>
      <c r="T203" s="59">
        <f t="shared" si="204"/>
        <v>184.07239726900434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0.10815183363515733</v>
      </c>
      <c r="AA203" s="21">
        <f>EXP(-LN(2)/25)*AA202+(1-EXP(-LN(2)/25))/(LN(2)/25)*Calculateur!V203*Calculateur!X203*VLOOKUP('Données projet'!$B$9,Paramètres!$A$1:$I$89,3,0)*0.475*44/12</f>
        <v>7.0496554540389583E-2</v>
      </c>
      <c r="AB203" s="21">
        <f>EXP(-LN(2)/2)*AB202+(1-EXP(-LN(2)/2))/(LN(2)/2)*V203*Y203*VLOOKUP('Données projet'!$B$9,Paramètres!$A$1:$I$89,3,0)*0.475*44/12</f>
        <v>2.5415580511564719E-25</v>
      </c>
      <c r="AC203" s="22">
        <f t="shared" si="163"/>
        <v>0.1786483881755469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-8.5265128291212022E-14</v>
      </c>
      <c r="AJ203" s="13">
        <f>AI203*VLOOKUP('Données projet'!$B$10,Paramètres!$A$1:$I$89,3,0)*VLOOKUP('Données projet'!$B$10,Paramètres!$A$1:$I$89,5,0)</f>
        <v>-7.7147888077888636E-14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225.28075317732998</v>
      </c>
      <c r="AO203" s="59">
        <f t="shared" si="205"/>
        <v>358.43407531256207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7.7407856752119281E-2</v>
      </c>
      <c r="AV203" s="21">
        <f>EXP(-LN(2)/25)*AV202+(1-EXP(-LN(2)/25))/(LN(2)/25)*Calculateur!AQ203*Calculateur!AS203*VLOOKUP('Données projet'!$B$10,Paramètres!$A$1:$I$89,3,0)*0.475*44/12</f>
        <v>7.4235139850223231E-2</v>
      </c>
      <c r="AW203" s="21">
        <f>EXP(-LN(2)/2)*AW202+(1-EXP(-LN(2)/2))/(LN(2)/2)*AQ203*AT203*VLOOKUP('Données projet'!$B$10,Paramètres!$A$1:$I$89,3,0)*0.475*44/12</f>
        <v>1.1409977155320277E-25</v>
      </c>
      <c r="AX203" s="21">
        <f t="shared" si="166"/>
        <v>0.15164299660234251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-5.6843418860808015E-13</v>
      </c>
      <c r="BE203" s="13">
        <f>BD203*VLOOKUP('Données projet'!$B$11,Paramètres!$A$1:$I$89,3,0)*VLOOKUP('Données projet'!$B$11,Paramètres!$A$1:$I$89,5,0)</f>
        <v>-3.177547114319168E-13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326.31232746914907</v>
      </c>
      <c r="BJ203" s="59">
        <f t="shared" si="206"/>
        <v>330.17137761430297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0.15760688416452365</v>
      </c>
      <c r="BQ203" s="21">
        <f>EXP(-LN(2)/25)*BQ202+(1-EXP(-LN(2)/25))/(LN(2)/25)*Calculateur!BL203*Calculateur!BN203*VLOOKUP('Données projet'!$B$11,Paramètres!$A$1:$I$89,3,0)*0.475*44/12</f>
        <v>0.27077825032404385</v>
      </c>
      <c r="BR203" s="21">
        <f>EXP(-LN(2)/2)*BR202+(1-EXP(-LN(2)/2))/(LN(2)/2)*BL203*BO203*VLOOKUP('Données projet'!$B$11,Paramètres!$A$1:$I$89,3,0)*0.475*44/12</f>
        <v>8.4067628061751003E-25</v>
      </c>
      <c r="BS203" s="22">
        <f t="shared" si="169"/>
        <v>0.42838513448856752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210.04871822652808</v>
      </c>
      <c r="CE203" s="59">
        <f t="shared" si="207"/>
        <v>250.17540614049324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0.25190444910862525</v>
      </c>
      <c r="CL203" s="21">
        <f>EXP(-LN(2)/25)*CL202+(1-EXP(-LN(2)/25))/(LN(2)/25)*Calculateur!CG203*Calculateur!CI203*VLOOKUP('Données projet'!$B$12,Paramètres!$A$1:$I$89,3,0)*0.475*44/12</f>
        <v>0.2497585540040255</v>
      </c>
      <c r="CM203" s="21">
        <f>EXP(-LN(2)/2)*CM202+(1-EXP(-LN(2)/2))/(LN(2)/2)*CG203*CJ203*VLOOKUP('Données projet'!$B$12,Paramètres!$A$1:$I$89,3,0)*0.475*44/12</f>
        <v>5.5715496527069954E-25</v>
      </c>
      <c r="CN203" s="22">
        <f t="shared" si="172"/>
        <v>0.50166300311265077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4.5224624045658861E-14</v>
      </c>
      <c r="CV203" s="13">
        <f t="shared" si="173"/>
        <v>7.4514601661523691E-13</v>
      </c>
      <c r="CW203" s="20">
        <f t="shared" si="174"/>
        <v>1.3765621991510601E-12</v>
      </c>
      <c r="CX203" s="59">
        <f t="shared" si="196"/>
        <v>293.33333333333468</v>
      </c>
      <c r="CY203" s="59">
        <f ca="1">AVERAGE(OFFSET($CX$3,0,0,'Données projet'!$E$13+1,1))-AVERAGE(OFFSET($H$3,0,0,'Données projet'!$E$13+1,1))</f>
        <v>199.58763537752952</v>
      </c>
      <c r="CZ203" s="59">
        <f t="shared" si="208"/>
        <v>242.62852778451929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9.2281548085051443E-2</v>
      </c>
      <c r="DH203" s="21">
        <f>EXP(-LN(2)/2)*DH202+(1-EXP(-LN(2)/2))/(LN(2)/2)*DB203*DE203*VLOOKUP('Données projet'!$B$13,Paramètres!$A$1:$I$89,3,0)*0.475*44/12</f>
        <v>2.7817976449153368E-25</v>
      </c>
      <c r="DI203" s="22">
        <f t="shared" si="175"/>
        <v>9.2281548085051443E-2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-4.5474735088646412E-13</v>
      </c>
      <c r="DP203" s="17">
        <f>DO203*VLOOKUP('Données projet'!$B$14,Paramètres!$A$1:$I$89,3,0)*VLOOKUP('Données projet'!$B$14,Paramètres!$A$1:$I$89,5,0)</f>
        <v>-2.7193891583010558E-13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216.94426559495264</v>
      </c>
      <c r="DU203" s="59">
        <f t="shared" si="209"/>
        <v>225.33715877618704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0.11531193675729484</v>
      </c>
      <c r="EC203" s="21">
        <f>EXP(-LN(2)/2)*EC202+(1-EXP(-LN(2)/2))/(LN(2)/2)*DW203*DZ203*VLOOKUP('Données projet'!$B$14,Paramètres!$A$1:$I$89,3,0)*0.475*44/12</f>
        <v>6.1338957612240039E-25</v>
      </c>
      <c r="ED203" s="22">
        <f t="shared" si="178"/>
        <v>0.11531193675729484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6.8212102632969618E-13</v>
      </c>
      <c r="EK203" s="17">
        <f>EJ203*VLOOKUP('Données projet'!$B$15,Paramètres!$A$1:$I$89,3,0)*VLOOKUP('Données projet'!$B$15,Paramètres!$A$1:$I$89,5,0)</f>
        <v>3.2810021366458383E-13</v>
      </c>
      <c r="EL203" s="13">
        <f t="shared" si="179"/>
        <v>4.2923528923937213E-12</v>
      </c>
      <c r="EM203" s="20">
        <f t="shared" si="180"/>
        <v>8.0472891597182151E-12</v>
      </c>
      <c r="EN203" s="59">
        <f t="shared" si="198"/>
        <v>293.33333333334139</v>
      </c>
      <c r="EO203" s="59">
        <f ca="1">AVERAGE(OFFSET($EN$3,0,0,'Données projet'!$E$15+1,1))-AVERAGE(OFFSET($H$3,0,0,'Données projet'!$E$15+1,1))</f>
        <v>292.1792787220852</v>
      </c>
      <c r="EP203" s="59">
        <f t="shared" si="210"/>
        <v>273.69206144662144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0.23248324441544349</v>
      </c>
      <c r="EW203" s="21">
        <f>EXP(-LN(2)/25)*EW202+(1-EXP(-LN(2)/25))/(LN(2)/25)*Calculateur!ER203*Calculateur!ET203*VLOOKUP('Données projet'!$B$15,Paramètres!$A$1:$I$89,3,0)*0.475*44/12</f>
        <v>0.120461985753745</v>
      </c>
      <c r="EX203" s="21">
        <f>EXP(-LN(2)/2)*EX202+(1-EXP(-LN(2)/2))/(LN(2)/2)*ER203*EU203*VLOOKUP('Données projet'!$B$15,Paramètres!$A$1:$I$89,3,0)*0.475*44/12</f>
        <v>5.4058278144857633E-25</v>
      </c>
      <c r="EY203" s="22">
        <f t="shared" si="181"/>
        <v>0.3529452301691885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2.1117857649667542</v>
      </c>
      <c r="BA205" s="82">
        <f>EXP(LN('Données projet'!B88)/'Données projet'!A88)</f>
        <v>1.2820888539868154</v>
      </c>
      <c r="BV205" s="82">
        <f>EXP(LN('Données projet'!B114)/'Données projet'!A114)</f>
        <v>1.4309690811052556</v>
      </c>
      <c r="CQ205" s="82">
        <f>EXP(LN('Données projet'!B140)/'Données projet'!A140)</f>
        <v>1.2557008269631629</v>
      </c>
      <c r="DL205" s="82">
        <f>EXP(LN('Données projet'!B166)/'Données projet'!A166)</f>
        <v>1.2530028811664373</v>
      </c>
      <c r="EG205" s="82">
        <f>EXP(LN('Données projet'!B192)/'Données projet'!A192)</f>
        <v>1.2563584400948855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F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Cèdre de l'Atlas</v>
      </c>
      <c r="B6" s="146">
        <f>'Données projet'!D9</f>
        <v>2.0300000000000002</v>
      </c>
      <c r="C6" s="147">
        <f ca="1">IF(OR('Données projet'!B9="",'Données projet'!C9="",'Données projet'!C9=0%),0,Calculateur!S3)</f>
        <v>215.23235148064941</v>
      </c>
      <c r="D6" s="147">
        <f>IF(OR('Données projet'!B9="",'Données projet'!C9="",'Données projet'!C9=0%),0,Calculateur!T3)</f>
        <v>184.07239726900434</v>
      </c>
      <c r="E6" s="147">
        <f ca="1">MIN(C6,D6)</f>
        <v>184.07239726900434</v>
      </c>
      <c r="F6" s="147">
        <f ca="1">E6*B6</f>
        <v>373.66696645607885</v>
      </c>
      <c r="G6" s="147">
        <f ca="1">F6*(100%-'Données projet'!$C$24)*(100%-'Données projet'!$C$25)*(100%-'Données projet'!$C$26)*(100%-'Données projet'!$C$27)</f>
        <v>336.30026981047098</v>
      </c>
      <c r="H6" s="148">
        <f>IF(OR('Données projet'!B9="",'Données projet'!C9="",'Données projet'!C9=0%),0,AVERAGE(Calculateur!$AC$3:$AC$33)*B6)</f>
        <v>3.3134340160169589</v>
      </c>
      <c r="I6" s="149">
        <f>H6*(100%-'Données projet'!$C$24)*(100%-'Données projet'!$C$25)*(100%-'Données projet'!$C$26)*(100%-'Données projet'!$C$27)</f>
        <v>2.982090614415263</v>
      </c>
      <c r="J6" s="150">
        <f>IF(OR('Données projet'!B9="",'Données projet'!C9="",'Données projet'!C9=0%),0,SUM(Calculateur!$V$3:$V$33)*VLOOKUP('Données projet'!$B$9,Paramètres!$A$1:$I$89,9,0)*B6)</f>
        <v>50.977360000000004</v>
      </c>
      <c r="K6" s="151">
        <f>J6*(100%-'Données projet'!$C$24)*(100%-'Données projet'!$C$25)*(100%-'Données projet'!$C$26)*(100%-'Données projet'!$C$27)</f>
        <v>45.879624000000007</v>
      </c>
      <c r="L6" s="152">
        <f ca="1">G6+I6+K6</f>
        <v>385.16198442488621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Robinier faux-acacia</v>
      </c>
      <c r="B7" s="154">
        <f>'Données projet'!D10</f>
        <v>1.4500000000000002</v>
      </c>
      <c r="C7" s="147">
        <f ca="1">IF(OR('Données projet'!B10="",'Données projet'!C10="",'Données projet'!C10=0%),0,Calculateur!AN3)</f>
        <v>225.28075317732998</v>
      </c>
      <c r="D7" s="147">
        <f>IF(OR('Données projet'!B10="",'Données projet'!C10="",'Données projet'!C10=0%),0,Calculateur!AO3)</f>
        <v>358.43407531256207</v>
      </c>
      <c r="E7" s="147">
        <f t="shared" ref="E7:E15" ca="1" si="0">MIN(C7,D7)</f>
        <v>225.28075317732998</v>
      </c>
      <c r="F7" s="147">
        <f t="shared" ref="F7:F15" ca="1" si="1">E7*B7</f>
        <v>326.65709210712851</v>
      </c>
      <c r="G7" s="147">
        <f ca="1">F7*(100%-'Données projet'!$C$24)*(100%-'Données projet'!$C$25)*(100%-'Données projet'!$C$26)*(100%-'Données projet'!$C$27)</f>
        <v>293.99138289641564</v>
      </c>
      <c r="H7" s="155">
        <f>IF(OR('Données projet'!B10="",'Données projet'!C10="",'Données projet'!C10=0%),0,AVERAGE(Calculateur!$AX$3:$AX$33)*B7)</f>
        <v>11.513523039839427</v>
      </c>
      <c r="I7" s="149">
        <f>H7*(100%-'Données projet'!$C$24)*(100%-'Données projet'!$C$25)*(100%-'Données projet'!$C$26)*(100%-'Données projet'!$C$27)</f>
        <v>10.362170735855484</v>
      </c>
      <c r="J7" s="150">
        <f>IF(OR('Données projet'!B10="",'Données projet'!C10="",'Données projet'!C10=0%),0,SUM(Calculateur!$AQ$3:$AQ$33)*VLOOKUP('Données projet'!$B$10,Paramètres!$A$1:$I$89,9,0)*B7)</f>
        <v>46.037500000000009</v>
      </c>
      <c r="K7" s="151">
        <f>J7*(100%-'Données projet'!$C$24)*(100%-'Données projet'!$C$25)*(100%-'Données projet'!$C$26)*(100%-'Données projet'!$C$27)</f>
        <v>41.433750000000011</v>
      </c>
      <c r="L7" s="152">
        <f t="shared" ref="L7:L15" ca="1" si="2">G7+I7+K7</f>
        <v>345.78730363227118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Douglas</v>
      </c>
      <c r="B8" s="154">
        <f>'Données projet'!D11</f>
        <v>5.9449999999999994</v>
      </c>
      <c r="C8" s="147">
        <f ca="1">IF(OR('Données projet'!B11="",'Données projet'!C11="",'Données projet'!C11=0%),0,Calculateur!BI3)</f>
        <v>326.31232746914907</v>
      </c>
      <c r="D8" s="147">
        <f>IF(OR('Données projet'!B11="",'Données projet'!C11="",'Données projet'!C11=0%),0,Calculateur!BJ3)</f>
        <v>330.17137761430297</v>
      </c>
      <c r="E8" s="147">
        <f t="shared" ca="1" si="0"/>
        <v>326.31232746914907</v>
      </c>
      <c r="F8" s="147">
        <f t="shared" ca="1" si="1"/>
        <v>1939.9267868040911</v>
      </c>
      <c r="G8" s="147">
        <f ca="1">F8*(100%-'Données projet'!$C$24)*(100%-'Données projet'!$C$25)*(100%-'Données projet'!$C$26)*(100%-'Données projet'!$C$27)</f>
        <v>1745.9341081236821</v>
      </c>
      <c r="H8" s="155">
        <f>IF(OR('Données projet'!B11="",'Données projet'!C11="",'Données projet'!C11=0%),0,AVERAGE(Calculateur!$BS$3:$BS$33)*B8)</f>
        <v>47.276292990916318</v>
      </c>
      <c r="I8" s="149">
        <f>H8*(100%-'Données projet'!$C$24)*(100%-'Données projet'!$C$25)*(100%-'Données projet'!$C$26)*(100%-'Données projet'!$C$27)</f>
        <v>42.548663691824686</v>
      </c>
      <c r="J8" s="150">
        <f>IF(OR('Données projet'!B11="",'Données projet'!C11="",'Données projet'!C11=0%),0,SUM(Calculateur!$BL$3:$BL$33)*VLOOKUP('Données projet'!$B$11,Paramètres!$A$1:$I$89,9,0)*B8)</f>
        <v>447.36124999999993</v>
      </c>
      <c r="K8" s="151">
        <f>J8*(100%-'Données projet'!$C$24)*(100%-'Données projet'!$C$25)*(100%-'Données projet'!$C$26)*(100%-'Données projet'!$C$27)</f>
        <v>402.62512499999997</v>
      </c>
      <c r="L8" s="152">
        <f t="shared" ca="1" si="2"/>
        <v>2191.1078968155066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Mélèze hybride</v>
      </c>
      <c r="B9" s="154">
        <f>'Données projet'!D12</f>
        <v>0.435</v>
      </c>
      <c r="C9" s="147">
        <f ca="1">IF(OR('Données projet'!B12="",'Données projet'!C12="",'Données projet'!C12=0%),0,Calculateur!CD3)</f>
        <v>210.04871822652808</v>
      </c>
      <c r="D9" s="147">
        <f>IF(OR('Données projet'!B12="",'Données projet'!C12="",'Données projet'!C12=0%),0,Calculateur!CE3)</f>
        <v>250.17540614049324</v>
      </c>
      <c r="E9" s="147">
        <f t="shared" ca="1" si="0"/>
        <v>210.04871822652808</v>
      </c>
      <c r="F9" s="147">
        <f t="shared" ca="1" si="1"/>
        <v>91.371192428539715</v>
      </c>
      <c r="G9" s="147">
        <f ca="1">F9*(100%-'Données projet'!$C$24)*(100%-'Données projet'!$C$25)*(100%-'Données projet'!$C$26)*(100%-'Données projet'!$C$27)</f>
        <v>82.234073185685745</v>
      </c>
      <c r="H9" s="155">
        <f>IF(OR('Données projet'!B12="",'Données projet'!C12="",'Données projet'!C12=0%),0,AVERAGE(Calculateur!$CN$3:$CN$33)*B9)</f>
        <v>4.1358190748069532</v>
      </c>
      <c r="I9" s="149">
        <f>H9*(100%-'Données projet'!$C$24)*(100%-'Données projet'!$C$25)*(100%-'Données projet'!$C$26)*(100%-'Données projet'!$C$27)</f>
        <v>3.722237167326258</v>
      </c>
      <c r="J9" s="150">
        <f>IF(OR('Données projet'!B12="",'Données projet'!C12="",'Données projet'!C12=0%),0,SUM(Calculateur!$CG$3:$CG$33)*VLOOKUP('Données projet'!$B$12,Paramètres!$A$1:$I$89,9,0)*B9)</f>
        <v>30.863250000000001</v>
      </c>
      <c r="K9" s="151">
        <f>J9*(100%-'Données projet'!$C$24)*(100%-'Données projet'!$C$25)*(100%-'Données projet'!$C$26)*(100%-'Données projet'!$C$27)</f>
        <v>27.776925000000002</v>
      </c>
      <c r="L9" s="152">
        <f t="shared" ca="1" si="2"/>
        <v>113.73323535301201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Erable sycomore</v>
      </c>
      <c r="B10" s="154">
        <f>'Données projet'!D13</f>
        <v>1.0150000000000001</v>
      </c>
      <c r="C10" s="147">
        <f ca="1">IF(OR('Données projet'!B13="",'Données projet'!C13="",'Données projet'!C13=0%),0,Calculateur!CY3)</f>
        <v>199.58763537752952</v>
      </c>
      <c r="D10" s="147">
        <f>IF(OR('Données projet'!B13="",'Données projet'!C13="",'Données projet'!C13=0%),0,Calculateur!CZ3)</f>
        <v>242.62852778451929</v>
      </c>
      <c r="E10" s="147">
        <f t="shared" ca="1" si="0"/>
        <v>199.58763537752952</v>
      </c>
      <c r="F10" s="147">
        <f t="shared" ca="1" si="1"/>
        <v>202.5814499081925</v>
      </c>
      <c r="G10" s="147">
        <f ca="1">F10*(100%-'Données projet'!$C$24)*(100%-'Données projet'!$C$25)*(100%-'Données projet'!$C$26)*(100%-'Données projet'!$C$27)</f>
        <v>182.32330491737326</v>
      </c>
      <c r="H10" s="155">
        <f>IF(OR('Données projet'!B13="",'Données projet'!C13="",'Données projet'!C13=0%),0,AVERAGE(Calculateur!$DI$3:$DI$33)*B10)</f>
        <v>3.0100756337108829</v>
      </c>
      <c r="I10" s="149">
        <f>H10*(100%-'Données projet'!$C$24)*(100%-'Données projet'!$C$25)*(100%-'Données projet'!$C$26)*(100%-'Données projet'!$C$27)</f>
        <v>2.7090680703397947</v>
      </c>
      <c r="J10" s="150">
        <f>IF(OR('Données projet'!B13="",'Données projet'!C13="",'Données projet'!C13=0%),0,SUM(Calculateur!$DB$3:$DB$33)*VLOOKUP('Données projet'!$B$13,Paramètres!$A$1:$I$89,9,0)*B10)</f>
        <v>25.121250000000003</v>
      </c>
      <c r="K10" s="151">
        <f>J10*(100%-'Données projet'!$C$24)*(100%-'Données projet'!$C$25)*(100%-'Données projet'!$C$26)*(100%-'Données projet'!$C$27)</f>
        <v>22.609125000000002</v>
      </c>
      <c r="L10" s="152">
        <f t="shared" ca="1" si="2"/>
        <v>207.64149798771305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Pin laricio</v>
      </c>
      <c r="B11" s="154">
        <f>'Données projet'!D14</f>
        <v>2.4650000000000003</v>
      </c>
      <c r="C11" s="147">
        <f ca="1">IF(OR('Données projet'!B14="",'Données projet'!C14="",'Données projet'!C14=0%),0,Calculateur!DT3)</f>
        <v>216.94426559495264</v>
      </c>
      <c r="D11" s="147">
        <f>IF(OR('Données projet'!B14="",'Données projet'!C14="",'Données projet'!C14=0%),0,Calculateur!DU3)</f>
        <v>225.33715877618704</v>
      </c>
      <c r="E11" s="147">
        <f t="shared" ca="1" si="0"/>
        <v>216.94426559495264</v>
      </c>
      <c r="F11" s="147">
        <f t="shared" ca="1" si="1"/>
        <v>534.76761469155838</v>
      </c>
      <c r="G11" s="147">
        <f ca="1">F11*(100%-'Données projet'!$C$24)*(100%-'Données projet'!$C$25)*(100%-'Données projet'!$C$26)*(100%-'Données projet'!$C$27)</f>
        <v>481.29085322240257</v>
      </c>
      <c r="H11" s="155">
        <f>IF(OR('Données projet'!B14="",'Données projet'!C14="",'Données projet'!C14=0%),0,AVERAGE(Calculateur!$ED$3:$ED$33)*B11)</f>
        <v>3.5512462563866092</v>
      </c>
      <c r="I11" s="149">
        <f>H11*(100%-'Données projet'!$C$24)*(100%-'Données projet'!$C$25)*(100%-'Données projet'!$C$26)*(100%-'Données projet'!$C$27)</f>
        <v>3.1961216307479483</v>
      </c>
      <c r="J11" s="150">
        <f>IF(OR('Données projet'!B14="",'Données projet'!C14="",'Données projet'!C14=0%),0,SUM(Calculateur!$DW$3:$DW$33)*VLOOKUP('Données projet'!$B$14,Paramètres!$A$1:$I$89,9,0)*B11)</f>
        <v>77.376350000000016</v>
      </c>
      <c r="K11" s="151">
        <f>J11*(100%-'Données projet'!$C$24)*(100%-'Données projet'!$C$25)*(100%-'Données projet'!$C$26)*(100%-'Données projet'!$C$27)</f>
        <v>69.638715000000019</v>
      </c>
      <c r="L11" s="152">
        <f t="shared" ca="1" si="2"/>
        <v>554.12568985315056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Sapin de Nordmann</v>
      </c>
      <c r="B12" s="154">
        <f>'Données projet'!D15</f>
        <v>1.1599999999999999</v>
      </c>
      <c r="C12" s="147">
        <f ca="1">IF(OR('Données projet'!B15="",'Données projet'!C15="",'Données projet'!C15=0%),0,Calculateur!EO3)</f>
        <v>292.1792787220852</v>
      </c>
      <c r="D12" s="147">
        <f>IF(OR('Données projet'!B15="",'Données projet'!C15="",'Données projet'!C15=0%),0,Calculateur!EP3)</f>
        <v>273.69206144662144</v>
      </c>
      <c r="E12" s="147">
        <f t="shared" ca="1" si="0"/>
        <v>273.69206144662144</v>
      </c>
      <c r="F12" s="147">
        <f t="shared" ca="1" si="1"/>
        <v>317.48279127808087</v>
      </c>
      <c r="G12" s="147">
        <f ca="1">F12*(100%-'Données projet'!$C$24)*(100%-'Données projet'!$C$25)*(100%-'Données projet'!$C$26)*(100%-'Données projet'!$C$27)</f>
        <v>285.73451215027279</v>
      </c>
      <c r="H12" s="155">
        <f>IF(OR('Données projet'!B15="",'Données projet'!C15="",'Données projet'!C15=0%),0,AVERAGE(Calculateur!$EY$3:$EY$33)*B12)</f>
        <v>1.5369632468401528</v>
      </c>
      <c r="I12" s="149">
        <f>H12*(100%-'Données projet'!$C$24)*(100%-'Données projet'!$C$25)*(100%-'Données projet'!$C$26)*(100%-'Données projet'!$C$27)</f>
        <v>1.3832669221561376</v>
      </c>
      <c r="J12" s="150">
        <f>IF(OR('Données projet'!B15="",'Données projet'!C15="",'Données projet'!C15=0%),0,SUM(Calculateur!$ER$3:$ER$33)*VLOOKUP('Données projet'!$B$15,Paramètres!$A$1:$I$89,9,0)*B12)</f>
        <v>47.884799999999998</v>
      </c>
      <c r="K12" s="151">
        <f>J12*(100%-'Données projet'!$C$24)*(100%-'Données projet'!$C$25)*(100%-'Données projet'!$C$26)*(100%-'Données projet'!$C$27)</f>
        <v>43.096319999999999</v>
      </c>
      <c r="L12" s="152">
        <f t="shared" ca="1" si="2"/>
        <v>330.21409907242889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3786.4538936736699</v>
      </c>
      <c r="G16" s="166">
        <f t="shared" ca="1" si="3"/>
        <v>3407.8085043063033</v>
      </c>
      <c r="H16" s="167">
        <f t="shared" si="3"/>
        <v>74.337354258517308</v>
      </c>
      <c r="I16" s="167">
        <f t="shared" si="3"/>
        <v>66.903618832665572</v>
      </c>
      <c r="J16" s="168">
        <f t="shared" si="3"/>
        <v>725.62175999999999</v>
      </c>
      <c r="K16" s="168">
        <f t="shared" si="3"/>
        <v>653.05958399999997</v>
      </c>
      <c r="L16" s="169">
        <f t="shared" ca="1" si="3"/>
        <v>4127.7717071389688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Robinier faux-acacia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Sapin de Nordmann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S35" sqref="S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-1411.812939681854</v>
      </c>
      <c r="U10" s="178">
        <f>'Données projet'!D9</f>
        <v>2.0300000000000002</v>
      </c>
      <c r="V10" s="177">
        <f>U10*T10</f>
        <v>-2865.9802675541641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Robinier faux-acacia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2148.7310306320333</v>
      </c>
      <c r="U11" s="178">
        <f>'Données projet'!D10</f>
        <v>1.4500000000000002</v>
      </c>
      <c r="V11" s="177">
        <f t="shared" ref="V11" si="0">U11*T11</f>
        <v>3115.6599944164486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2710.3227392045383</v>
      </c>
      <c r="U12" s="178">
        <f>'Données projet'!D11</f>
        <v>5.9449999999999994</v>
      </c>
      <c r="V12" s="177">
        <f t="shared" ref="V12:V19" si="1">U12*T12</f>
        <v>16112.868684570978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-40.815671023664322</v>
      </c>
      <c r="U13" s="178">
        <f>'Données projet'!D12</f>
        <v>0.435</v>
      </c>
      <c r="V13" s="177">
        <f t="shared" si="1"/>
        <v>-17.754816895293981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-1282.0226188908855</v>
      </c>
      <c r="U14" s="178">
        <f>'Données projet'!D13</f>
        <v>1.0150000000000001</v>
      </c>
      <c r="V14" s="177">
        <f t="shared" si="1"/>
        <v>-1301.252958174249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laricio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200.71894811126344</v>
      </c>
      <c r="U15" s="178">
        <f>'Données projet'!D14</f>
        <v>2.4650000000000003</v>
      </c>
      <c r="V15" s="177">
        <f t="shared" si="1"/>
        <v>494.77220709426445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>Sapin de Nordmann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-893.43431093719937</v>
      </c>
      <c r="U16" s="178">
        <f>'Données projet'!D15</f>
        <v>1.1599999999999999</v>
      </c>
      <c r="V16" s="177">
        <f t="shared" si="1"/>
        <v>-1036.3838006871513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3110.63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1057.37+874.93+58.66</f>
        <v>1990.9599999999998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510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12.5</v>
      </c>
      <c r="C23" s="193">
        <v>8</v>
      </c>
      <c r="D23" s="182">
        <f>B23*C23</f>
        <v>100</v>
      </c>
      <c r="E23" s="193"/>
      <c r="F23" s="230"/>
      <c r="H23" s="190">
        <v>3</v>
      </c>
      <c r="I23" s="191">
        <v>535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-34180.703991341536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45.9</v>
      </c>
      <c r="C24" s="193">
        <v>8</v>
      </c>
      <c r="D24" s="182">
        <f t="shared" ref="D24:D42" si="2">B24*C24</f>
        <v>367.2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1028.6698433646209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83.4</v>
      </c>
      <c r="C25" s="193">
        <v>15</v>
      </c>
      <c r="D25" s="182">
        <f t="shared" si="2"/>
        <v>1251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-35209.373834706159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83.4</v>
      </c>
      <c r="C26" s="193">
        <v>25</v>
      </c>
      <c r="D26" s="182">
        <f t="shared" si="2"/>
        <v>2085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83.4</v>
      </c>
      <c r="C27" s="193">
        <v>30</v>
      </c>
      <c r="D27" s="182">
        <f t="shared" si="2"/>
        <v>2502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83.4</v>
      </c>
      <c r="C28" s="193">
        <v>35</v>
      </c>
      <c r="D28" s="182">
        <f t="shared" si="2"/>
        <v>2919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83.4</v>
      </c>
      <c r="C29" s="193">
        <v>40</v>
      </c>
      <c r="D29" s="182">
        <f t="shared" si="2"/>
        <v>3336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83.4</v>
      </c>
      <c r="C30" s="193">
        <v>50</v>
      </c>
      <c r="D30" s="182">
        <f t="shared" si="2"/>
        <v>4170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726.2</v>
      </c>
      <c r="C31" s="193">
        <v>70</v>
      </c>
      <c r="D31" s="182">
        <f t="shared" si="2"/>
        <v>50834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Robinier faux-acacia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2368.5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5</v>
      </c>
      <c r="B54" s="181">
        <f>'Données projet'!D62</f>
        <v>13</v>
      </c>
      <c r="C54" s="191">
        <v>0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10</v>
      </c>
      <c r="B55" s="181">
        <f>'Données projet'!D63</f>
        <v>41</v>
      </c>
      <c r="C55" s="191">
        <v>6</v>
      </c>
      <c r="D55" s="179">
        <f t="shared" ref="D55:D73" si="4">B55*C55</f>
        <v>246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15</v>
      </c>
      <c r="B56" s="181">
        <f>'Données projet'!D64</f>
        <v>28</v>
      </c>
      <c r="C56" s="191">
        <v>10</v>
      </c>
      <c r="D56" s="179">
        <f t="shared" si="4"/>
        <v>280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20</v>
      </c>
      <c r="B57" s="181">
        <f>'Données projet'!D65</f>
        <v>20</v>
      </c>
      <c r="C57" s="191">
        <v>25</v>
      </c>
      <c r="D57" s="179">
        <f t="shared" si="4"/>
        <v>500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25</v>
      </c>
      <c r="B58" s="181">
        <f>'Données projet'!D66</f>
        <v>14</v>
      </c>
      <c r="C58" s="191">
        <v>30</v>
      </c>
      <c r="D58" s="179">
        <f t="shared" si="4"/>
        <v>420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30</v>
      </c>
      <c r="B59" s="181">
        <f>'Données projet'!D67</f>
        <v>11</v>
      </c>
      <c r="C59" s="191">
        <v>40</v>
      </c>
      <c r="D59" s="179">
        <f t="shared" si="4"/>
        <v>440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35</v>
      </c>
      <c r="B60" s="181">
        <f>'Données projet'!D68</f>
        <v>228</v>
      </c>
      <c r="C60" s="191">
        <v>80</v>
      </c>
      <c r="D60" s="179">
        <f t="shared" si="4"/>
        <v>18240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2163.5700000000002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63</v>
      </c>
      <c r="C86" s="191">
        <v>12</v>
      </c>
      <c r="D86" s="179">
        <f t="shared" ref="D86:D104" si="6">B86*C86</f>
        <v>756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112</v>
      </c>
      <c r="C87" s="191">
        <v>35</v>
      </c>
      <c r="D87" s="179">
        <f t="shared" si="6"/>
        <v>3920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112</v>
      </c>
      <c r="C88" s="191">
        <v>45</v>
      </c>
      <c r="D88" s="179">
        <f t="shared" si="6"/>
        <v>5040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108</v>
      </c>
      <c r="C89" s="191">
        <v>50</v>
      </c>
      <c r="D89" s="179">
        <f t="shared" si="6"/>
        <v>5400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83</v>
      </c>
      <c r="C90" s="191">
        <v>55</v>
      </c>
      <c r="D90" s="179">
        <f t="shared" si="6"/>
        <v>4565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67</v>
      </c>
      <c r="C91" s="191">
        <v>60</v>
      </c>
      <c r="D91" s="179">
        <f t="shared" si="6"/>
        <v>4020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651</v>
      </c>
      <c r="C92" s="191">
        <v>80</v>
      </c>
      <c r="D92" s="179">
        <f t="shared" si="6"/>
        <v>52080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2636.93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81</v>
      </c>
      <c r="C117" s="191">
        <v>10</v>
      </c>
      <c r="D117" s="179">
        <f t="shared" ref="D117:D135" si="8">B117*C117</f>
        <v>810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84</v>
      </c>
      <c r="C118" s="191">
        <v>25</v>
      </c>
      <c r="D118" s="179">
        <f t="shared" si="8"/>
        <v>2100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80</v>
      </c>
      <c r="C119" s="191">
        <v>30</v>
      </c>
      <c r="D119" s="179">
        <f t="shared" si="8"/>
        <v>2400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65</v>
      </c>
      <c r="C120" s="191">
        <v>35</v>
      </c>
      <c r="D120" s="179">
        <f t="shared" si="8"/>
        <v>2275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56</v>
      </c>
      <c r="C121" s="191">
        <v>40</v>
      </c>
      <c r="D121" s="179">
        <f t="shared" si="8"/>
        <v>2240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52</v>
      </c>
      <c r="C122" s="191">
        <v>45</v>
      </c>
      <c r="D122" s="179">
        <f t="shared" si="8"/>
        <v>2340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433</v>
      </c>
      <c r="C123" s="191">
        <v>60</v>
      </c>
      <c r="D123" s="179">
        <f t="shared" si="8"/>
        <v>25980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2700.09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43</v>
      </c>
      <c r="C147" s="191">
        <v>10</v>
      </c>
      <c r="D147" s="182">
        <f>B147*C147</f>
        <v>430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56</v>
      </c>
      <c r="C148" s="191">
        <v>15</v>
      </c>
      <c r="D148" s="182">
        <f t="shared" ref="D148:D166" si="10">B148*C148</f>
        <v>840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56</v>
      </c>
      <c r="C149" s="191">
        <v>20</v>
      </c>
      <c r="D149" s="182">
        <f t="shared" si="10"/>
        <v>1120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39</v>
      </c>
      <c r="C150" s="191">
        <v>30</v>
      </c>
      <c r="D150" s="182">
        <f t="shared" si="10"/>
        <v>1170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25</v>
      </c>
      <c r="C151" s="191">
        <v>35</v>
      </c>
      <c r="D151" s="182">
        <f t="shared" si="10"/>
        <v>875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21</v>
      </c>
      <c r="C152" s="191">
        <v>45</v>
      </c>
      <c r="D152" s="182">
        <f t="shared" si="10"/>
        <v>945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284</v>
      </c>
      <c r="C153" s="191">
        <v>70</v>
      </c>
      <c r="D153" s="182">
        <f t="shared" si="10"/>
        <v>19880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Pin laricio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1725.82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3</v>
      </c>
      <c r="C178" s="193">
        <v>10</v>
      </c>
      <c r="D178" s="179">
        <f>B178*C178</f>
        <v>30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70</v>
      </c>
      <c r="C179" s="193">
        <v>15</v>
      </c>
      <c r="D179" s="179">
        <f t="shared" ref="D179:D197" si="11">B179*C179</f>
        <v>1050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70</v>
      </c>
      <c r="C180" s="193">
        <v>25</v>
      </c>
      <c r="D180" s="179">
        <f t="shared" si="11"/>
        <v>1750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70</v>
      </c>
      <c r="C181" s="193">
        <v>35</v>
      </c>
      <c r="D181" s="179">
        <f t="shared" si="11"/>
        <v>2450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57</v>
      </c>
      <c r="C182" s="193">
        <v>40</v>
      </c>
      <c r="D182" s="179">
        <f t="shared" si="11"/>
        <v>2280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44</v>
      </c>
      <c r="C183" s="193">
        <v>50</v>
      </c>
      <c r="D183" s="179">
        <f t="shared" si="11"/>
        <v>2200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450</v>
      </c>
      <c r="C184" s="193">
        <v>60</v>
      </c>
      <c r="D184" s="179">
        <f t="shared" si="11"/>
        <v>27000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Sapin de Nordmann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3631.7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0</v>
      </c>
      <c r="C209" s="193">
        <v>5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96</v>
      </c>
      <c r="C210" s="193">
        <v>5</v>
      </c>
      <c r="D210" s="179">
        <f t="shared" ref="D210:D228" si="12">B210*C210</f>
        <v>480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132</v>
      </c>
      <c r="C211" s="193">
        <v>8</v>
      </c>
      <c r="D211" s="179">
        <f t="shared" si="12"/>
        <v>1056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132</v>
      </c>
      <c r="C212" s="193">
        <v>15</v>
      </c>
      <c r="D212" s="179">
        <f t="shared" si="12"/>
        <v>1980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106</v>
      </c>
      <c r="C213" s="193">
        <v>30</v>
      </c>
      <c r="D213" s="179">
        <f t="shared" si="12"/>
        <v>3180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88</v>
      </c>
      <c r="C214" s="193">
        <v>50</v>
      </c>
      <c r="D214" s="179">
        <f t="shared" si="12"/>
        <v>4400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753</v>
      </c>
      <c r="C215" s="193">
        <v>80</v>
      </c>
      <c r="D215" s="179">
        <f t="shared" si="12"/>
        <v>60240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30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30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2024-05-14T12:34:19Z</dcterms:modified>
</cp:coreProperties>
</file>