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JOSSE (Saint Gilles de Crétot) - 17836110 LE/"/>
    </mc:Choice>
  </mc:AlternateContent>
  <xr:revisionPtr revIDLastSave="112" documentId="13_ncr:1_{91C62E09-7A97-40C6-8A6D-8C8B5668C142}" xr6:coauthVersionLast="47" xr6:coauthVersionMax="47" xr10:uidLastSave="{37C8FAA5-9FBE-42B9-B5D5-A750775C469E}"/>
  <bookViews>
    <workbookView xWindow="-28905" yWindow="7635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63" i="2" a="1"/>
  <c r="AH163" i="2" s="1"/>
  <c r="AH199" i="2" a="1"/>
  <c r="AH199" i="2" s="1"/>
  <c r="AH166" i="2" a="1"/>
  <c r="AH166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<sst xmlns="http://schemas.openxmlformats.org/spreadsheetml/2006/main" count="1175" uniqueCount="327">
  <si>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</si>
  <si>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</si>
  <si>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</si>
  <si>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</si>
  <si>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</si>
  <si>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</si>
  <si>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</si>
  <si>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</si>
  <si>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</si>
  <si>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</si>
  <si>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</si>
  <si>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</si>
  <si>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</si>
  <si>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</si>
  <si>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</si>
  <si>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</si>
  <si>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</si>
  <si>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</si>
  <si>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</si>
  <si>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</si>
  <si>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</si>
  <si>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</si>
  <si>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</si>
  <si>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</si>
  <si>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</si>
  <si>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</si>
  <si>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</si>
  <si>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</si>
  <si>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</si>
  <si>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</si>
  <si>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</si>
  <si>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</si>
  <si>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</si>
  <si>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</si>
  <si>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</si>
  <si>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</si>
  <si>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</si>
  <si>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</si>
  <si>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</si>
  <si>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</si>
  <si>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</si>
  <si>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</si>
  <si>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</si>
  <si>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</si>
  <si>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</si>
  <si>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</si>
  <si>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</si>
  <si>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</si>
  <si>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</si>
  <si>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</si>
  <si>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</si>
  <si>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</si>
  <si>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</si>
  <si>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</si>
  <si>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</si>
  <si>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</si>
  <si>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</si>
  <si>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</si>
  <si>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</si>
  <si>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</si>
  <si>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</si>
  <si>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</si>
  <si>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</si>
  <si>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</si>
  <si>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</si>
  <si>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</si>
  <si>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</si>
  <si>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</si>
  <si>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</si>
  <si>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</si>
  <si>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</si>
  <si>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</si>
  <si>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</si>
  <si>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</si>
  <si>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</si>
  <si>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</si>
  <si>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</si>
  <si>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</si>
  <si>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</si>
  <si>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</si>
  <si>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</si>
  <si>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</si>
  <si>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</si>
  <si>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</si>
  <si>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</si>
  <si>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</si>
  <si>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</si>
  <si>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</si>
  <si>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</si>
  <si>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</si>
  <si>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</si>
  <si>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</si>
  <si>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</si>
  <si>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</si>
  <si>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</si>
  <si>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</si>
  <si>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</si>
  <si>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</si>
  <si>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</si>
  <si>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</si>
  <si>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</si>
  <si>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</si>
  <si>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</si>
  <si>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</si>
  <si>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</si>
  <si>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</si>
  <si>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</si>
  <si>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</si>
  <si>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</si>
  <si>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</si>
  <si>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</si>
  <si>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</si>
  <si>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</si>
  <si>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</si>
  <si>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</si>
  <si>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</si>
  <si>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</si>
  <si>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</si>
  <si>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</si>
  <si>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</si>
  <si>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</si>
  <si>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</si>
  <si>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</si>
  <si>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</si>
  <si>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</si>
  <si>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</si>
  <si>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</si>
  <si>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</si>
  <si>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</si>
  <si>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</si>
  <si>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</si>
  <si>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</si>
  <si>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</si>
  <si>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</si>
  <si>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</si>
  <si>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</si>
  <si>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</si>
  <si>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</si>
  <si>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</si>
  <si>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</si>
  <si>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</si>
  <si>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</si>
  <si>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</si>
  <si>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</si>
  <si>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</si>
  <si>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</si>
  <si>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</si>
  <si>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</si>
  <si>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</si>
  <si>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</si>
  <si>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</si>
  <si>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</si>
  <si>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</si>
  <si>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</si>
  <si>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</si>
  <si>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</si>
  <si>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</si>
  <si>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</si>
  <si>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</si>
  <si>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</si>
  <si>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</si>
  <si>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</si>
  <si>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</si>
  <si>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</si>
  <si>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</si>
  <si>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</si>
  <si>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</si>
  <si>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</si>
  <si>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</si>
  <si>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</si>
  <si>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</si>
  <si>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</si>
  <si>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</si>
  <si>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</si>
  <si>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</si>
  <si>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</si>
  <si>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</si>
  <si>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</si>
  <si>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</si>
  <si>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</si>
  <si>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</si>
  <si>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</si>
  <si>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</si>
  <si>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</si>
  <si>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</si>
  <si>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</si>
  <si>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</si>
  <si>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</si>
  <si>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</si>
  <si>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</si>
  <si>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</si>
  <si>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</si>
  <si>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</si>
  <si>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</si>
  <si>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</si>
  <si>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</si>
  <si>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</si>
  <si>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</si>
  <si>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</si>
  <si>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</si>
  <si>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</si>
  <si>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</si>
  <si>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</si>
  <si>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</si>
  <si>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</si>
  <si>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</si>
  <si>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</si>
  <si>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</si>
  <si>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</si>
  <si>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</si>
  <si>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</si>
  <si>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</si>
  <si>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</si>
  <si>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</si>
  <si>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</si>
  <si>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</si>
  <si>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</si>
  <si>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</si>
  <si>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</si>
  <si>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</si>
  <si>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</si>
  <si>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</si>
  <si>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</si>
  <si>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</si>
  <si>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</si>
  <si>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</si>
  <si>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</si>
  <si>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</si>
  <si>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</si>
  <si>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</si>
  <si>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</si>
  <si>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</si>
  <si>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</si>
  <si>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</si>
  <si>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</si>
  <si>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</si>
  <si>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</si>
  <si>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</si>
  <si>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</si>
  <si>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</si>
  <si>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</si>
  <si>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</si>
  <si>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</si>
  <si>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</si>
  <si>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</si>
  <si>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</si>
  <si>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</si>
  <si>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</si>
  <si>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</si>
  <si>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</si>
  <si>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</si>
  <si>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</si>
  <si>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</si>
  <si>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</si>
  <si>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</si>
  <si>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</si>
  <si>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</si>
  <si>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</si>
  <si>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</si>
  <si>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</si>
  <si>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</si>
  <si>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</si>
  <si>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</si>
  <si>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</si>
  <si>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</si>
  <si>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</si>
  <si>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</si>
  <si>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</si>
  <si>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</si>
  <si>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</si>
  <si>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</si>
  <si>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</si>
  <si>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</si>
  <si>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</si>
  <si>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</si>
  <si>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</si>
  <si>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</si>
  <si>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</si>
  <si>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</si>
  <si>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</si>
  <si>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</si>
  <si>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</si>
  <si>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</si>
  <si>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</si>
  <si>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</si>
  <si>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</si>
  <si>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</si>
  <si>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</si>
  <si>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</si>
  <si>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</si>
  <si>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</si>
  <si>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</si>
  <si>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</si>
  <si>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</si>
  <si>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</si>
  <si>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</si>
  <si>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</si>
  <si>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</si>
  <si>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</si>
  <si>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</si>
  <si>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</si>
  <si>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</si>
  <si>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</si>
  <si>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</si>
  <si>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</si>
  <si>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</si>
  <si>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</si>
  <si>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</si>
  <si>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</si>
  <si>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</si>
  <si>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</si>
  <si>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</si>
  <si>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</si>
  <si>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</si>
  <si>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</si>
  <si>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</si>
  <si>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</si>
  <si>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</si>
  <si>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</si>
  <si>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</si>
  <si>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</si>
  <si>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</si>
  <si>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</si>
  <si>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</si>
  <si>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ONF_CHS_Loire basin_F2</t>
  </si>
  <si>
    <t>ONF_CHP_NE France_F2</t>
  </si>
  <si>
    <t>ONF_CHS_F3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</si>
</sst>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10.456419929936711</c:v>
                </c:pt>
                <c:pt idx="2">
                  <c:v>20.459167029721723</c:v>
                </c:pt>
                <c:pt idx="3">
                  <c:v>30.315400578319224</c:v>
                </c:pt>
                <c:pt idx="4">
                  <c:v>40.081319764970452</c:v>
                </c:pt>
                <c:pt idx="5">
                  <c:v>49.782395904570798</c:v>
                </c:pt>
                <c:pt idx="6">
                  <c:v>59.433158898593696</c:v>
                </c:pt>
                <c:pt idx="7">
                  <c:v>69.042975612712198</c:v>
                </c:pt>
                <c:pt idx="8">
                  <c:v>78.618370438671249</c:v>
                </c:pt>
                <c:pt idx="9">
                  <c:v>88.164138887400284</c:v>
                </c:pt>
                <c:pt idx="10">
                  <c:v>97.683948283117005</c:v>
                </c:pt>
                <c:pt idx="11">
                  <c:v>107.18069004154528</c:v>
                </c:pt>
                <c:pt idx="12">
                  <c:v>116.6566997133511</c:v>
                </c:pt>
                <c:pt idx="13">
                  <c:v>126.1139013935974</c:v>
                </c:pt>
                <c:pt idx="14">
                  <c:v>135.55390634718643</c:v>
                </c:pt>
                <c:pt idx="15">
                  <c:v>144.97808261519626</c:v>
                </c:pt>
                <c:pt idx="16">
                  <c:v>154.3876055137076</c:v>
                </c:pt>
                <c:pt idx="17">
                  <c:v>163.78349514065653</c:v>
                </c:pt>
                <c:pt idx="18">
                  <c:v>173.16664480291877</c:v>
                </c:pt>
                <c:pt idx="19">
                  <c:v>182.53784294515813</c:v>
                </c:pt>
                <c:pt idx="20">
                  <c:v>191.89779033037416</c:v>
                </c:pt>
                <c:pt idx="21">
                  <c:v>201.24711368669179</c:v>
                </c:pt>
                <c:pt idx="22">
                  <c:v>210.58637668111251</c:v>
                </c:pt>
                <c:pt idx="23">
                  <c:v>219.91608884163847</c:v>
                </c:pt>
                <c:pt idx="24">
                  <c:v>229.2367128839384</c:v>
                </c:pt>
                <c:pt idx="25">
                  <c:v>238.54867078249427</c:v>
                </c:pt>
                <c:pt idx="26">
                  <c:v>247.85234884302153</c:v>
                </c:pt>
                <c:pt idx="27">
                  <c:v>257.14810197256651</c:v>
                </c:pt>
                <c:pt idx="28">
                  <c:v>266.43625729921371</c:v>
                </c:pt>
                <c:pt idx="29">
                  <c:v>275.71711726016053</c:v>
                </c:pt>
                <c:pt idx="30">
                  <c:v>284.99096225188504</c:v>
                </c:pt>
                <c:pt idx="31">
                  <c:v>294.25805291702977</c:v>
                </c:pt>
                <c:pt idx="32">
                  <c:v>303.51863212791704</c:v>
                </c:pt>
                <c:pt idx="33">
                  <c:v>312.77292671515772</c:v>
                </c:pt>
                <c:pt idx="34">
                  <c:v>322.02114898084585</c:v>
                </c:pt>
                <c:pt idx="35">
                  <c:v>331.26349802872716</c:v>
                </c:pt>
                <c:pt idx="36">
                  <c:v>340.50016093807625</c:v>
                </c:pt>
                <c:pt idx="37">
                  <c:v>349.73131380347536</c:v>
                </c:pt>
                <c:pt idx="38">
                  <c:v>358.95712265902421</c:v>
                </c:pt>
                <c:pt idx="39">
                  <c:v>216.41332970439461</c:v>
                </c:pt>
                <c:pt idx="40">
                  <c:v>239.17720708947249</c:v>
                </c:pt>
                <c:pt idx="41">
                  <c:v>261.89173640603332</c:v>
                </c:pt>
                <c:pt idx="42">
                  <c:v>284.56179835243455</c:v>
                </c:pt>
                <c:pt idx="43">
                  <c:v>307.1914321187167</c:v>
                </c:pt>
                <c:pt idx="44">
                  <c:v>329.78403311245108</c:v>
                </c:pt>
                <c:pt idx="45">
                  <c:v>352.3424935764595</c:v>
                </c:pt>
                <c:pt idx="46">
                  <c:v>279.36746368278273</c:v>
                </c:pt>
                <c:pt idx="47">
                  <c:v>302.4407068263049</c:v>
                </c:pt>
                <c:pt idx="48">
                  <c:v>325.47478505586827</c:v>
                </c:pt>
                <c:pt idx="49">
                  <c:v>348.47285814544199</c:v>
                </c:pt>
                <c:pt idx="50">
                  <c:v>371.43763484501079</c:v>
                </c:pt>
                <c:pt idx="51">
                  <c:v>394.3714617444582</c:v>
                </c:pt>
                <c:pt idx="52">
                  <c:v>417.27639037381169</c:v>
                </c:pt>
                <c:pt idx="53">
                  <c:v>338.09991414791068</c:v>
                </c:pt>
                <c:pt idx="54">
                  <c:v>360.80716410152644</c:v>
                </c:pt>
                <c:pt idx="55">
                  <c:v>383.48317271005044</c:v>
                </c:pt>
                <c:pt idx="56">
                  <c:v>406.13004575875283</c:v>
                </c:pt>
                <c:pt idx="57">
                  <c:v>428.74963514762658</c:v>
                </c:pt>
                <c:pt idx="58">
                  <c:v>451.34358155451793</c:v>
                </c:pt>
                <c:pt idx="59">
                  <c:v>473.91334810944858</c:v>
                </c:pt>
                <c:pt idx="60">
                  <c:v>400.6124929737191</c:v>
                </c:pt>
                <c:pt idx="61">
                  <c:v>422.94030373624128</c:v>
                </c:pt>
                <c:pt idx="62">
                  <c:v>445.24275110321702</c:v>
                </c:pt>
                <c:pt idx="63">
                  <c:v>467.52128319675768</c:v>
                </c:pt>
                <c:pt idx="64">
                  <c:v>489.77719896917915</c:v>
                </c:pt>
                <c:pt idx="65">
                  <c:v>512.01166978636945</c:v>
                </c:pt>
                <c:pt idx="66">
                  <c:v>534.22575706797772</c:v>
                </c:pt>
                <c:pt idx="67">
                  <c:v>556.42042684202681</c:v>
                </c:pt>
                <c:pt idx="68">
                  <c:v>481.48157884405776</c:v>
                </c:pt>
                <c:pt idx="69">
                  <c:v>503.50450353369575</c:v>
                </c:pt>
                <c:pt idx="70">
                  <c:v>525.50705871911032</c:v>
                </c:pt>
                <c:pt idx="71">
                  <c:v>547.49021645825394</c:v>
                </c:pt>
                <c:pt idx="72">
                  <c:v>569.45486445269285</c:v>
                </c:pt>
                <c:pt idx="73">
                  <c:v>591.40181640504818</c:v>
                </c:pt>
                <c:pt idx="74">
                  <c:v>613.3318207599699</c:v>
                </c:pt>
                <c:pt idx="75">
                  <c:v>635.24556813081563</c:v>
                </c:pt>
                <c:pt idx="76">
                  <c:v>557.9303011671384</c:v>
                </c:pt>
                <c:pt idx="77">
                  <c:v>579.49437061279025</c:v>
                </c:pt>
                <c:pt idx="78">
                  <c:v>601.0417083219902</c:v>
                </c:pt>
                <c:pt idx="79">
                  <c:v>622.57299794008793</c:v>
                </c:pt>
                <c:pt idx="80">
                  <c:v>644.08887201809068</c:v>
                </c:pt>
                <c:pt idx="81">
                  <c:v>665.58991744488594</c:v>
                </c:pt>
                <c:pt idx="82">
                  <c:v>687.07668014164062</c:v>
                </c:pt>
                <c:pt idx="83">
                  <c:v>708.54966913897795</c:v>
                </c:pt>
                <c:pt idx="84">
                  <c:v>616.28352096154731</c:v>
                </c:pt>
                <c:pt idx="85">
                  <c:v>637.3280408187228</c:v>
                </c:pt>
                <c:pt idx="86">
                  <c:v>658.35820887283887</c:v>
                </c:pt>
                <c:pt idx="87">
                  <c:v>679.37454761631727</c:v>
                </c:pt>
                <c:pt idx="88">
                  <c:v>700.3775446144391</c:v>
                </c:pt>
                <c:pt idx="89">
                  <c:v>721.36765583853776</c:v>
                </c:pt>
                <c:pt idx="90">
                  <c:v>742.34530859144991</c:v>
                </c:pt>
                <c:pt idx="91">
                  <c:v>763.31090408544162</c:v>
                </c:pt>
                <c:pt idx="92">
                  <c:v>784.2648197224903</c:v>
                </c:pt>
                <c:pt idx="93">
                  <c:v>805.2074111184703</c:v>
                </c:pt>
                <c:pt idx="94">
                  <c:v>672.99221629850854</c:v>
                </c:pt>
                <c:pt idx="95">
                  <c:v>693.37648961420962</c:v>
                </c:pt>
                <c:pt idx="96">
                  <c:v>713.74849014684048</c:v>
                </c:pt>
                <c:pt idx="97">
                  <c:v>734.10861712397957</c:v>
                </c:pt>
                <c:pt idx="98">
                  <c:v>754.45724584792481</c:v>
                </c:pt>
                <c:pt idx="99">
                  <c:v>774.79472974909584</c:v>
                </c:pt>
                <c:pt idx="100">
                  <c:v>795.1214022128637</c:v>
                </c:pt>
                <c:pt idx="101">
                  <c:v>815.43757821007432</c:v>
                </c:pt>
                <c:pt idx="102">
                  <c:v>835.74355575682057</c:v>
                </c:pt>
                <c:pt idx="103">
                  <c:v>856.03961722513759</c:v>
                </c:pt>
                <c:pt idx="104">
                  <c:v>722.77047081753142</c:v>
                </c:pt>
                <c:pt idx="105">
                  <c:v>742.57144072777692</c:v>
                </c:pt>
                <c:pt idx="106">
                  <c:v>762.36167151861753</c:v>
                </c:pt>
                <c:pt idx="107">
                  <c:v>782.14148090873778</c:v>
                </c:pt>
                <c:pt idx="108">
                  <c:v>801.91116925557162</c:v>
                </c:pt>
                <c:pt idx="109">
                  <c:v>821.67102091720653</c:v>
                </c:pt>
                <c:pt idx="110">
                  <c:v>841.42130547662589</c:v>
                </c:pt>
                <c:pt idx="111">
                  <c:v>861.16227884517014</c:v>
                </c:pt>
                <c:pt idx="112">
                  <c:v>880.89418425967813</c:v>
                </c:pt>
                <c:pt idx="113">
                  <c:v>900.61725318575793</c:v>
                </c:pt>
                <c:pt idx="114">
                  <c:v>765.32229398494985</c:v>
                </c:pt>
                <c:pt idx="115">
                  <c:v>784.98311437515633</c:v>
                </c:pt>
                <c:pt idx="116">
                  <c:v>804.63397494404364</c:v>
                </c:pt>
                <c:pt idx="117">
                  <c:v>824.27515289823998</c:v>
                </c:pt>
                <c:pt idx="118">
                  <c:v>843.90691117254892</c:v>
                </c:pt>
                <c:pt idx="119">
                  <c:v>863.52949948630805</c:v>
                </c:pt>
                <c:pt idx="120">
                  <c:v>883.14315529885516</c:v>
                </c:pt>
                <c:pt idx="121">
                  <c:v>902.74810467581119</c:v>
                </c:pt>
                <c:pt idx="122">
                  <c:v>922.34456307629682</c:v>
                </c:pt>
                <c:pt idx="123">
                  <c:v>941.93273606986043</c:v>
                </c:pt>
                <c:pt idx="124">
                  <c:v>491.57338077028345</c:v>
                </c:pt>
                <c:pt idx="125">
                  <c:v>502.63253330701883</c:v>
                </c:pt>
                <c:pt idx="126">
                  <c:v>348.67801506682321</c:v>
                </c:pt>
                <c:pt idx="127">
                  <c:v>356.31618749430459</c:v>
                </c:pt>
                <c:pt idx="128">
                  <c:v>255.82716222376891</c:v>
                </c:pt>
                <c:pt idx="129">
                  <c:v>261.46337808167078</c:v>
                </c:pt>
                <c:pt idx="130">
                  <c:v>267.09685096483059</c:v>
                </c:pt>
                <c:pt idx="131">
                  <c:v>6.88254062580301E-12</c:v>
                </c:pt>
                <c:pt idx="132">
                  <c:v>6.88254062580301E-12</c:v>
                </c:pt>
                <c:pt idx="133">
                  <c:v>6.88254062580301E-12</c:v>
                </c:pt>
                <c:pt idx="134">
                  <c:v>6.88254062580301E-12</c:v>
                </c:pt>
                <c:pt idx="135">
                  <c:v>6.88254062580301E-12</c:v>
                </c:pt>
                <c:pt idx="136">
                  <c:v>6.88254062580301E-12</c:v>
                </c:pt>
                <c:pt idx="137">
                  <c:v>6.88254062580301E-12</c:v>
                </c:pt>
                <c:pt idx="138">
                  <c:v>6.88254062580301E-12</c:v>
                </c:pt>
                <c:pt idx="139">
                  <c:v>6.88254062580301E-12</c:v>
                </c:pt>
                <c:pt idx="140">
                  <c:v>6.88254062580301E-12</c:v>
                </c:pt>
                <c:pt idx="141">
                  <c:v>6.88254062580301E-12</c:v>
                </c:pt>
                <c:pt idx="142">
                  <c:v>6.88254062580301E-12</c:v>
                </c:pt>
                <c:pt idx="143">
                  <c:v>6.88254062580301E-12</c:v>
                </c:pt>
                <c:pt idx="144">
                  <c:v>6.88254062580301E-12</c:v>
                </c:pt>
                <c:pt idx="145">
                  <c:v>6.88254062580301E-12</c:v>
                </c:pt>
                <c:pt idx="146">
                  <c:v>6.88254062580301E-12</c:v>
                </c:pt>
                <c:pt idx="147">
                  <c:v>6.88254062580301E-12</c:v>
                </c:pt>
                <c:pt idx="148">
                  <c:v>6.88254062580301E-12</c:v>
                </c:pt>
                <c:pt idx="149">
                  <c:v>6.88254062580301E-12</c:v>
                </c:pt>
                <c:pt idx="150">
                  <c:v>6.88254062580301E-12</c:v>
                </c:pt>
                <c:pt idx="151">
                  <c:v>6.88254062580301E-12</c:v>
                </c:pt>
                <c:pt idx="152">
                  <c:v>6.88254062580301E-12</c:v>
                </c:pt>
                <c:pt idx="153">
                  <c:v>6.88254062580301E-12</c:v>
                </c:pt>
                <c:pt idx="154">
                  <c:v>6.88254062580301E-12</c:v>
                </c:pt>
                <c:pt idx="155">
                  <c:v>6.88254062580301E-12</c:v>
                </c:pt>
                <c:pt idx="156">
                  <c:v>6.88254062580301E-12</c:v>
                </c:pt>
                <c:pt idx="157">
                  <c:v>6.88254062580301E-12</c:v>
                </c:pt>
                <c:pt idx="158">
                  <c:v>6.88254062580301E-12</c:v>
                </c:pt>
                <c:pt idx="159">
                  <c:v>6.88254062580301E-12</c:v>
                </c:pt>
                <c:pt idx="160">
                  <c:v>6.88254062580301E-12</c:v>
                </c:pt>
                <c:pt idx="161">
                  <c:v>6.88254062580301E-12</c:v>
                </c:pt>
                <c:pt idx="162">
                  <c:v>6.88254062580301E-12</c:v>
                </c:pt>
                <c:pt idx="163">
                  <c:v>6.88254062580301E-12</c:v>
                </c:pt>
                <c:pt idx="164">
                  <c:v>6.88254062580301E-12</c:v>
                </c:pt>
                <c:pt idx="165">
                  <c:v>6.88254062580301E-12</c:v>
                </c:pt>
                <c:pt idx="166">
                  <c:v>6.88254062580301E-12</c:v>
                </c:pt>
                <c:pt idx="167">
                  <c:v>6.88254062580301E-12</c:v>
                </c:pt>
                <c:pt idx="168">
                  <c:v>6.88254062580301E-12</c:v>
                </c:pt>
                <c:pt idx="169">
                  <c:v>6.88254062580301E-12</c:v>
                </c:pt>
                <c:pt idx="170">
                  <c:v>6.88254062580301E-12</c:v>
                </c:pt>
                <c:pt idx="171">
                  <c:v>6.88254062580301E-12</c:v>
                </c:pt>
                <c:pt idx="172">
                  <c:v>6.88254062580301E-12</c:v>
                </c:pt>
                <c:pt idx="173">
                  <c:v>6.88254062580301E-12</c:v>
                </c:pt>
                <c:pt idx="174">
                  <c:v>6.88254062580301E-12</c:v>
                </c:pt>
                <c:pt idx="175">
                  <c:v>6.88254062580301E-12</c:v>
                </c:pt>
                <c:pt idx="176">
                  <c:v>6.88254062580301E-12</c:v>
                </c:pt>
                <c:pt idx="177">
                  <c:v>6.88254062580301E-12</c:v>
                </c:pt>
                <c:pt idx="178">
                  <c:v>6.88254062580301E-12</c:v>
                </c:pt>
                <c:pt idx="179">
                  <c:v>6.88254062580301E-12</c:v>
                </c:pt>
                <c:pt idx="180">
                  <c:v>6.88254062580301E-12</c:v>
                </c:pt>
                <c:pt idx="181">
                  <c:v>6.88254062580301E-12</c:v>
                </c:pt>
                <c:pt idx="182">
                  <c:v>6.88254062580301E-12</c:v>
                </c:pt>
                <c:pt idx="183">
                  <c:v>6.88254062580301E-12</c:v>
                </c:pt>
                <c:pt idx="184">
                  <c:v>6.88254062580301E-12</c:v>
                </c:pt>
                <c:pt idx="185">
                  <c:v>6.88254062580301E-12</c:v>
                </c:pt>
                <c:pt idx="186">
                  <c:v>6.88254062580301E-12</c:v>
                </c:pt>
                <c:pt idx="187">
                  <c:v>6.88254062580301E-12</c:v>
                </c:pt>
                <c:pt idx="188">
                  <c:v>6.88254062580301E-12</c:v>
                </c:pt>
                <c:pt idx="189">
                  <c:v>6.88254062580301E-12</c:v>
                </c:pt>
                <c:pt idx="190">
                  <c:v>6.88254062580301E-12</c:v>
                </c:pt>
                <c:pt idx="191">
                  <c:v>6.88254062580301E-12</c:v>
                </c:pt>
                <c:pt idx="192">
                  <c:v>6.88254062580301E-12</c:v>
                </c:pt>
                <c:pt idx="193">
                  <c:v>6.88254062580301E-12</c:v>
                </c:pt>
                <c:pt idx="194">
                  <c:v>6.88254062580301E-12</c:v>
                </c:pt>
                <c:pt idx="195">
                  <c:v>6.88254062580301E-12</c:v>
                </c:pt>
                <c:pt idx="196">
                  <c:v>6.88254062580301E-12</c:v>
                </c:pt>
                <c:pt idx="197">
                  <c:v>6.88254062580301E-12</c:v>
                </c:pt>
                <c:pt idx="198">
                  <c:v>6.88254062580301E-12</c:v>
                </c:pt>
                <c:pt idx="199">
                  <c:v>6.88254062580301E-12</c:v>
                </c:pt>
                <c:pt idx="200">
                  <c:v>6.88254062580301E-12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7.9348268839058393</c:v>
                </c:pt>
                <c:pt idx="2">
                  <c:v>15.517090525941128</c:v>
                </c:pt>
                <c:pt idx="3">
                  <c:v>22.985493938419882</c:v>
                </c:pt>
                <c:pt idx="4">
                  <c:v>30.383711256164688</c:v>
                </c:pt>
                <c:pt idx="5">
                  <c:v>37.731537028809953</c:v>
                </c:pt>
                <c:pt idx="6">
                  <c:v>45.040262893912661</c:v>
                </c:pt>
                <c:pt idx="7">
                  <c:v>52.317168133608305</c:v>
                </c:pt>
                <c:pt idx="8">
                  <c:v>59.567323055290082</c:v>
                </c:pt>
                <c:pt idx="9">
                  <c:v>66.794454399391569</c:v>
                </c:pt>
                <c:pt idx="10">
                  <c:v>74.001412157424696</c:v>
                </c:pt>
                <c:pt idx="11">
                  <c:v>81.190443338320719</c:v>
                </c:pt>
                <c:pt idx="12">
                  <c:v>88.363362971016116</c:v>
                </c:pt>
                <c:pt idx="13">
                  <c:v>95.521666329523114</c:v>
                </c:pt>
                <c:pt idx="14">
                  <c:v>102.6666055778236</c:v>
                </c:pt>
                <c:pt idx="15">
                  <c:v>109.79924386311403</c:v>
                </c:pt>
                <c:pt idx="16">
                  <c:v>116.92049456001179</c:v>
                </c:pt>
                <c:pt idx="17">
                  <c:v>124.03115041829483</c:v>
                </c:pt>
                <c:pt idx="18">
                  <c:v>131.13190565447152</c:v>
                </c:pt>
                <c:pt idx="19">
                  <c:v>138.22337299336959</c:v>
                </c:pt>
                <c:pt idx="20">
                  <c:v>145.30609701967319</c:v>
                </c:pt>
                <c:pt idx="21">
                  <c:v>152.38056478326666</c:v>
                </c:pt>
                <c:pt idx="22">
                  <c:v>159.44721432727769</c:v>
                </c:pt>
                <c:pt idx="23">
                  <c:v>166.50644162173626</c:v>
                </c:pt>
                <c:pt idx="24">
                  <c:v>173.55860625735497</c:v>
                </c:pt>
                <c:pt idx="25">
                  <c:v>180.60403616360529</c:v>
                </c:pt>
                <c:pt idx="26">
                  <c:v>187.64303155065241</c:v>
                </c:pt>
                <c:pt idx="27">
                  <c:v>194.67586822778131</c:v>
                </c:pt>
                <c:pt idx="28">
                  <c:v>201.70280041638287</c:v>
                </c:pt>
                <c:pt idx="29">
                  <c:v>208.72406314979355</c:v>
                </c:pt>
                <c:pt idx="30">
                  <c:v>215.73987433282181</c:v>
                </c:pt>
                <c:pt idx="31">
                  <c:v>222.7504365189578</c:v>
                </c:pt>
                <c:pt idx="32">
                  <c:v>229.75593845182368</c:v>
                </c:pt>
                <c:pt idx="33">
                  <c:v>236.75655640852983</c:v>
                </c:pt>
                <c:pt idx="34">
                  <c:v>243.75245537562498</c:v>
                </c:pt>
                <c:pt idx="35">
                  <c:v>250.74379008281184</c:v>
                </c:pt>
                <c:pt idx="36">
                  <c:v>257.73070591520286</c:v>
                </c:pt>
                <c:pt idx="37">
                  <c:v>264.71333972136563</c:v>
                </c:pt>
                <c:pt idx="38">
                  <c:v>271.69182053155362</c:v>
                </c:pt>
                <c:pt idx="39">
                  <c:v>278.66627019820879</c:v>
                </c:pt>
                <c:pt idx="40">
                  <c:v>285.63680396892198</c:v>
                </c:pt>
                <c:pt idx="41">
                  <c:v>292.60353100048502</c:v>
                </c:pt>
                <c:pt idx="42">
                  <c:v>299.56655482137893</c:v>
                </c:pt>
                <c:pt idx="43">
                  <c:v>306.52597374897516</c:v>
                </c:pt>
                <c:pt idx="44">
                  <c:v>313.48188126683385</c:v>
                </c:pt>
                <c:pt idx="45">
                  <c:v>320.43436636673522</c:v>
                </c:pt>
                <c:pt idx="46">
                  <c:v>327.38351385945117</c:v>
                </c:pt>
                <c:pt idx="47">
                  <c:v>334.32940465773095</c:v>
                </c:pt>
                <c:pt idx="48">
                  <c:v>341.27211603452292</c:v>
                </c:pt>
                <c:pt idx="49">
                  <c:v>348.21172185907125</c:v>
                </c:pt>
                <c:pt idx="50">
                  <c:v>355.14829281319425</c:v>
                </c:pt>
                <c:pt idx="51">
                  <c:v>362.08189658977221</c:v>
                </c:pt>
                <c:pt idx="52">
                  <c:v>369.01259807522791</c:v>
                </c:pt>
                <c:pt idx="53">
                  <c:v>375.94045951757306</c:v>
                </c:pt>
                <c:pt idx="54">
                  <c:v>382.8655406814126</c:v>
                </c:pt>
                <c:pt idx="55">
                  <c:v>389.78789899114423</c:v>
                </c:pt>
                <c:pt idx="56">
                  <c:v>396.70758966344698</c:v>
                </c:pt>
                <c:pt idx="57">
                  <c:v>403.62466583003965</c:v>
                </c:pt>
                <c:pt idx="58">
                  <c:v>410.53917865157979</c:v>
                </c:pt>
                <c:pt idx="59">
                  <c:v>417.45117742348617</c:v>
                </c:pt>
                <c:pt idx="60">
                  <c:v>424.36070967438195</c:v>
                </c:pt>
                <c:pt idx="61">
                  <c:v>288.18730679977051</c:v>
                </c:pt>
                <c:pt idx="62">
                  <c:v>302.47198070570596</c:v>
                </c:pt>
                <c:pt idx="63">
                  <c:v>316.74164591285154</c:v>
                </c:pt>
                <c:pt idx="64">
                  <c:v>330.99707386423012</c:v>
                </c:pt>
                <c:pt idx="65">
                  <c:v>345.23896411987533</c:v>
                </c:pt>
                <c:pt idx="66">
                  <c:v>359.46795380642266</c:v>
                </c:pt>
                <c:pt idx="67">
                  <c:v>373.68462549187933</c:v>
                </c:pt>
                <c:pt idx="68">
                  <c:v>387.88951379915807</c:v>
                </c:pt>
                <c:pt idx="69">
                  <c:v>402.08311100010451</c:v>
                </c:pt>
                <c:pt idx="70">
                  <c:v>328.91011552785579</c:v>
                </c:pt>
                <c:pt idx="71">
                  <c:v>342.84500036388135</c:v>
                </c:pt>
                <c:pt idx="72">
                  <c:v>356.76743992635789</c:v>
                </c:pt>
                <c:pt idx="73">
                  <c:v>370.67798829998833</c:v>
                </c:pt>
                <c:pt idx="74">
                  <c:v>384.57715458703962</c:v>
                </c:pt>
                <c:pt idx="75">
                  <c:v>398.46540808711467</c:v>
                </c:pt>
                <c:pt idx="76">
                  <c:v>412.3431827169984</c:v>
                </c:pt>
                <c:pt idx="77">
                  <c:v>426.21088080440586</c:v>
                </c:pt>
                <c:pt idx="78">
                  <c:v>370.20260469110161</c:v>
                </c:pt>
                <c:pt idx="79">
                  <c:v>384.10358289738252</c:v>
                </c:pt>
                <c:pt idx="80">
                  <c:v>397.99363067483574</c:v>
                </c:pt>
                <c:pt idx="81">
                  <c:v>411.87318321337824</c:v>
                </c:pt>
                <c:pt idx="82">
                  <c:v>425.74264398092276</c:v>
                </c:pt>
                <c:pt idx="83">
                  <c:v>439.60238801543551</c:v>
                </c:pt>
                <c:pt idx="84">
                  <c:v>453.45276478019287</c:v>
                </c:pt>
                <c:pt idx="85">
                  <c:v>467.29410065203678</c:v>
                </c:pt>
                <c:pt idx="86">
                  <c:v>481.12670109948903</c:v>
                </c:pt>
                <c:pt idx="87">
                  <c:v>417.92486805030893</c:v>
                </c:pt>
                <c:pt idx="88">
                  <c:v>431.82201320823901</c:v>
                </c:pt>
                <c:pt idx="89">
                  <c:v>445.70955372287375</c:v>
                </c:pt>
                <c:pt idx="90">
                  <c:v>459.58783097189752</c:v>
                </c:pt>
                <c:pt idx="91">
                  <c:v>473.4571640373162</c:v>
                </c:pt>
                <c:pt idx="92">
                  <c:v>487.31785178574552</c:v>
                </c:pt>
                <c:pt idx="93">
                  <c:v>501.17017469973308</c:v>
                </c:pt>
                <c:pt idx="94">
                  <c:v>515.01439649611177</c:v>
                </c:pt>
                <c:pt idx="95">
                  <c:v>528.85076556131935</c:v>
                </c:pt>
                <c:pt idx="96">
                  <c:v>456.25823673536746</c:v>
                </c:pt>
                <c:pt idx="97">
                  <c:v>470.16615638603167</c:v>
                </c:pt>
                <c:pt idx="98">
                  <c:v>484.06531560972599</c:v>
                </c:pt>
                <c:pt idx="99">
                  <c:v>497.95600132779902</c:v>
                </c:pt>
                <c:pt idx="100">
                  <c:v>511.83848315243455</c:v>
                </c:pt>
                <c:pt idx="101">
                  <c:v>525.71301488182235</c:v>
                </c:pt>
                <c:pt idx="102">
                  <c:v>539.57983582931536</c:v>
                </c:pt>
                <c:pt idx="103">
                  <c:v>553.43917200888438</c:v>
                </c:pt>
                <c:pt idx="104">
                  <c:v>567.29123719568713</c:v>
                </c:pt>
                <c:pt idx="105">
                  <c:v>500.76273642622454</c:v>
                </c:pt>
                <c:pt idx="106">
                  <c:v>514.8551556957724</c:v>
                </c:pt>
                <c:pt idx="107">
                  <c:v>528.93943541715112</c:v>
                </c:pt>
                <c:pt idx="108">
                  <c:v>543.01582278718149</c:v>
                </c:pt>
                <c:pt idx="109">
                  <c:v>557.0845511461456</c:v>
                </c:pt>
                <c:pt idx="110">
                  <c:v>571.14584109211796</c:v>
                </c:pt>
                <c:pt idx="111">
                  <c:v>585.19990147989529</c:v>
                </c:pt>
                <c:pt idx="112">
                  <c:v>599.24693031901279</c:v>
                </c:pt>
                <c:pt idx="113">
                  <c:v>613.28711558321936</c:v>
                </c:pt>
                <c:pt idx="114">
                  <c:v>542.53862974826052</c:v>
                </c:pt>
                <c:pt idx="115">
                  <c:v>556.85289709565188</c:v>
                </c:pt>
                <c:pt idx="116">
                  <c:v>571.15946063462252</c:v>
                </c:pt>
                <c:pt idx="117">
                  <c:v>585.45854043456723</c:v>
                </c:pt>
                <c:pt idx="118">
                  <c:v>599.75034494340457</c:v>
                </c:pt>
                <c:pt idx="119">
                  <c:v>614.03507186934644</c:v>
                </c:pt>
                <c:pt idx="120">
                  <c:v>628.31290897638928</c:v>
                </c:pt>
                <c:pt idx="121">
                  <c:v>642.58403480377649</c:v>
                </c:pt>
                <c:pt idx="122">
                  <c:v>656.84861931825901</c:v>
                </c:pt>
                <c:pt idx="123">
                  <c:v>577.87919984414941</c:v>
                </c:pt>
                <c:pt idx="124">
                  <c:v>592.4032440297533</c:v>
                </c:pt>
                <c:pt idx="125">
                  <c:v>606.91987898108778</c:v>
                </c:pt>
                <c:pt idx="126">
                  <c:v>621.42930679167</c:v>
                </c:pt>
                <c:pt idx="127">
                  <c:v>635.93171935349449</c:v>
                </c:pt>
                <c:pt idx="128">
                  <c:v>650.42729909771822</c:v>
                </c:pt>
                <c:pt idx="129">
                  <c:v>664.91621966592049</c:v>
                </c:pt>
                <c:pt idx="130">
                  <c:v>679.39864651985215</c:v>
                </c:pt>
                <c:pt idx="131">
                  <c:v>693.87473749652361</c:v>
                </c:pt>
                <c:pt idx="132">
                  <c:v>708.3446433145931</c:v>
                </c:pt>
                <c:pt idx="133">
                  <c:v>624.1119505589121</c:v>
                </c:pt>
                <c:pt idx="134">
                  <c:v>639.07065813849192</c:v>
                </c:pt>
                <c:pt idx="135">
                  <c:v>654.02213550578983</c:v>
                </c:pt>
                <c:pt idx="136">
                  <c:v>668.96657113032506</c:v>
                </c:pt>
                <c:pt idx="137">
                  <c:v>683.90414437995207</c:v>
                </c:pt>
                <c:pt idx="138">
                  <c:v>698.83502615369832</c:v>
                </c:pt>
                <c:pt idx="139">
                  <c:v>713.75937945774365</c:v>
                </c:pt>
                <c:pt idx="140">
                  <c:v>728.67735993075883</c:v>
                </c:pt>
                <c:pt idx="141">
                  <c:v>743.58911632402123</c:v>
                </c:pt>
                <c:pt idx="142">
                  <c:v>758.49479094104538</c:v>
                </c:pt>
                <c:pt idx="143">
                  <c:v>773.39452004089162</c:v>
                </c:pt>
                <c:pt idx="144">
                  <c:v>788.28843420880264</c:v>
                </c:pt>
                <c:pt idx="145">
                  <c:v>679.69414667999979</c:v>
                </c:pt>
                <c:pt idx="146">
                  <c:v>694.99652870254488</c:v>
                </c:pt>
                <c:pt idx="147">
                  <c:v>710.29201169407168</c:v>
                </c:pt>
                <c:pt idx="148">
                  <c:v>725.58076503627569</c:v>
                </c:pt>
                <c:pt idx="149">
                  <c:v>740.86295039636786</c:v>
                </c:pt>
                <c:pt idx="150">
                  <c:v>756.13872223358032</c:v>
                </c:pt>
                <c:pt idx="151">
                  <c:v>771.40822826265219</c:v>
                </c:pt>
                <c:pt idx="152">
                  <c:v>786.67160987874149</c:v>
                </c:pt>
                <c:pt idx="153">
                  <c:v>801.92900254767562</c:v>
                </c:pt>
                <c:pt idx="154">
                  <c:v>817.18053616498548</c:v>
                </c:pt>
                <c:pt idx="155">
                  <c:v>832.42633538677239</c:v>
                </c:pt>
                <c:pt idx="156">
                  <c:v>847.66651993509458</c:v>
                </c:pt>
                <c:pt idx="157">
                  <c:v>729.93421625601695</c:v>
                </c:pt>
                <c:pt idx="158">
                  <c:v>745.53794628468529</c:v>
                </c:pt>
                <c:pt idx="159">
                  <c:v>761.13503622704968</c:v>
                </c:pt>
                <c:pt idx="160">
                  <c:v>776.72564120317713</c:v>
                </c:pt>
                <c:pt idx="161">
                  <c:v>792.309909603758</c:v>
                </c:pt>
                <c:pt idx="162">
                  <c:v>807.88798351136938</c:v>
                </c:pt>
                <c:pt idx="163">
                  <c:v>823.45999908758722</c:v>
                </c:pt>
                <c:pt idx="164">
                  <c:v>839.02608692932472</c:v>
                </c:pt>
                <c:pt idx="165">
                  <c:v>854.58637239737743</c:v>
                </c:pt>
                <c:pt idx="166">
                  <c:v>870.14097591982454</c:v>
                </c:pt>
                <c:pt idx="167">
                  <c:v>885.69001327262743</c:v>
                </c:pt>
                <c:pt idx="168">
                  <c:v>901.23359583952379</c:v>
                </c:pt>
                <c:pt idx="169">
                  <c:v>772.14760109782401</c:v>
                </c:pt>
                <c:pt idx="170">
                  <c:v>787.754010163918</c:v>
                </c:pt>
                <c:pt idx="171">
                  <c:v>803.35416757047312</c:v>
                </c:pt>
                <c:pt idx="172">
                  <c:v>818.94821170769308</c:v>
                </c:pt>
                <c:pt idx="173">
                  <c:v>834.53627527080562</c:v>
                </c:pt>
                <c:pt idx="174">
                  <c:v>850.11848559859118</c:v>
                </c:pt>
                <c:pt idx="175">
                  <c:v>865.6949649858251</c:v>
                </c:pt>
                <c:pt idx="176">
                  <c:v>881.26583097209289</c:v>
                </c:pt>
                <c:pt idx="177">
                  <c:v>896.83119660914872</c:v>
                </c:pt>
                <c:pt idx="178">
                  <c:v>912.39117070877421</c:v>
                </c:pt>
                <c:pt idx="179">
                  <c:v>927.94585807286694</c:v>
                </c:pt>
                <c:pt idx="180">
                  <c:v>943.49535970731733</c:v>
                </c:pt>
                <c:pt idx="181">
                  <c:v>596.65205110487057</c:v>
                </c:pt>
                <c:pt idx="182">
                  <c:v>606.44243354148568</c:v>
                </c:pt>
                <c:pt idx="183">
                  <c:v>616.22953464876537</c:v>
                </c:pt>
                <c:pt idx="184">
                  <c:v>626.01341388147284</c:v>
                </c:pt>
                <c:pt idx="185">
                  <c:v>425.18816872945314</c:v>
                </c:pt>
                <c:pt idx="186">
                  <c:v>431.52402561764438</c:v>
                </c:pt>
                <c:pt idx="187">
                  <c:v>437.85788419433567</c:v>
                </c:pt>
                <c:pt idx="188">
                  <c:v>444.18977746524746</c:v>
                </c:pt>
                <c:pt idx="189">
                  <c:v>299.42016224308082</c:v>
                </c:pt>
                <c:pt idx="190">
                  <c:v>303.50750955716296</c:v>
                </c:pt>
                <c:pt idx="191">
                  <c:v>307.59363224458792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8" sqref="F28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1.58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0.9</v>
      </c>
      <c r="D9" s="33">
        <f t="shared" ref="D9:D18" si="0">C9*$C$5</f>
        <v>1.4220000000000002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52</v>
      </c>
      <c r="C10" s="32">
        <v>0.05</v>
      </c>
      <c r="D10" s="33">
        <f t="shared" si="0"/>
        <v>7.9000000000000015E-2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</v>
      </c>
      <c r="C11" s="32">
        <v>0.05</v>
      </c>
      <c r="D11" s="33">
        <f t="shared" si="0"/>
        <v>7.9000000000000015E-2</v>
      </c>
      <c r="E11" s="34">
        <v>191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1.58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Cormier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38</v>
      </c>
      <c r="B62" s="60">
        <v>152.63</v>
      </c>
      <c r="C62" s="60">
        <v>1</v>
      </c>
      <c r="D62" s="60">
        <v>71.569999999999993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4.016578947368421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45</v>
      </c>
      <c r="B63" s="60">
        <v>149.75</v>
      </c>
      <c r="C63" s="60">
        <v>2</v>
      </c>
      <c r="D63" s="60">
        <v>41.69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9.8128571428571423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52</v>
      </c>
      <c r="B64" s="60">
        <v>178.07</v>
      </c>
      <c r="C64" s="60">
        <v>3</v>
      </c>
      <c r="D64" s="60">
        <v>44.400000000000006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10.001428571428571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59</v>
      </c>
      <c r="B65" s="60">
        <v>202.85</v>
      </c>
      <c r="C65" s="60">
        <v>4</v>
      </c>
      <c r="D65" s="60">
        <v>41.81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9.8828571428571443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67</v>
      </c>
      <c r="B66" s="60">
        <v>239.06</v>
      </c>
      <c r="C66" s="60">
        <v>5</v>
      </c>
      <c r="D66" s="60">
        <v>42.550000000000011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9.7525000000000013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75</v>
      </c>
      <c r="B67" s="60">
        <v>273.76</v>
      </c>
      <c r="C67" s="60">
        <v>6</v>
      </c>
      <c r="D67" s="60">
        <v>43.519999999999982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9.65625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83</v>
      </c>
      <c r="B68" s="60">
        <v>306.11</v>
      </c>
      <c r="C68" s="60">
        <v>7</v>
      </c>
      <c r="D68" s="60">
        <v>49.980000000000018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9.4837500000000006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93</v>
      </c>
      <c r="B69" s="50">
        <v>348.87</v>
      </c>
      <c r="C69" s="50">
        <v>8</v>
      </c>
      <c r="D69" s="50">
        <v>67.45999999999998</v>
      </c>
      <c r="E69" s="51">
        <v>0.5</v>
      </c>
      <c r="F69" s="51">
        <v>0.2</v>
      </c>
      <c r="G69" s="51">
        <v>0</v>
      </c>
      <c r="H69" s="51">
        <v>0.3</v>
      </c>
      <c r="I69" s="49">
        <f t="shared" si="2"/>
        <v>9.2740000000000009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103</v>
      </c>
      <c r="B70" s="50">
        <v>371.4</v>
      </c>
      <c r="C70" s="50">
        <v>9</v>
      </c>
      <c r="D70" s="50">
        <v>67.759999999999991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8.9989999999999952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113</v>
      </c>
      <c r="B71" s="50">
        <v>391.18</v>
      </c>
      <c r="C71" s="50">
        <v>10</v>
      </c>
      <c r="D71" s="50">
        <v>68.670000000000016</v>
      </c>
      <c r="E71" s="51">
        <v>0.5</v>
      </c>
      <c r="F71" s="51">
        <v>0.2</v>
      </c>
      <c r="G71" s="51">
        <v>0</v>
      </c>
      <c r="H71" s="51">
        <v>0.3</v>
      </c>
      <c r="I71" s="49">
        <f t="shared" si="2"/>
        <v>8.7540000000000013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123</v>
      </c>
      <c r="B72" s="50">
        <v>409.53</v>
      </c>
      <c r="C72" s="50">
        <v>11</v>
      </c>
      <c r="D72" s="50">
        <v>203.78999999999996</v>
      </c>
      <c r="E72" s="51">
        <v>0.45</v>
      </c>
      <c r="F72" s="51">
        <v>0.05</v>
      </c>
      <c r="G72" s="51">
        <v>0.05</v>
      </c>
      <c r="H72" s="51">
        <v>0.45</v>
      </c>
      <c r="I72" s="49">
        <f t="shared" si="2"/>
        <v>8.7019999999999982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125</v>
      </c>
      <c r="B73" s="50">
        <v>215.44</v>
      </c>
      <c r="C73" s="50">
        <v>12</v>
      </c>
      <c r="D73" s="50">
        <v>70.609999999999985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4.8499999999999943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127</v>
      </c>
      <c r="B74" s="50">
        <v>151.47999999999999</v>
      </c>
      <c r="C74" s="50">
        <v>13</v>
      </c>
      <c r="D74" s="50">
        <v>46.039999999999992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3.3249999999999886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130</v>
      </c>
      <c r="B75" s="50">
        <v>112.75</v>
      </c>
      <c r="C75" s="50">
        <v>14</v>
      </c>
      <c r="D75" s="50">
        <v>112.75</v>
      </c>
      <c r="E75" s="51">
        <v>0.45</v>
      </c>
      <c r="F75" s="51">
        <v>0.05</v>
      </c>
      <c r="G75" s="51">
        <v>0.05</v>
      </c>
      <c r="H75" s="51">
        <v>0.45</v>
      </c>
      <c r="I75" s="49">
        <f t="shared" si="2"/>
        <v>2.4366666666666674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60</v>
      </c>
      <c r="B88" s="60">
        <v>201.62</v>
      </c>
      <c r="C88" s="60">
        <v>1</v>
      </c>
      <c r="D88" s="60">
        <v>72.87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3.3603333333333336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69</v>
      </c>
      <c r="B89" s="60">
        <v>190.79</v>
      </c>
      <c r="C89" s="60">
        <v>2</v>
      </c>
      <c r="D89" s="60">
        <v>42.22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6.8933333333333326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77</v>
      </c>
      <c r="B90" s="60">
        <v>202.52</v>
      </c>
      <c r="C90" s="60">
        <v>3</v>
      </c>
      <c r="D90" s="60">
        <v>33.950000000000017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6.7437500000000021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86</v>
      </c>
      <c r="B91" s="60">
        <v>229.27</v>
      </c>
      <c r="C91" s="60">
        <v>4</v>
      </c>
      <c r="D91" s="60">
        <v>37.54000000000002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6.7444444444444462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95</v>
      </c>
      <c r="B92" s="60">
        <v>252.57</v>
      </c>
      <c r="C92" s="60">
        <v>5</v>
      </c>
      <c r="D92" s="60">
        <v>42.199999999999989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6.7600000000000007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104</v>
      </c>
      <c r="B93" s="60">
        <v>271.37</v>
      </c>
      <c r="C93" s="60">
        <v>6</v>
      </c>
      <c r="D93" s="60">
        <v>39.400000000000006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6.7777777777777777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113</v>
      </c>
      <c r="B94" s="60">
        <v>293.89999999999998</v>
      </c>
      <c r="C94" s="60">
        <v>7</v>
      </c>
      <c r="D94" s="60">
        <v>41.639999999999986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6.8811111111111085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122</v>
      </c>
      <c r="B95" s="60">
        <v>315.27</v>
      </c>
      <c r="C95" s="60">
        <v>8</v>
      </c>
      <c r="D95" s="60">
        <v>45.829999999999984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7.0011111111111104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132</v>
      </c>
      <c r="B96" s="60">
        <v>340.57</v>
      </c>
      <c r="C96" s="60">
        <v>9</v>
      </c>
      <c r="D96" s="60">
        <v>48.699999999999989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7.1129999999999995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144</v>
      </c>
      <c r="B97" s="60">
        <v>379.92</v>
      </c>
      <c r="C97" s="60">
        <v>10</v>
      </c>
      <c r="D97" s="60">
        <v>60.949999999999989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7.3375000000000012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156</v>
      </c>
      <c r="B98" s="60">
        <v>409.2</v>
      </c>
      <c r="C98" s="60">
        <v>11</v>
      </c>
      <c r="D98" s="60">
        <v>65.69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7.5191666666666634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168</v>
      </c>
      <c r="B99" s="60">
        <v>435.65</v>
      </c>
      <c r="C99" s="60">
        <v>12</v>
      </c>
      <c r="D99" s="60">
        <v>71.37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7.6783333333333319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180</v>
      </c>
      <c r="B100" s="60">
        <v>456.54</v>
      </c>
      <c r="C100" s="60">
        <v>13</v>
      </c>
      <c r="D100" s="60">
        <v>175.59000000000003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7.688333333333337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184</v>
      </c>
      <c r="B101" s="60">
        <v>300.14</v>
      </c>
      <c r="C101" s="60">
        <v>14</v>
      </c>
      <c r="D101" s="60">
        <v>101.19999999999999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4.7974999999999994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188</v>
      </c>
      <c r="B102" s="50">
        <v>211.27</v>
      </c>
      <c r="C102" s="60">
        <v>15</v>
      </c>
      <c r="D102" s="50">
        <v>72.180000000000007</v>
      </c>
      <c r="E102" s="54">
        <v>0.5</v>
      </c>
      <c r="F102" s="54">
        <v>0.2</v>
      </c>
      <c r="G102" s="54">
        <v>0</v>
      </c>
      <c r="H102" s="54">
        <v>0.3</v>
      </c>
      <c r="I102" s="53">
        <f t="shared" si="3"/>
        <v>3.0825000000000031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191</v>
      </c>
      <c r="B103" s="50">
        <v>145.01</v>
      </c>
      <c r="C103" s="60">
        <v>16</v>
      </c>
      <c r="D103" s="50">
        <v>145.01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1.9733333333333292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B9" sqref="B9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Cormier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635.71275911100679</v>
      </c>
      <c r="T3" s="59">
        <f>IF('Données projet'!E9&gt;30,$R$33-$H$33,LOOKUP('Données projet'!$E$9,$A$3:$A$203,R3:R203)-LOOKUP('Données projet'!$E$9,$A$3:$A$203,$H$3:$H$203))</f>
        <v>281.7776857269169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502.65044103360322</v>
      </c>
      <c r="AO3" s="59">
        <f>IF('Données projet'!E10&gt;30,$AM$33-$H$33,LOOKUP('Données projet'!$E$10,$A$3:$A$203,AM3:AM203)-LOOKUP('Données projet'!$E$10,$A$3:$A$203,$H$3:$H$203))</f>
        <v>321.65762891855167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510.71380643466227</v>
      </c>
      <c r="BJ3" s="59">
        <f>IF('Données projet'!E11&gt;30,$BH$33-$H$33,LOOKUP('Données projet'!$E$11,$A$3:$A$203,BH3:BH203)-LOOKUP('Données projet'!$E$11,$A$3:$A$203,$H$3:$H$203))</f>
        <v>252.40654099948841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266.89389098826081</v>
      </c>
      <c r="S4" s="59">
        <f ca="1">AVERAGE(OFFSET($R$3,0,0,'Données projet'!$E$9+1,1))-AVERAGE(OFFSET($H$3,0,0,'Données projet'!$E$9+1,1))</f>
        <v>635.71275911100679</v>
      </c>
      <c r="T4" s="59">
        <f>$T$3</f>
        <v>281.7776857269169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4.016578947368421</v>
      </c>
      <c r="AI4" s="13">
        <f>IF('Données projet'!$A$62&gt;35,AI3+AH4-AQ3,IF(A4&lt;'Données projet'!$A$62,$AF$205^A4,IF(A4='Données projet'!$A$62,'Données projet'!$B$62,AI3+AH4-AQ3)))</f>
        <v>4.016578947368421</v>
      </c>
      <c r="AJ4" s="13">
        <f>AI4*VLOOKUP('Données projet'!$B$10,Paramètres!$A$1:$I$89,3,0)*VLOOKUP('Données projet'!$B$10,Paramètres!$A$1:$I$89,5,0)</f>
        <v>4.3234455789473687</v>
      </c>
      <c r="AK4" s="13">
        <f>EXP(-1.0587+0.8836*LN(AJ4)+0.284)</f>
        <v>1.6802405052268201</v>
      </c>
      <c r="AL4" s="20">
        <f t="shared" ref="AL4:AL67" si="4">(AJ4+AK4)*0.475*44/12</f>
        <v>10.456419929936711</v>
      </c>
      <c r="AM4" s="59">
        <f t="shared" ref="AM4:AM67" si="5">AL4+(AD4+AE4)*44/12</f>
        <v>268.34530881882557</v>
      </c>
      <c r="AN4" s="59">
        <f ca="1">AVERAGE(OFFSET($AM$3,0,0,'Données projet'!$E$10+1,1))-AVERAGE(OFFSET($H$3,0,0,'Données projet'!$E$10+1,1))</f>
        <v>502.65044103360322</v>
      </c>
      <c r="AO4" s="59">
        <f>$AO$3</f>
        <v>321.65762891855167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3.3603333333333336</v>
      </c>
      <c r="BD4" s="12">
        <f>IF('Données projet'!$A$88&gt;35,BD3+BC4-BL3,IF(A4&lt;'Données projet'!$A$88,$BA$205^A4,IF(A4='Données projet'!$A$88,'Données projet'!$B$88,BD3+BC4-BL3)))</f>
        <v>3.3603333333333336</v>
      </c>
      <c r="BE4" s="13">
        <f>BD4*VLOOKUP('Données projet'!$B$11,Paramètres!$A$1:$I$89,3,0)*VLOOKUP('Données projet'!$B$11,Paramètres!$A$1:$I$89,5,0)</f>
        <v>3.2501144000000002</v>
      </c>
      <c r="BF4" s="13">
        <f>EXP(-1.0587+0.8836*LN(BE4)+0.284)</f>
        <v>1.3057670644435437</v>
      </c>
      <c r="BG4" s="20">
        <f t="shared" ref="BG4:BG67" si="7">(BE4+BF4)*0.475*44/12</f>
        <v>7.9348268839058393</v>
      </c>
      <c r="BH4" s="59">
        <f t="shared" ref="BH4:BH67" si="8">BG4+(AY4+AZ4)*44/12</f>
        <v>265.82371577279469</v>
      </c>
      <c r="BI4" s="59">
        <f ca="1">AVERAGE(OFFSET($BH$3,0,0,'Données projet'!$E$11+1,1))-AVERAGE(OFFSET($H$3,0,0,'Données projet'!$E$11+1,1))</f>
        <v>510.71380643466227</v>
      </c>
      <c r="BJ4" s="59">
        <f>$BJ$3</f>
        <v>252.40654099948841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276.72533529021041</v>
      </c>
      <c r="S5" s="59">
        <f ca="1">AVERAGE(OFFSET($R$3,0,0,'Données projet'!$E$9+1,1))-AVERAGE(OFFSET($H$3,0,0,'Données projet'!$E$9+1,1))</f>
        <v>635.71275911100679</v>
      </c>
      <c r="T5" s="59">
        <f t="shared" ref="T5:T68" si="34">$T$3</f>
        <v>281.7776857269169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4.016578947368421</v>
      </c>
      <c r="AI5" s="13">
        <f>IF('Données projet'!$A$62&gt;35,AI4+AH5-AQ4,IF(A5&lt;'Données projet'!$A$62,$AF$205^A5,IF(A5='Données projet'!$A$62,'Données projet'!$B$62,AI4+AH5-AQ4)))</f>
        <v>8.0331578947368421</v>
      </c>
      <c r="AJ5" s="13">
        <f>AI5*VLOOKUP('Données projet'!$B$10,Paramètres!$A$1:$I$89,3,0)*VLOOKUP('Données projet'!$B$10,Paramètres!$A$1:$I$89,5,0)</f>
        <v>8.6468911578947374</v>
      </c>
      <c r="AK5" s="13">
        <f t="shared" ref="AK5:AK68" si="35">EXP(-1.0587+0.8836*LN(AJ5)+0.284)</f>
        <v>3.0999990027110371</v>
      </c>
      <c r="AL5" s="20">
        <f t="shared" si="4"/>
        <v>20.459167029721723</v>
      </c>
      <c r="AM5" s="59">
        <f t="shared" si="5"/>
        <v>279.57027814083284</v>
      </c>
      <c r="AN5" s="59">
        <f ca="1">AVERAGE(OFFSET($AM$3,0,0,'Données projet'!$E$10+1,1))-AVERAGE(OFFSET($H$3,0,0,'Données projet'!$E$10+1,1))</f>
        <v>502.65044103360322</v>
      </c>
      <c r="AO5" s="59">
        <f t="shared" ref="AO5:AO68" si="36">$AO$3</f>
        <v>321.65762891855167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3.3603333333333336</v>
      </c>
      <c r="BD5" s="12">
        <f>IF('Données projet'!$A$88&gt;35,BD4+BC5-BL4,IF(A5&lt;'Données projet'!$A$88,$BA$205^A5,IF(A5='Données projet'!$A$88,'Données projet'!$B$88,BD4+BC5-BL4)))</f>
        <v>6.7206666666666672</v>
      </c>
      <c r="BE5" s="13">
        <f>BD5*VLOOKUP('Données projet'!$B$11,Paramètres!$A$1:$I$89,3,0)*VLOOKUP('Données projet'!$B$11,Paramètres!$A$1:$I$89,5,0)</f>
        <v>6.5002288000000004</v>
      </c>
      <c r="BF5" s="13">
        <f t="shared" ref="BF5:BF68" si="37">EXP(-1.0587+0.8836*LN(BE5)+0.284)</f>
        <v>2.4091054732676334</v>
      </c>
      <c r="BG5" s="20">
        <f t="shared" si="7"/>
        <v>15.517090525941128</v>
      </c>
      <c r="BH5" s="59">
        <f t="shared" si="8"/>
        <v>274.62820163705226</v>
      </c>
      <c r="BI5" s="59">
        <f ca="1">AVERAGE(OFFSET($BH$3,0,0,'Données projet'!$E$11+1,1))-AVERAGE(OFFSET($H$3,0,0,'Données projet'!$E$11+1,1))</f>
        <v>510.71380643466227</v>
      </c>
      <c r="BJ5" s="59">
        <f t="shared" ref="BJ5:BJ68" si="38">$BJ$3</f>
        <v>252.40654099948841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286.42896251272896</v>
      </c>
      <c r="S6" s="59">
        <f ca="1">AVERAGE(OFFSET($R$3,0,0,'Données projet'!$E$9+1,1))-AVERAGE(OFFSET($H$3,0,0,'Données projet'!$E$9+1,1))</f>
        <v>635.71275911100679</v>
      </c>
      <c r="T6" s="59">
        <f t="shared" si="34"/>
        <v>281.7776857269169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4.016578947368421</v>
      </c>
      <c r="AI6" s="13">
        <f>IF('Données projet'!$A$62&gt;35,AI5+AH6-AQ5,IF(A6&lt;'Données projet'!$A$62,$AF$205^A6,IF(A6='Données projet'!$A$62,'Données projet'!$B$62,AI5+AH6-AQ5)))</f>
        <v>12.049736842105263</v>
      </c>
      <c r="AJ6" s="13">
        <f>AI6*VLOOKUP('Données projet'!$B$10,Paramètres!$A$1:$I$89,3,0)*VLOOKUP('Données projet'!$B$10,Paramètres!$A$1:$I$89,5,0)</f>
        <v>12.970336736842105</v>
      </c>
      <c r="AK6" s="13">
        <f t="shared" si="35"/>
        <v>4.4356348870732401</v>
      </c>
      <c r="AL6" s="20">
        <f t="shared" si="4"/>
        <v>30.315400578319224</v>
      </c>
      <c r="AM6" s="59">
        <f t="shared" si="5"/>
        <v>290.64873391165253</v>
      </c>
      <c r="AN6" s="59">
        <f ca="1">AVERAGE(OFFSET($AM$3,0,0,'Données projet'!$E$10+1,1))-AVERAGE(OFFSET($H$3,0,0,'Données projet'!$E$10+1,1))</f>
        <v>502.65044103360322</v>
      </c>
      <c r="AO6" s="59">
        <f t="shared" si="36"/>
        <v>321.65762891855167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3.3603333333333336</v>
      </c>
      <c r="BD6" s="12">
        <f>IF('Données projet'!$A$88&gt;35,BD5+BC6-BL5,IF(A6&lt;'Données projet'!$A$88,$BA$205^A6,IF(A6='Données projet'!$A$88,'Données projet'!$B$88,BD5+BC6-BL5)))</f>
        <v>10.081000000000001</v>
      </c>
      <c r="BE6" s="13">
        <f>BD6*VLOOKUP('Données projet'!$B$11,Paramètres!$A$1:$I$89,3,0)*VLOOKUP('Données projet'!$B$11,Paramètres!$A$1:$I$89,5,0)</f>
        <v>9.7503432000000014</v>
      </c>
      <c r="BF6" s="13">
        <f t="shared" si="37"/>
        <v>3.447069587609501</v>
      </c>
      <c r="BG6" s="20">
        <f t="shared" si="7"/>
        <v>22.985493938419882</v>
      </c>
      <c r="BH6" s="59">
        <f t="shared" si="8"/>
        <v>283.31882727175321</v>
      </c>
      <c r="BI6" s="59">
        <f ca="1">AVERAGE(OFFSET($BH$3,0,0,'Données projet'!$E$11+1,1))-AVERAGE(OFFSET($H$3,0,0,'Données projet'!$E$11+1,1))</f>
        <v>510.71380643466227</v>
      </c>
      <c r="BJ6" s="59">
        <f t="shared" si="38"/>
        <v>252.40654099948841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296.05380031351086</v>
      </c>
      <c r="S7" s="59">
        <f ca="1">AVERAGE(OFFSET($R$3,0,0,'Données projet'!$E$9+1,1))-AVERAGE(OFFSET($H$3,0,0,'Données projet'!$E$9+1,1))</f>
        <v>635.71275911100679</v>
      </c>
      <c r="T7" s="59">
        <f t="shared" si="34"/>
        <v>281.7776857269169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4.016578947368421</v>
      </c>
      <c r="AI7" s="13">
        <f>IF('Données projet'!$A$62&gt;35,AI6+AH7-AQ6,IF(A7&lt;'Données projet'!$A$62,$AF$205^A7,IF(A7='Données projet'!$A$62,'Données projet'!$B$62,AI6+AH7-AQ6)))</f>
        <v>16.066315789473684</v>
      </c>
      <c r="AJ7" s="13">
        <f>AI7*VLOOKUP('Données projet'!$B$10,Paramètres!$A$1:$I$89,3,0)*VLOOKUP('Données projet'!$B$10,Paramètres!$A$1:$I$89,5,0)</f>
        <v>17.293782315789475</v>
      </c>
      <c r="AK7" s="13">
        <f t="shared" si="35"/>
        <v>5.7194156353897379</v>
      </c>
      <c r="AL7" s="20">
        <f t="shared" si="4"/>
        <v>40.081319764970452</v>
      </c>
      <c r="AM7" s="59">
        <f t="shared" si="5"/>
        <v>301.63687532052597</v>
      </c>
      <c r="AN7" s="59">
        <f ca="1">AVERAGE(OFFSET($AM$3,0,0,'Données projet'!$E$10+1,1))-AVERAGE(OFFSET($H$3,0,0,'Données projet'!$E$10+1,1))</f>
        <v>502.65044103360322</v>
      </c>
      <c r="AO7" s="59">
        <f t="shared" si="36"/>
        <v>321.65762891855167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3.3603333333333336</v>
      </c>
      <c r="BD7" s="12">
        <f>IF('Données projet'!$A$88&gt;35,BD6+BC7-BL6,IF(A7&lt;'Données projet'!$A$88,$BA$205^A7,IF(A7='Données projet'!$A$88,'Données projet'!$B$88,BD6+BC7-BL6)))</f>
        <v>13.441333333333334</v>
      </c>
      <c r="BE7" s="13">
        <f>BD7*VLOOKUP('Données projet'!$B$11,Paramètres!$A$1:$I$89,3,0)*VLOOKUP('Données projet'!$B$11,Paramètres!$A$1:$I$89,5,0)</f>
        <v>13.000457600000001</v>
      </c>
      <c r="BF7" s="13">
        <f t="shared" si="37"/>
        <v>4.4447354657404903</v>
      </c>
      <c r="BG7" s="20">
        <f t="shared" si="7"/>
        <v>30.383711256164688</v>
      </c>
      <c r="BH7" s="59">
        <f t="shared" si="8"/>
        <v>291.93926681172024</v>
      </c>
      <c r="BI7" s="59">
        <f ca="1">AVERAGE(OFFSET($BH$3,0,0,'Données projet'!$E$11+1,1))-AVERAGE(OFFSET($H$3,0,0,'Données projet'!$E$11+1,1))</f>
        <v>510.71380643466227</v>
      </c>
      <c r="BJ7" s="59">
        <f t="shared" si="38"/>
        <v>252.40654099948841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305.62206963425615</v>
      </c>
      <c r="S8" s="59">
        <f ca="1">AVERAGE(OFFSET($R$3,0,0,'Données projet'!$E$9+1,1))-AVERAGE(OFFSET($H$3,0,0,'Données projet'!$E$9+1,1))</f>
        <v>635.71275911100679</v>
      </c>
      <c r="T8" s="59">
        <f t="shared" si="34"/>
        <v>281.7776857269169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4.016578947368421</v>
      </c>
      <c r="AI8" s="13">
        <f>IF('Données projet'!$A$62&gt;35,AI7+AH8-AQ7,IF(A8&lt;'Données projet'!$A$62,$AF$205^A8,IF(A8='Données projet'!$A$62,'Données projet'!$B$62,AI7+AH8-AQ7)))</f>
        <v>20.082894736842107</v>
      </c>
      <c r="AJ8" s="13">
        <f>AI8*VLOOKUP('Données projet'!$B$10,Paramètres!$A$1:$I$89,3,0)*VLOOKUP('Données projet'!$B$10,Paramètres!$A$1:$I$89,5,0)</f>
        <v>21.617227894736843</v>
      </c>
      <c r="AK8" s="13">
        <f t="shared" si="35"/>
        <v>6.9659659260693632</v>
      </c>
      <c r="AL8" s="20">
        <f t="shared" si="4"/>
        <v>49.782395904570798</v>
      </c>
      <c r="AM8" s="59">
        <f t="shared" si="5"/>
        <v>312.56017368234859</v>
      </c>
      <c r="AN8" s="59">
        <f ca="1">AVERAGE(OFFSET($AM$3,0,0,'Données projet'!$E$10+1,1))-AVERAGE(OFFSET($H$3,0,0,'Données projet'!$E$10+1,1))</f>
        <v>502.65044103360322</v>
      </c>
      <c r="AO8" s="59">
        <f t="shared" si="36"/>
        <v>321.65762891855167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3.3603333333333336</v>
      </c>
      <c r="BD8" s="12">
        <f>IF('Données projet'!$A$88&gt;35,BD7+BC8-BL7,IF(A8&lt;'Données projet'!$A$88,$BA$205^A8,IF(A8='Données projet'!$A$88,'Données projet'!$B$88,BD7+BC8-BL7)))</f>
        <v>16.801666666666669</v>
      </c>
      <c r="BE8" s="13">
        <f>BD8*VLOOKUP('Données projet'!$B$11,Paramètres!$A$1:$I$89,3,0)*VLOOKUP('Données projet'!$B$11,Paramètres!$A$1:$I$89,5,0)</f>
        <v>16.250572000000002</v>
      </c>
      <c r="BF8" s="13">
        <f t="shared" si="37"/>
        <v>5.4134683993167183</v>
      </c>
      <c r="BG8" s="20">
        <f t="shared" si="7"/>
        <v>37.731537028809953</v>
      </c>
      <c r="BH8" s="59">
        <f t="shared" si="8"/>
        <v>300.50931480658772</v>
      </c>
      <c r="BI8" s="59">
        <f ca="1">AVERAGE(OFFSET($BH$3,0,0,'Données projet'!$E$11+1,1))-AVERAGE(OFFSET($H$3,0,0,'Données projet'!$E$11+1,1))</f>
        <v>510.71380643466227</v>
      </c>
      <c r="BJ8" s="59">
        <f t="shared" si="38"/>
        <v>252.40654099948841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315.14644622786062</v>
      </c>
      <c r="S9" s="59">
        <f ca="1">AVERAGE(OFFSET($R$3,0,0,'Données projet'!$E$9+1,1))-AVERAGE(OFFSET($H$3,0,0,'Données projet'!$E$9+1,1))</f>
        <v>635.71275911100679</v>
      </c>
      <c r="T9" s="59">
        <f t="shared" si="34"/>
        <v>281.7776857269169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4.016578947368421</v>
      </c>
      <c r="AI9" s="13">
        <f>IF('Données projet'!$A$62&gt;35,AI8+AH9-AQ8,IF(A9&lt;'Données projet'!$A$62,$AF$205^A9,IF(A9='Données projet'!$A$62,'Données projet'!$B$62,AI8+AH9-AQ8)))</f>
        <v>24.09947368421053</v>
      </c>
      <c r="AJ9" s="13">
        <f>AI9*VLOOKUP('Données projet'!$B$10,Paramètres!$A$1:$I$89,3,0)*VLOOKUP('Données projet'!$B$10,Paramètres!$A$1:$I$89,5,0)</f>
        <v>25.940673473684214</v>
      </c>
      <c r="AK9" s="13">
        <f t="shared" si="35"/>
        <v>8.1836282862738852</v>
      </c>
      <c r="AL9" s="20">
        <f t="shared" si="4"/>
        <v>59.433158898593696</v>
      </c>
      <c r="AM9" s="59">
        <f t="shared" si="5"/>
        <v>323.43315889859372</v>
      </c>
      <c r="AN9" s="59">
        <f ca="1">AVERAGE(OFFSET($AM$3,0,0,'Données projet'!$E$10+1,1))-AVERAGE(OFFSET($H$3,0,0,'Données projet'!$E$10+1,1))</f>
        <v>502.65044103360322</v>
      </c>
      <c r="AO9" s="59">
        <f t="shared" si="36"/>
        <v>321.65762891855167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3.3603333333333336</v>
      </c>
      <c r="BD9" s="12">
        <f>IF('Données projet'!$A$88&gt;35,BD8+BC9-BL8,IF(A9&lt;'Données projet'!$A$88,$BA$205^A9,IF(A9='Données projet'!$A$88,'Données projet'!$B$88,BD8+BC9-BL8)))</f>
        <v>20.162000000000003</v>
      </c>
      <c r="BE9" s="13">
        <f>BD9*VLOOKUP('Données projet'!$B$11,Paramètres!$A$1:$I$89,3,0)*VLOOKUP('Données projet'!$B$11,Paramètres!$A$1:$I$89,5,0)</f>
        <v>19.500686400000003</v>
      </c>
      <c r="BF9" s="13">
        <f t="shared" si="37"/>
        <v>6.3597516252130122</v>
      </c>
      <c r="BG9" s="20">
        <f t="shared" si="7"/>
        <v>45.040262893912661</v>
      </c>
      <c r="BH9" s="59">
        <f t="shared" si="8"/>
        <v>309.04026289391265</v>
      </c>
      <c r="BI9" s="59">
        <f ca="1">AVERAGE(OFFSET($BH$3,0,0,'Données projet'!$E$11+1,1))-AVERAGE(OFFSET($H$3,0,0,'Données projet'!$E$11+1,1))</f>
        <v>510.71380643466227</v>
      </c>
      <c r="BJ9" s="59">
        <f t="shared" si="38"/>
        <v>252.40654099948841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324.63510166210119</v>
      </c>
      <c r="S10" s="59">
        <f ca="1">AVERAGE(OFFSET($R$3,0,0,'Données projet'!$E$9+1,1))-AVERAGE(OFFSET($H$3,0,0,'Données projet'!$E$9+1,1))</f>
        <v>635.71275911100679</v>
      </c>
      <c r="T10" s="59">
        <f t="shared" si="34"/>
        <v>281.7776857269169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4.016578947368421</v>
      </c>
      <c r="AI10" s="13">
        <f>IF('Données projet'!$A$62&gt;35,AI9+AH10-AQ9,IF(A10&lt;'Données projet'!$A$62,$AF$205^A10,IF(A10='Données projet'!$A$62,'Données projet'!$B$62,AI9+AH10-AQ9)))</f>
        <v>28.116052631578953</v>
      </c>
      <c r="AJ10" s="13">
        <f>AI10*VLOOKUP('Données projet'!$B$10,Paramètres!$A$1:$I$89,3,0)*VLOOKUP('Données projet'!$B$10,Paramètres!$A$1:$I$89,5,0)</f>
        <v>30.264119052631585</v>
      </c>
      <c r="AK10" s="13">
        <f t="shared" si="35"/>
        <v>9.377780820695989</v>
      </c>
      <c r="AL10" s="20">
        <f t="shared" si="4"/>
        <v>69.042975612712198</v>
      </c>
      <c r="AM10" s="59">
        <f t="shared" si="5"/>
        <v>334.26519783493444</v>
      </c>
      <c r="AN10" s="59">
        <f ca="1">AVERAGE(OFFSET($AM$3,0,0,'Données projet'!$E$10+1,1))-AVERAGE(OFFSET($H$3,0,0,'Données projet'!$E$10+1,1))</f>
        <v>502.65044103360322</v>
      </c>
      <c r="AO10" s="59">
        <f t="shared" si="36"/>
        <v>321.65762891855167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3.3603333333333336</v>
      </c>
      <c r="BD10" s="12">
        <f>IF('Données projet'!$A$88&gt;35,BD9+BC10-BL9,IF(A10&lt;'Données projet'!$A$88,$BA$205^A10,IF(A10='Données projet'!$A$88,'Données projet'!$B$88,BD9+BC10-BL9)))</f>
        <v>23.522333333333336</v>
      </c>
      <c r="BE10" s="13">
        <f>BD10*VLOOKUP('Données projet'!$B$11,Paramètres!$A$1:$I$89,3,0)*VLOOKUP('Données projet'!$B$11,Paramètres!$A$1:$I$89,5,0)</f>
        <v>22.750800800000004</v>
      </c>
      <c r="BF10" s="13">
        <f t="shared" si="37"/>
        <v>7.2877646355645735</v>
      </c>
      <c r="BG10" s="20">
        <f t="shared" si="7"/>
        <v>52.317168133608305</v>
      </c>
      <c r="BH10" s="59">
        <f t="shared" si="8"/>
        <v>317.53939035583051</v>
      </c>
      <c r="BI10" s="59">
        <f ca="1">AVERAGE(OFFSET($BH$3,0,0,'Données projet'!$E$11+1,1))-AVERAGE(OFFSET($H$3,0,0,'Données projet'!$E$11+1,1))</f>
        <v>510.71380643466227</v>
      </c>
      <c r="BJ10" s="59">
        <f t="shared" si="38"/>
        <v>252.40654099948841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334.09372775654765</v>
      </c>
      <c r="S11" s="59">
        <f ca="1">AVERAGE(OFFSET($R$3,0,0,'Données projet'!$E$9+1,1))-AVERAGE(OFFSET($H$3,0,0,'Données projet'!$E$9+1,1))</f>
        <v>635.71275911100679</v>
      </c>
      <c r="T11" s="59">
        <f t="shared" si="34"/>
        <v>281.7776857269169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4.016578947368421</v>
      </c>
      <c r="AI11" s="13">
        <f>IF('Données projet'!$A$62&gt;35,AI10+AH11-AQ10,IF(A11&lt;'Données projet'!$A$62,$AF$205^A11,IF(A11='Données projet'!$A$62,'Données projet'!$B$62,AI10+AH11-AQ10)))</f>
        <v>32.132631578947375</v>
      </c>
      <c r="AJ11" s="13">
        <f>AI11*VLOOKUP('Données projet'!$B$10,Paramètres!$A$1:$I$89,3,0)*VLOOKUP('Données projet'!$B$10,Paramètres!$A$1:$I$89,5,0)</f>
        <v>34.587564631578957</v>
      </c>
      <c r="AK11" s="13">
        <f t="shared" si="35"/>
        <v>10.552169591581572</v>
      </c>
      <c r="AL11" s="20">
        <f t="shared" si="4"/>
        <v>78.618370438671249</v>
      </c>
      <c r="AM11" s="59">
        <f t="shared" si="5"/>
        <v>345.06281488311572</v>
      </c>
      <c r="AN11" s="59">
        <f ca="1">AVERAGE(OFFSET($AM$3,0,0,'Données projet'!$E$10+1,1))-AVERAGE(OFFSET($H$3,0,0,'Données projet'!$E$10+1,1))</f>
        <v>502.65044103360322</v>
      </c>
      <c r="AO11" s="59">
        <f t="shared" si="36"/>
        <v>321.65762891855167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3.3603333333333336</v>
      </c>
      <c r="BD11" s="12">
        <f>IF('Données projet'!$A$88&gt;35,BD10+BC11-BL10,IF(A11&lt;'Données projet'!$A$88,$BA$205^A11,IF(A11='Données projet'!$A$88,'Données projet'!$B$88,BD10+BC11-BL10)))</f>
        <v>26.882666666666669</v>
      </c>
      <c r="BE11" s="13">
        <f>BD11*VLOOKUP('Données projet'!$B$11,Paramètres!$A$1:$I$89,3,0)*VLOOKUP('Données projet'!$B$11,Paramètres!$A$1:$I$89,5,0)</f>
        <v>26.000915200000001</v>
      </c>
      <c r="BF11" s="13">
        <f t="shared" si="37"/>
        <v>8.2004186116498072</v>
      </c>
      <c r="BG11" s="20">
        <f t="shared" si="7"/>
        <v>59.567323055290082</v>
      </c>
      <c r="BH11" s="59">
        <f t="shared" si="8"/>
        <v>326.01176749973456</v>
      </c>
      <c r="BI11" s="59">
        <f ca="1">AVERAGE(OFFSET($BH$3,0,0,'Données projet'!$E$11+1,1))-AVERAGE(OFFSET($H$3,0,0,'Données projet'!$E$11+1,1))</f>
        <v>510.71380643466227</v>
      </c>
      <c r="BJ11" s="59">
        <f t="shared" si="38"/>
        <v>252.40654099948841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343.52650807098979</v>
      </c>
      <c r="S12" s="59">
        <f ca="1">AVERAGE(OFFSET($R$3,0,0,'Données projet'!$E$9+1,1))-AVERAGE(OFFSET($H$3,0,0,'Données projet'!$E$9+1,1))</f>
        <v>635.71275911100679</v>
      </c>
      <c r="T12" s="59">
        <f t="shared" si="34"/>
        <v>281.7776857269169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4.016578947368421</v>
      </c>
      <c r="AI12" s="13">
        <f>IF('Données projet'!$A$62&gt;35,AI11+AH12-AQ11,IF(A12&lt;'Données projet'!$A$62,$AF$205^A12,IF(A12='Données projet'!$A$62,'Données projet'!$B$62,AI11+AH12-AQ11)))</f>
        <v>36.149210526315798</v>
      </c>
      <c r="AJ12" s="13">
        <f>AI12*VLOOKUP('Données projet'!$B$10,Paramètres!$A$1:$I$89,3,0)*VLOOKUP('Données projet'!$B$10,Paramètres!$A$1:$I$89,5,0)</f>
        <v>38.911010210526321</v>
      </c>
      <c r="AK12" s="13">
        <f t="shared" si="35"/>
        <v>11.709548002335099</v>
      </c>
      <c r="AL12" s="20">
        <f t="shared" si="4"/>
        <v>88.164138887400284</v>
      </c>
      <c r="AM12" s="59">
        <f t="shared" si="5"/>
        <v>355.83080555406696</v>
      </c>
      <c r="AN12" s="59">
        <f ca="1">AVERAGE(OFFSET($AM$3,0,0,'Données projet'!$E$10+1,1))-AVERAGE(OFFSET($H$3,0,0,'Données projet'!$E$10+1,1))</f>
        <v>502.65044103360322</v>
      </c>
      <c r="AO12" s="59">
        <f t="shared" si="36"/>
        <v>321.65762891855167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3.3603333333333336</v>
      </c>
      <c r="BD12" s="12">
        <f>IF('Données projet'!$A$88&gt;35,BD11+BC12-BL11,IF(A12&lt;'Données projet'!$A$88,$BA$205^A12,IF(A12='Données projet'!$A$88,'Données projet'!$B$88,BD11+BC12-BL11)))</f>
        <v>30.243000000000002</v>
      </c>
      <c r="BE12" s="13">
        <f>BD12*VLOOKUP('Données projet'!$B$11,Paramètres!$A$1:$I$89,3,0)*VLOOKUP('Données projet'!$B$11,Paramètres!$A$1:$I$89,5,0)</f>
        <v>29.251029600000003</v>
      </c>
      <c r="BF12" s="13">
        <f t="shared" si="37"/>
        <v>9.0998533087415616</v>
      </c>
      <c r="BG12" s="20">
        <f t="shared" si="7"/>
        <v>66.794454399391569</v>
      </c>
      <c r="BH12" s="59">
        <f t="shared" si="8"/>
        <v>334.46112106605824</v>
      </c>
      <c r="BI12" s="59">
        <f ca="1">AVERAGE(OFFSET($BH$3,0,0,'Données projet'!$E$11+1,1))-AVERAGE(OFFSET($H$3,0,0,'Données projet'!$E$11+1,1))</f>
        <v>510.71380643466227</v>
      </c>
      <c r="BJ12" s="59">
        <f t="shared" si="38"/>
        <v>252.40654099948841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352.93664194546818</v>
      </c>
      <c r="S13" s="59">
        <f ca="1">AVERAGE(OFFSET($R$3,0,0,'Données projet'!$E$9+1,1))-AVERAGE(OFFSET($H$3,0,0,'Données projet'!$E$9+1,1))</f>
        <v>635.71275911100679</v>
      </c>
      <c r="T13" s="59">
        <f t="shared" si="34"/>
        <v>281.7776857269169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4.016578947368421</v>
      </c>
      <c r="AI13" s="13">
        <f>IF('Données projet'!$A$62&gt;35,AI12+AH13-AQ12,IF(A13&lt;'Données projet'!$A$62,$AF$205^A13,IF(A13='Données projet'!$A$62,'Données projet'!$B$62,AI12+AH13-AQ12)))</f>
        <v>40.165789473684221</v>
      </c>
      <c r="AJ13" s="13">
        <f>AI13*VLOOKUP('Données projet'!$B$10,Paramètres!$A$1:$I$89,3,0)*VLOOKUP('Données projet'!$B$10,Paramètres!$A$1:$I$89,5,0)</f>
        <v>43.234455789473692</v>
      </c>
      <c r="AK13" s="13">
        <f t="shared" si="35"/>
        <v>12.852021693655693</v>
      </c>
      <c r="AL13" s="20">
        <f t="shared" si="4"/>
        <v>97.683948283117005</v>
      </c>
      <c r="AM13" s="59">
        <f t="shared" si="5"/>
        <v>366.57283717200585</v>
      </c>
      <c r="AN13" s="59">
        <f ca="1">AVERAGE(OFFSET($AM$3,0,0,'Données projet'!$E$10+1,1))-AVERAGE(OFFSET($H$3,0,0,'Données projet'!$E$10+1,1))</f>
        <v>502.65044103360322</v>
      </c>
      <c r="AO13" s="59">
        <f t="shared" si="36"/>
        <v>321.65762891855167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3.3603333333333336</v>
      </c>
      <c r="BD13" s="12">
        <f>IF('Données projet'!$A$88&gt;35,BD12+BC13-BL12,IF(A13&lt;'Données projet'!$A$88,$BA$205^A13,IF(A13='Données projet'!$A$88,'Données projet'!$B$88,BD12+BC13-BL12)))</f>
        <v>33.603333333333339</v>
      </c>
      <c r="BE13" s="13">
        <f>BD13*VLOOKUP('Données projet'!$B$11,Paramètres!$A$1:$I$89,3,0)*VLOOKUP('Données projet'!$B$11,Paramètres!$A$1:$I$89,5,0)</f>
        <v>32.501144000000004</v>
      </c>
      <c r="BF13" s="13">
        <f t="shared" si="37"/>
        <v>9.9877050856026894</v>
      </c>
      <c r="BG13" s="20">
        <f t="shared" si="7"/>
        <v>74.001412157424696</v>
      </c>
      <c r="BH13" s="59">
        <f t="shared" si="8"/>
        <v>342.89030104631354</v>
      </c>
      <c r="BI13" s="59">
        <f ca="1">AVERAGE(OFFSET($BH$3,0,0,'Données projet'!$E$11+1,1))-AVERAGE(OFFSET($H$3,0,0,'Données projet'!$E$11+1,1))</f>
        <v>510.71380643466227</v>
      </c>
      <c r="BJ13" s="59">
        <f t="shared" si="38"/>
        <v>252.40654099948841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362.32665182456407</v>
      </c>
      <c r="S14" s="59">
        <f ca="1">AVERAGE(OFFSET($R$3,0,0,'Données projet'!$E$9+1,1))-AVERAGE(OFFSET($H$3,0,0,'Données projet'!$E$9+1,1))</f>
        <v>635.71275911100679</v>
      </c>
      <c r="T14" s="59">
        <f t="shared" si="34"/>
        <v>281.7776857269169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4.016578947368421</v>
      </c>
      <c r="AI14" s="13">
        <f>IF('Données projet'!$A$62&gt;35,AI13+AH14-AQ13,IF(A14&lt;'Données projet'!$A$62,$AF$205^A14,IF(A14='Données projet'!$A$62,'Données projet'!$B$62,AI13+AH14-AQ13)))</f>
        <v>44.182368421052644</v>
      </c>
      <c r="AJ14" s="13">
        <f>AI14*VLOOKUP('Données projet'!$B$10,Paramètres!$A$1:$I$89,3,0)*VLOOKUP('Données projet'!$B$10,Paramètres!$A$1:$I$89,5,0)</f>
        <v>47.557901368421064</v>
      </c>
      <c r="AK14" s="13">
        <f t="shared" si="35"/>
        <v>13.981250808542729</v>
      </c>
      <c r="AL14" s="20">
        <f t="shared" si="4"/>
        <v>107.18069004154528</v>
      </c>
      <c r="AM14" s="59">
        <f t="shared" si="5"/>
        <v>377.29180115265643</v>
      </c>
      <c r="AN14" s="59">
        <f ca="1">AVERAGE(OFFSET($AM$3,0,0,'Données projet'!$E$10+1,1))-AVERAGE(OFFSET($H$3,0,0,'Données projet'!$E$10+1,1))</f>
        <v>502.65044103360322</v>
      </c>
      <c r="AO14" s="59">
        <f t="shared" si="36"/>
        <v>321.65762891855167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3.3603333333333336</v>
      </c>
      <c r="BD14" s="12">
        <f>IF('Données projet'!$A$88&gt;35,BD13+BC14-BL13,IF(A14&lt;'Données projet'!$A$88,$BA$205^A14,IF(A14='Données projet'!$A$88,'Données projet'!$B$88,BD13+BC14-BL13)))</f>
        <v>36.963666666666676</v>
      </c>
      <c r="BE14" s="13">
        <f>BD14*VLOOKUP('Données projet'!$B$11,Paramètres!$A$1:$I$89,3,0)*VLOOKUP('Données projet'!$B$11,Paramètres!$A$1:$I$89,5,0)</f>
        <v>35.751258400000005</v>
      </c>
      <c r="BF14" s="13">
        <f t="shared" si="37"/>
        <v>10.865264090901857</v>
      </c>
      <c r="BG14" s="20">
        <f t="shared" si="7"/>
        <v>81.190443338320719</v>
      </c>
      <c r="BH14" s="59">
        <f t="shared" si="8"/>
        <v>351.30155444943188</v>
      </c>
      <c r="BI14" s="59">
        <f ca="1">AVERAGE(OFFSET($BH$3,0,0,'Données projet'!$E$11+1,1))-AVERAGE(OFFSET($H$3,0,0,'Données projet'!$E$11+1,1))</f>
        <v>510.71380643466227</v>
      </c>
      <c r="BJ14" s="59">
        <f t="shared" si="38"/>
        <v>252.40654099948841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371.69857522127575</v>
      </c>
      <c r="S15" s="59">
        <f ca="1">AVERAGE(OFFSET($R$3,0,0,'Données projet'!$E$9+1,1))-AVERAGE(OFFSET($H$3,0,0,'Données projet'!$E$9+1,1))</f>
        <v>635.71275911100679</v>
      </c>
      <c r="T15" s="59">
        <f t="shared" si="34"/>
        <v>281.7776857269169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4.016578947368421</v>
      </c>
      <c r="AI15" s="13">
        <f>IF('Données projet'!$A$62&gt;35,AI14+AH15-AQ14,IF(A15&lt;'Données projet'!$A$62,$AF$205^A15,IF(A15='Données projet'!$A$62,'Données projet'!$B$62,AI14+AH15-AQ14)))</f>
        <v>48.198947368421067</v>
      </c>
      <c r="AJ15" s="13">
        <f>AI15*VLOOKUP('Données projet'!$B$10,Paramètres!$A$1:$I$89,3,0)*VLOOKUP('Données projet'!$B$10,Paramètres!$A$1:$I$89,5,0)</f>
        <v>51.881346947368428</v>
      </c>
      <c r="AK15" s="13">
        <f t="shared" si="35"/>
        <v>15.098576333024555</v>
      </c>
      <c r="AL15" s="20">
        <f t="shared" si="4"/>
        <v>116.6566997133511</v>
      </c>
      <c r="AM15" s="59">
        <f t="shared" si="5"/>
        <v>387.9900330466844</v>
      </c>
      <c r="AN15" s="59">
        <f ca="1">AVERAGE(OFFSET($AM$3,0,0,'Données projet'!$E$10+1,1))-AVERAGE(OFFSET($H$3,0,0,'Données projet'!$E$10+1,1))</f>
        <v>502.65044103360322</v>
      </c>
      <c r="AO15" s="59">
        <f t="shared" si="36"/>
        <v>321.65762891855167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3.3603333333333336</v>
      </c>
      <c r="BD15" s="12">
        <f>IF('Données projet'!$A$88&gt;35,BD14+BC15-BL14,IF(A15&lt;'Données projet'!$A$88,$BA$205^A15,IF(A15='Données projet'!$A$88,'Données projet'!$B$88,BD14+BC15-BL14)))</f>
        <v>40.324000000000012</v>
      </c>
      <c r="BE15" s="13">
        <f>BD15*VLOOKUP('Données projet'!$B$11,Paramètres!$A$1:$I$89,3,0)*VLOOKUP('Données projet'!$B$11,Paramètres!$A$1:$I$89,5,0)</f>
        <v>39.001372800000013</v>
      </c>
      <c r="BF15" s="13">
        <f t="shared" si="37"/>
        <v>11.733572446516416</v>
      </c>
      <c r="BG15" s="20">
        <f t="shared" si="7"/>
        <v>88.363362971016116</v>
      </c>
      <c r="BH15" s="59">
        <f t="shared" si="8"/>
        <v>359.69669630434942</v>
      </c>
      <c r="BI15" s="59">
        <f ca="1">AVERAGE(OFFSET($BH$3,0,0,'Données projet'!$E$11+1,1))-AVERAGE(OFFSET($H$3,0,0,'Données projet'!$E$11+1,1))</f>
        <v>510.71380643466227</v>
      </c>
      <c r="BJ15" s="59">
        <f t="shared" si="38"/>
        <v>252.40654099948841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381.05409069850413</v>
      </c>
      <c r="S16" s="59">
        <f ca="1">AVERAGE(OFFSET($R$3,0,0,'Données projet'!$E$9+1,1))-AVERAGE(OFFSET($H$3,0,0,'Données projet'!$E$9+1,1))</f>
        <v>635.71275911100679</v>
      </c>
      <c r="T16" s="59">
        <f t="shared" si="34"/>
        <v>281.7776857269169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4.016578947368421</v>
      </c>
      <c r="AI16" s="13">
        <f>IF('Données projet'!$A$62&gt;35,AI15+AH16-AQ15,IF(A16&lt;'Données projet'!$A$62,$AF$205^A16,IF(A16='Données projet'!$A$62,'Données projet'!$B$62,AI15+AH16-AQ15)))</f>
        <v>52.215526315789489</v>
      </c>
      <c r="AJ16" s="13">
        <f>AI16*VLOOKUP('Données projet'!$B$10,Paramètres!$A$1:$I$89,3,0)*VLOOKUP('Données projet'!$B$10,Paramètres!$A$1:$I$89,5,0)</f>
        <v>56.204792526315799</v>
      </c>
      <c r="AK16" s="13">
        <f t="shared" si="35"/>
        <v>16.205103010677917</v>
      </c>
      <c r="AL16" s="20">
        <f t="shared" si="4"/>
        <v>126.1139013935974</v>
      </c>
      <c r="AM16" s="59">
        <f t="shared" si="5"/>
        <v>398.66945694915296</v>
      </c>
      <c r="AN16" s="59">
        <f ca="1">AVERAGE(OFFSET($AM$3,0,0,'Données projet'!$E$10+1,1))-AVERAGE(OFFSET($H$3,0,0,'Données projet'!$E$10+1,1))</f>
        <v>502.65044103360322</v>
      </c>
      <c r="AO16" s="59">
        <f t="shared" si="36"/>
        <v>321.65762891855167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3.3603333333333336</v>
      </c>
      <c r="BD16" s="12">
        <f>IF('Données projet'!$A$88&gt;35,BD15+BC16-BL15,IF(A16&lt;'Données projet'!$A$88,$BA$205^A16,IF(A16='Données projet'!$A$88,'Données projet'!$B$88,BD15+BC16-BL15)))</f>
        <v>43.684333333333349</v>
      </c>
      <c r="BE16" s="13">
        <f>BD16*VLOOKUP('Données projet'!$B$11,Paramètres!$A$1:$I$89,3,0)*VLOOKUP('Données projet'!$B$11,Paramètres!$A$1:$I$89,5,0)</f>
        <v>42.251487200000021</v>
      </c>
      <c r="BF16" s="13">
        <f t="shared" si="37"/>
        <v>12.593488682979761</v>
      </c>
      <c r="BG16" s="20">
        <f t="shared" si="7"/>
        <v>95.521666329523114</v>
      </c>
      <c r="BH16" s="59">
        <f t="shared" si="8"/>
        <v>368.07722188507864</v>
      </c>
      <c r="BI16" s="59">
        <f ca="1">AVERAGE(OFFSET($BH$3,0,0,'Données projet'!$E$11+1,1))-AVERAGE(OFFSET($H$3,0,0,'Données projet'!$E$11+1,1))</f>
        <v>510.71380643466227</v>
      </c>
      <c r="BJ16" s="59">
        <f t="shared" si="38"/>
        <v>252.40654099948841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390.39460390898455</v>
      </c>
      <c r="S17" s="59">
        <f ca="1">AVERAGE(OFFSET($R$3,0,0,'Données projet'!$E$9+1,1))-AVERAGE(OFFSET($H$3,0,0,'Données projet'!$E$9+1,1))</f>
        <v>635.71275911100679</v>
      </c>
      <c r="T17" s="59">
        <f t="shared" si="34"/>
        <v>281.7776857269169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4.016578947368421</v>
      </c>
      <c r="AI17" s="13">
        <f>IF('Données projet'!$A$62&gt;35,AI16+AH17-AQ16,IF(A17&lt;'Données projet'!$A$62,$AF$205^A17,IF(A17='Données projet'!$A$62,'Données projet'!$B$62,AI16+AH17-AQ16)))</f>
        <v>56.232105263157912</v>
      </c>
      <c r="AJ17" s="13">
        <f>AI17*VLOOKUP('Données projet'!$B$10,Paramètres!$A$1:$I$89,3,0)*VLOOKUP('Données projet'!$B$10,Paramètres!$A$1:$I$89,5,0)</f>
        <v>60.528238105263171</v>
      </c>
      <c r="AK17" s="13">
        <f t="shared" si="35"/>
        <v>17.301755969676424</v>
      </c>
      <c r="AL17" s="20">
        <f t="shared" si="4"/>
        <v>135.55390634718643</v>
      </c>
      <c r="AM17" s="59">
        <f t="shared" si="5"/>
        <v>409.33168412496423</v>
      </c>
      <c r="AN17" s="59">
        <f ca="1">AVERAGE(OFFSET($AM$3,0,0,'Données projet'!$E$10+1,1))-AVERAGE(OFFSET($H$3,0,0,'Données projet'!$E$10+1,1))</f>
        <v>502.65044103360322</v>
      </c>
      <c r="AO17" s="59">
        <f t="shared" si="36"/>
        <v>321.65762891855167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3.3603333333333336</v>
      </c>
      <c r="BD17" s="12">
        <f>IF('Données projet'!$A$88&gt;35,BD16+BC17-BL16,IF(A17&lt;'Données projet'!$A$88,$BA$205^A17,IF(A17='Données projet'!$A$88,'Données projet'!$B$88,BD16+BC17-BL16)))</f>
        <v>47.044666666666686</v>
      </c>
      <c r="BE17" s="13">
        <f>BD17*VLOOKUP('Données projet'!$B$11,Paramètres!$A$1:$I$89,3,0)*VLOOKUP('Données projet'!$B$11,Paramètres!$A$1:$I$89,5,0)</f>
        <v>45.501601600000022</v>
      </c>
      <c r="BF17" s="13">
        <f t="shared" si="37"/>
        <v>13.445731746118797</v>
      </c>
      <c r="BG17" s="20">
        <f t="shared" si="7"/>
        <v>102.6666055778236</v>
      </c>
      <c r="BH17" s="59">
        <f t="shared" si="8"/>
        <v>376.44438335560136</v>
      </c>
      <c r="BI17" s="59">
        <f ca="1">AVERAGE(OFFSET($BH$3,0,0,'Données projet'!$E$11+1,1))-AVERAGE(OFFSET($H$3,0,0,'Données projet'!$E$11+1,1))</f>
        <v>510.71380643466227</v>
      </c>
      <c r="BJ17" s="59">
        <f t="shared" si="38"/>
        <v>252.40654099948841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399.72130831921697</v>
      </c>
      <c r="S18" s="59">
        <f ca="1">AVERAGE(OFFSET($R$3,0,0,'Données projet'!$E$9+1,1))-AVERAGE(OFFSET($H$3,0,0,'Données projet'!$E$9+1,1))</f>
        <v>635.71275911100679</v>
      </c>
      <c r="T18" s="59">
        <f t="shared" si="34"/>
        <v>281.7776857269169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4.016578947368421</v>
      </c>
      <c r="AI18" s="13">
        <f>IF('Données projet'!$A$62&gt;35,AI17+AH18-AQ17,IF(A18&lt;'Données projet'!$A$62,$AF$205^A18,IF(A18='Données projet'!$A$62,'Données projet'!$B$62,AI17+AH18-AQ17)))</f>
        <v>60.248684210526335</v>
      </c>
      <c r="AJ18" s="13">
        <f>AI18*VLOOKUP('Données projet'!$B$10,Paramètres!$A$1:$I$89,3,0)*VLOOKUP('Données projet'!$B$10,Paramètres!$A$1:$I$89,5,0)</f>
        <v>64.851683684210556</v>
      </c>
      <c r="AK18" s="13">
        <f t="shared" si="35"/>
        <v>18.389320688150931</v>
      </c>
      <c r="AL18" s="20">
        <f t="shared" si="4"/>
        <v>144.97808261519626</v>
      </c>
      <c r="AM18" s="59">
        <f t="shared" si="5"/>
        <v>419.97808261519629</v>
      </c>
      <c r="AN18" s="59">
        <f ca="1">AVERAGE(OFFSET($AM$3,0,0,'Données projet'!$E$10+1,1))-AVERAGE(OFFSET($H$3,0,0,'Données projet'!$E$10+1,1))</f>
        <v>502.65044103360322</v>
      </c>
      <c r="AO18" s="59">
        <f t="shared" si="36"/>
        <v>321.65762891855167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3.3603333333333336</v>
      </c>
      <c r="BD18" s="12">
        <f>IF('Données projet'!$A$88&gt;35,BD17+BC18-BL17,IF(A18&lt;'Données projet'!$A$88,$BA$205^A18,IF(A18='Données projet'!$A$88,'Données projet'!$B$88,BD17+BC18-BL17)))</f>
        <v>50.405000000000022</v>
      </c>
      <c r="BE18" s="13">
        <f>BD18*VLOOKUP('Données projet'!$B$11,Paramètres!$A$1:$I$89,3,0)*VLOOKUP('Données projet'!$B$11,Paramètres!$A$1:$I$89,5,0)</f>
        <v>48.751716000000023</v>
      </c>
      <c r="BF18" s="13">
        <f t="shared" si="37"/>
        <v>14.290912055376443</v>
      </c>
      <c r="BG18" s="20">
        <f t="shared" si="7"/>
        <v>109.79924386311403</v>
      </c>
      <c r="BH18" s="59">
        <f t="shared" si="8"/>
        <v>384.79924386311404</v>
      </c>
      <c r="BI18" s="59">
        <f ca="1">AVERAGE(OFFSET($BH$3,0,0,'Données projet'!$E$11+1,1))-AVERAGE(OFFSET($H$3,0,0,'Données projet'!$E$11+1,1))</f>
        <v>510.71380643466227</v>
      </c>
      <c r="BJ18" s="59">
        <f t="shared" si="38"/>
        <v>252.40654099948841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409.03522926417997</v>
      </c>
      <c r="S19" s="59">
        <f ca="1">AVERAGE(OFFSET($R$3,0,0,'Données projet'!$E$9+1,1))-AVERAGE(OFFSET($H$3,0,0,'Données projet'!$E$9+1,1))</f>
        <v>635.71275911100679</v>
      </c>
      <c r="T19" s="59">
        <f t="shared" si="34"/>
        <v>281.7776857269169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4.016578947368421</v>
      </c>
      <c r="AI19" s="13">
        <f>IF('Données projet'!$A$62&gt;35,AI18+AH19-AQ18,IF(A19&lt;'Données projet'!$A$62,$AF$205^A19,IF(A19='Données projet'!$A$62,'Données projet'!$B$62,AI18+AH19-AQ18)))</f>
        <v>64.265263157894751</v>
      </c>
      <c r="AJ19" s="13">
        <f>AI19*VLOOKUP('Données projet'!$B$10,Paramètres!$A$1:$I$89,3,0)*VLOOKUP('Données projet'!$B$10,Paramètres!$A$1:$I$89,5,0)</f>
        <v>69.175129263157913</v>
      </c>
      <c r="AK19" s="13">
        <f t="shared" si="35"/>
        <v>19.468471988731622</v>
      </c>
      <c r="AL19" s="20">
        <f t="shared" si="4"/>
        <v>154.3876055137076</v>
      </c>
      <c r="AM19" s="59">
        <f t="shared" si="5"/>
        <v>430.6098277359298</v>
      </c>
      <c r="AN19" s="59">
        <f ca="1">AVERAGE(OFFSET($AM$3,0,0,'Données projet'!$E$10+1,1))-AVERAGE(OFFSET($H$3,0,0,'Données projet'!$E$10+1,1))</f>
        <v>502.65044103360322</v>
      </c>
      <c r="AO19" s="59">
        <f t="shared" si="36"/>
        <v>321.65762891855167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3.3603333333333336</v>
      </c>
      <c r="BD19" s="12">
        <f>IF('Données projet'!$A$88&gt;35,BD18+BC19-BL18,IF(A19&lt;'Données projet'!$A$88,$BA$205^A19,IF(A19='Données projet'!$A$88,'Données projet'!$B$88,BD18+BC19-BL18)))</f>
        <v>53.765333333333359</v>
      </c>
      <c r="BE19" s="13">
        <f>BD19*VLOOKUP('Données projet'!$B$11,Paramètres!$A$1:$I$89,3,0)*VLOOKUP('Données projet'!$B$11,Paramètres!$A$1:$I$89,5,0)</f>
        <v>52.001830400000031</v>
      </c>
      <c r="BF19" s="13">
        <f t="shared" si="37"/>
        <v>15.129554036370385</v>
      </c>
      <c r="BG19" s="20">
        <f t="shared" si="7"/>
        <v>116.92049456001179</v>
      </c>
      <c r="BH19" s="59">
        <f t="shared" si="8"/>
        <v>393.142716782234</v>
      </c>
      <c r="BI19" s="59">
        <f ca="1">AVERAGE(OFFSET($BH$3,0,0,'Données projet'!$E$11+1,1))-AVERAGE(OFFSET($H$3,0,0,'Données projet'!$E$11+1,1))</f>
        <v>510.71380643466227</v>
      </c>
      <c r="BJ19" s="59">
        <f t="shared" si="38"/>
        <v>252.40654099948841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418.33725666796488</v>
      </c>
      <c r="S20" s="59">
        <f ca="1">AVERAGE(OFFSET($R$3,0,0,'Données projet'!$E$9+1,1))-AVERAGE(OFFSET($H$3,0,0,'Données projet'!$E$9+1,1))</f>
        <v>635.71275911100679</v>
      </c>
      <c r="T20" s="59">
        <f t="shared" si="34"/>
        <v>281.7776857269169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4.016578947368421</v>
      </c>
      <c r="AI20" s="13">
        <f>IF('Données projet'!$A$62&gt;35,AI19+AH20-AQ19,IF(A20&lt;'Données projet'!$A$62,$AF$205^A20,IF(A20='Données projet'!$A$62,'Données projet'!$B$62,AI19+AH20-AQ19)))</f>
        <v>68.281842105263166</v>
      </c>
      <c r="AJ20" s="13">
        <f>AI20*VLOOKUP('Données projet'!$B$10,Paramètres!$A$1:$I$89,3,0)*VLOOKUP('Données projet'!$B$10,Paramètres!$A$1:$I$89,5,0)</f>
        <v>73.49857484210527</v>
      </c>
      <c r="AK20" s="13">
        <f t="shared" si="35"/>
        <v>20.53979557358269</v>
      </c>
      <c r="AL20" s="20">
        <f t="shared" si="4"/>
        <v>163.78349514065653</v>
      </c>
      <c r="AM20" s="59">
        <f t="shared" si="5"/>
        <v>441.22793958510101</v>
      </c>
      <c r="AN20" s="59">
        <f ca="1">AVERAGE(OFFSET($AM$3,0,0,'Données projet'!$E$10+1,1))-AVERAGE(OFFSET($H$3,0,0,'Données projet'!$E$10+1,1))</f>
        <v>502.65044103360322</v>
      </c>
      <c r="AO20" s="59">
        <f t="shared" si="36"/>
        <v>321.65762891855167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3.3603333333333336</v>
      </c>
      <c r="BD20" s="12">
        <f>IF('Données projet'!$A$88&gt;35,BD19+BC20-BL19,IF(A20&lt;'Données projet'!$A$88,$BA$205^A20,IF(A20='Données projet'!$A$88,'Données projet'!$B$88,BD19+BC20-BL19)))</f>
        <v>57.125666666666696</v>
      </c>
      <c r="BE20" s="13">
        <f>BD20*VLOOKUP('Données projet'!$B$11,Paramètres!$A$1:$I$89,3,0)*VLOOKUP('Données projet'!$B$11,Paramètres!$A$1:$I$89,5,0)</f>
        <v>55.251944800000032</v>
      </c>
      <c r="BF20" s="13">
        <f t="shared" si="37"/>
        <v>15.962112856437207</v>
      </c>
      <c r="BG20" s="20">
        <f t="shared" si="7"/>
        <v>124.03115041829483</v>
      </c>
      <c r="BH20" s="59">
        <f t="shared" si="8"/>
        <v>401.47559486273929</v>
      </c>
      <c r="BI20" s="59">
        <f ca="1">AVERAGE(OFFSET($BH$3,0,0,'Données projet'!$E$11+1,1))-AVERAGE(OFFSET($H$3,0,0,'Données projet'!$E$11+1,1))</f>
        <v>510.71380643466227</v>
      </c>
      <c r="BJ20" s="59">
        <f t="shared" si="38"/>
        <v>252.40654099948841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427.62816984330391</v>
      </c>
      <c r="S21" s="59">
        <f ca="1">AVERAGE(OFFSET($R$3,0,0,'Données projet'!$E$9+1,1))-AVERAGE(OFFSET($H$3,0,0,'Données projet'!$E$9+1,1))</f>
        <v>635.71275911100679</v>
      </c>
      <c r="T21" s="59">
        <f t="shared" si="34"/>
        <v>281.7776857269169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4.016578947368421</v>
      </c>
      <c r="AI21" s="13">
        <f>IF('Données projet'!$A$62&gt;35,AI20+AH21-AQ20,IF(A21&lt;'Données projet'!$A$62,$AF$205^A21,IF(A21='Données projet'!$A$62,'Données projet'!$B$62,AI20+AH21-AQ20)))</f>
        <v>72.298421052631582</v>
      </c>
      <c r="AJ21" s="13">
        <f>AI21*VLOOKUP('Données projet'!$B$10,Paramètres!$A$1:$I$89,3,0)*VLOOKUP('Données projet'!$B$10,Paramètres!$A$1:$I$89,5,0)</f>
        <v>77.822020421052642</v>
      </c>
      <c r="AK21" s="13">
        <f t="shared" si="35"/>
        <v>21.603804346173444</v>
      </c>
      <c r="AL21" s="20">
        <f t="shared" si="4"/>
        <v>173.16664480291877</v>
      </c>
      <c r="AM21" s="59">
        <f t="shared" si="5"/>
        <v>451.83331146958545</v>
      </c>
      <c r="AN21" s="59">
        <f ca="1">AVERAGE(OFFSET($AM$3,0,0,'Données projet'!$E$10+1,1))-AVERAGE(OFFSET($H$3,0,0,'Données projet'!$E$10+1,1))</f>
        <v>502.65044103360322</v>
      </c>
      <c r="AO21" s="59">
        <f t="shared" si="36"/>
        <v>321.65762891855167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3.3603333333333336</v>
      </c>
      <c r="BD21" s="12">
        <f>IF('Données projet'!$A$88&gt;35,BD20+BC21-BL20,IF(A21&lt;'Données projet'!$A$88,$BA$205^A21,IF(A21='Données projet'!$A$88,'Données projet'!$B$88,BD20+BC21-BL20)))</f>
        <v>60.486000000000033</v>
      </c>
      <c r="BE21" s="13">
        <f>BD21*VLOOKUP('Données projet'!$B$11,Paramètres!$A$1:$I$89,3,0)*VLOOKUP('Données projet'!$B$11,Paramètres!$A$1:$I$89,5,0)</f>
        <v>58.502059200000033</v>
      </c>
      <c r="BF21" s="13">
        <f t="shared" si="37"/>
        <v>16.788987108787442</v>
      </c>
      <c r="BG21" s="20">
        <f t="shared" si="7"/>
        <v>131.13190565447152</v>
      </c>
      <c r="BH21" s="59">
        <f t="shared" si="8"/>
        <v>409.79857232113818</v>
      </c>
      <c r="BI21" s="59">
        <f ca="1">AVERAGE(OFFSET($BH$3,0,0,'Données projet'!$E$11+1,1))-AVERAGE(OFFSET($H$3,0,0,'Données projet'!$E$11+1,1))</f>
        <v>510.71380643466227</v>
      </c>
      <c r="BJ21" s="59">
        <f t="shared" si="38"/>
        <v>252.40654099948841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436.9086566220966</v>
      </c>
      <c r="S22" s="59">
        <f ca="1">AVERAGE(OFFSET($R$3,0,0,'Données projet'!$E$9+1,1))-AVERAGE(OFFSET($H$3,0,0,'Données projet'!$E$9+1,1))</f>
        <v>635.71275911100679</v>
      </c>
      <c r="T22" s="59">
        <f t="shared" si="34"/>
        <v>281.7776857269169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4.016578947368421</v>
      </c>
      <c r="AI22" s="13">
        <f>IF('Données projet'!$A$62&gt;35,AI21+AH22-AQ21,IF(A22&lt;'Données projet'!$A$62,$AF$205^A22,IF(A22='Données projet'!$A$62,'Données projet'!$B$62,AI21+AH22-AQ21)))</f>
        <v>76.314999999999998</v>
      </c>
      <c r="AJ22" s="13">
        <f>AI22*VLOOKUP('Données projet'!$B$10,Paramètres!$A$1:$I$89,3,0)*VLOOKUP('Données projet'!$B$10,Paramètres!$A$1:$I$89,5,0)</f>
        <v>82.145465999999999</v>
      </c>
      <c r="AK22" s="13">
        <f t="shared" si="35"/>
        <v>22.660951002004662</v>
      </c>
      <c r="AL22" s="20">
        <f t="shared" si="4"/>
        <v>182.53784294515813</v>
      </c>
      <c r="AM22" s="59">
        <f t="shared" si="5"/>
        <v>462.42673183404702</v>
      </c>
      <c r="AN22" s="59">
        <f ca="1">AVERAGE(OFFSET($AM$3,0,0,'Données projet'!$E$10+1,1))-AVERAGE(OFFSET($H$3,0,0,'Données projet'!$E$10+1,1))</f>
        <v>502.65044103360322</v>
      </c>
      <c r="AO22" s="59">
        <f t="shared" si="36"/>
        <v>321.65762891855167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3.3603333333333336</v>
      </c>
      <c r="BD22" s="12">
        <f>IF('Données projet'!$A$88&gt;35,BD21+BC22-BL21,IF(A22&lt;'Données projet'!$A$88,$BA$205^A22,IF(A22='Données projet'!$A$88,'Données projet'!$B$88,BD21+BC22-BL21)))</f>
        <v>63.846333333333369</v>
      </c>
      <c r="BE22" s="13">
        <f>BD22*VLOOKUP('Données projet'!$B$11,Paramètres!$A$1:$I$89,3,0)*VLOOKUP('Données projet'!$B$11,Paramètres!$A$1:$I$89,5,0)</f>
        <v>61.752173600000035</v>
      </c>
      <c r="BF22" s="13">
        <f t="shared" si="37"/>
        <v>17.610528597149965</v>
      </c>
      <c r="BG22" s="20">
        <f t="shared" si="7"/>
        <v>138.22337299336959</v>
      </c>
      <c r="BH22" s="59">
        <f t="shared" si="8"/>
        <v>418.11226188225845</v>
      </c>
      <c r="BI22" s="59">
        <f ca="1">AVERAGE(OFFSET($BH$3,0,0,'Données projet'!$E$11+1,1))-AVERAGE(OFFSET($H$3,0,0,'Données projet'!$E$11+1,1))</f>
        <v>510.71380643466227</v>
      </c>
      <c r="BJ22" s="59">
        <f t="shared" si="38"/>
        <v>252.40654099948841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446.17932834356225</v>
      </c>
      <c r="S23" s="59">
        <f ca="1">AVERAGE(OFFSET($R$3,0,0,'Données projet'!$E$9+1,1))-AVERAGE(OFFSET($H$3,0,0,'Données projet'!$E$9+1,1))</f>
        <v>635.71275911100679</v>
      </c>
      <c r="T23" s="59">
        <f t="shared" si="34"/>
        <v>281.7776857269169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4.016578947368421</v>
      </c>
      <c r="AI23" s="13">
        <f>IF('Données projet'!$A$62&gt;35,AI22+AH23-AQ22,IF(A23&lt;'Données projet'!$A$62,$AF$205^A23,IF(A23='Données projet'!$A$62,'Données projet'!$B$62,AI22+AH23-AQ22)))</f>
        <v>80.331578947368413</v>
      </c>
      <c r="AJ23" s="13">
        <f>AI23*VLOOKUP('Données projet'!$B$10,Paramètres!$A$1:$I$89,3,0)*VLOOKUP('Données projet'!$B$10,Paramètres!$A$1:$I$89,5,0)</f>
        <v>86.468911578947356</v>
      </c>
      <c r="AK23" s="13">
        <f t="shared" si="35"/>
        <v>23.711637893037807</v>
      </c>
      <c r="AL23" s="20">
        <f t="shared" si="4"/>
        <v>191.89779033037416</v>
      </c>
      <c r="AM23" s="59">
        <f t="shared" si="5"/>
        <v>473.00890144148531</v>
      </c>
      <c r="AN23" s="59">
        <f ca="1">AVERAGE(OFFSET($AM$3,0,0,'Données projet'!$E$10+1,1))-AVERAGE(OFFSET($H$3,0,0,'Données projet'!$E$10+1,1))</f>
        <v>502.65044103360322</v>
      </c>
      <c r="AO23" s="59">
        <f t="shared" si="36"/>
        <v>321.65762891855167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3.3603333333333336</v>
      </c>
      <c r="BD23" s="12">
        <f>IF('Données projet'!$A$88&gt;35,BD22+BC23-BL22,IF(A23&lt;'Données projet'!$A$88,$BA$205^A23,IF(A23='Données projet'!$A$88,'Données projet'!$B$88,BD22+BC23-BL22)))</f>
        <v>67.206666666666706</v>
      </c>
      <c r="BE23" s="13">
        <f>BD23*VLOOKUP('Données projet'!$B$11,Paramètres!$A$1:$I$89,3,0)*VLOOKUP('Données projet'!$B$11,Paramètres!$A$1:$I$89,5,0)</f>
        <v>65.002288000000036</v>
      </c>
      <c r="BF23" s="13">
        <f t="shared" si="37"/>
        <v>18.427050001726204</v>
      </c>
      <c r="BG23" s="20">
        <f t="shared" si="7"/>
        <v>145.30609701967319</v>
      </c>
      <c r="BH23" s="59">
        <f t="shared" si="8"/>
        <v>426.41720813078433</v>
      </c>
      <c r="BI23" s="59">
        <f ca="1">AVERAGE(OFFSET($BH$3,0,0,'Données projet'!$E$11+1,1))-AVERAGE(OFFSET($H$3,0,0,'Données projet'!$E$11+1,1))</f>
        <v>510.71380643466227</v>
      </c>
      <c r="BJ23" s="59">
        <f t="shared" si="38"/>
        <v>252.40654099948841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455.44073175957362</v>
      </c>
      <c r="S24" s="59">
        <f ca="1">AVERAGE(OFFSET($R$3,0,0,'Données projet'!$E$9+1,1))-AVERAGE(OFFSET($H$3,0,0,'Données projet'!$E$9+1,1))</f>
        <v>635.71275911100679</v>
      </c>
      <c r="T24" s="59">
        <f t="shared" si="34"/>
        <v>281.7776857269169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4.016578947368421</v>
      </c>
      <c r="AI24" s="13">
        <f>IF('Données projet'!$A$62&gt;35,AI23+AH24-AQ23,IF(A24&lt;'Données projet'!$A$62,$AF$205^A24,IF(A24='Données projet'!$A$62,'Données projet'!$B$62,AI23+AH24-AQ23)))</f>
        <v>84.348157894736829</v>
      </c>
      <c r="AJ24" s="13">
        <f>AI24*VLOOKUP('Données projet'!$B$10,Paramètres!$A$1:$I$89,3,0)*VLOOKUP('Données projet'!$B$10,Paramètres!$A$1:$I$89,5,0)</f>
        <v>90.792357157894727</v>
      </c>
      <c r="AK24" s="13">
        <f t="shared" si="35"/>
        <v>24.756224863172324</v>
      </c>
      <c r="AL24" s="20">
        <f t="shared" si="4"/>
        <v>201.24711368669179</v>
      </c>
      <c r="AM24" s="59">
        <f t="shared" si="5"/>
        <v>483.58044702002508</v>
      </c>
      <c r="AN24" s="59">
        <f ca="1">AVERAGE(OFFSET($AM$3,0,0,'Données projet'!$E$10+1,1))-AVERAGE(OFFSET($H$3,0,0,'Données projet'!$E$10+1,1))</f>
        <v>502.65044103360322</v>
      </c>
      <c r="AO24" s="59">
        <f t="shared" si="36"/>
        <v>321.65762891855167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3.3603333333333336</v>
      </c>
      <c r="BD24" s="12">
        <f>IF('Données projet'!$A$88&gt;35,BD23+BC24-BL23,IF(A24&lt;'Données projet'!$A$88,$BA$205^A24,IF(A24='Données projet'!$A$88,'Données projet'!$B$88,BD23+BC24-BL23)))</f>
        <v>70.567000000000036</v>
      </c>
      <c r="BE24" s="13">
        <f>BD24*VLOOKUP('Données projet'!$B$11,Paramètres!$A$1:$I$89,3,0)*VLOOKUP('Données projet'!$B$11,Paramètres!$A$1:$I$89,5,0)</f>
        <v>68.252402400000037</v>
      </c>
      <c r="BF24" s="13">
        <f t="shared" si="37"/>
        <v>19.238830968382739</v>
      </c>
      <c r="BG24" s="20">
        <f t="shared" si="7"/>
        <v>152.38056478326666</v>
      </c>
      <c r="BH24" s="59">
        <f t="shared" si="8"/>
        <v>434.71389811659998</v>
      </c>
      <c r="BI24" s="59">
        <f ca="1">AVERAGE(OFFSET($BH$3,0,0,'Données projet'!$E$11+1,1))-AVERAGE(OFFSET($H$3,0,0,'Données projet'!$E$11+1,1))</f>
        <v>510.71380643466227</v>
      </c>
      <c r="BJ24" s="59">
        <f t="shared" si="38"/>
        <v>252.40654099948841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464.69335860805768</v>
      </c>
      <c r="S25" s="59">
        <f ca="1">AVERAGE(OFFSET($R$3,0,0,'Données projet'!$E$9+1,1))-AVERAGE(OFFSET($H$3,0,0,'Données projet'!$E$9+1,1))</f>
        <v>635.71275911100679</v>
      </c>
      <c r="T25" s="59">
        <f t="shared" si="34"/>
        <v>281.7776857269169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4.016578947368421</v>
      </c>
      <c r="AI25" s="13">
        <f>IF('Données projet'!$A$62&gt;35,AI24+AH25-AQ24,IF(A25&lt;'Données projet'!$A$62,$AF$205^A25,IF(A25='Données projet'!$A$62,'Données projet'!$B$62,AI24+AH25-AQ24)))</f>
        <v>88.364736842105245</v>
      </c>
      <c r="AJ25" s="13">
        <f>AI25*VLOOKUP('Données projet'!$B$10,Paramètres!$A$1:$I$89,3,0)*VLOOKUP('Données projet'!$B$10,Paramètres!$A$1:$I$89,5,0)</f>
        <v>95.115802736842085</v>
      </c>
      <c r="AK25" s="13">
        <f t="shared" si="35"/>
        <v>25.795035548964155</v>
      </c>
      <c r="AL25" s="20">
        <f t="shared" si="4"/>
        <v>210.58637668111251</v>
      </c>
      <c r="AM25" s="59">
        <f t="shared" si="5"/>
        <v>494.14193223666803</v>
      </c>
      <c r="AN25" s="59">
        <f ca="1">AVERAGE(OFFSET($AM$3,0,0,'Données projet'!$E$10+1,1))-AVERAGE(OFFSET($H$3,0,0,'Données projet'!$E$10+1,1))</f>
        <v>502.65044103360322</v>
      </c>
      <c r="AO25" s="59">
        <f t="shared" si="36"/>
        <v>321.65762891855167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3.3603333333333336</v>
      </c>
      <c r="BD25" s="12">
        <f>IF('Données projet'!$A$88&gt;35,BD24+BC25-BL24,IF(A25&lt;'Données projet'!$A$88,$BA$205^A25,IF(A25='Données projet'!$A$88,'Données projet'!$B$88,BD24+BC25-BL24)))</f>
        <v>73.927333333333365</v>
      </c>
      <c r="BE25" s="13">
        <f>BD25*VLOOKUP('Données projet'!$B$11,Paramètres!$A$1:$I$89,3,0)*VLOOKUP('Données projet'!$B$11,Paramètres!$A$1:$I$89,5,0)</f>
        <v>71.502516800000038</v>
      </c>
      <c r="BF25" s="13">
        <f t="shared" si="37"/>
        <v>20.046123005135481</v>
      </c>
      <c r="BG25" s="20">
        <f t="shared" si="7"/>
        <v>159.44721432727769</v>
      </c>
      <c r="BH25" s="59">
        <f t="shared" si="8"/>
        <v>443.00276988283326</v>
      </c>
      <c r="BI25" s="59">
        <f ca="1">AVERAGE(OFFSET($BH$3,0,0,'Données projet'!$E$11+1,1))-AVERAGE(OFFSET($H$3,0,0,'Données projet'!$E$11+1,1))</f>
        <v>510.71380643466227</v>
      </c>
      <c r="BJ25" s="59">
        <f t="shared" si="38"/>
        <v>252.40654099948841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473.93765339657404</v>
      </c>
      <c r="S26" s="59">
        <f ca="1">AVERAGE(OFFSET($R$3,0,0,'Données projet'!$E$9+1,1))-AVERAGE(OFFSET($H$3,0,0,'Données projet'!$E$9+1,1))</f>
        <v>635.71275911100679</v>
      </c>
      <c r="T26" s="59">
        <f t="shared" si="34"/>
        <v>281.7776857269169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4.016578947368421</v>
      </c>
      <c r="AI26" s="13">
        <f>IF('Données projet'!$A$62&gt;35,AI25+AH26-AQ25,IF(A26&lt;'Données projet'!$A$62,$AF$205^A26,IF(A26='Données projet'!$A$62,'Données projet'!$B$62,AI25+AH26-AQ25)))</f>
        <v>92.381315789473661</v>
      </c>
      <c r="AJ26" s="13">
        <f>AI26*VLOOKUP('Données projet'!$B$10,Paramètres!$A$1:$I$89,3,0)*VLOOKUP('Données projet'!$B$10,Paramètres!$A$1:$I$89,5,0)</f>
        <v>99.439248315789442</v>
      </c>
      <c r="AK26" s="13">
        <f t="shared" si="35"/>
        <v>26.828362502376191</v>
      </c>
      <c r="AL26" s="20">
        <f t="shared" si="4"/>
        <v>219.91608884163847</v>
      </c>
      <c r="AM26" s="59">
        <f t="shared" si="5"/>
        <v>504.69386661941621</v>
      </c>
      <c r="AN26" s="59">
        <f ca="1">AVERAGE(OFFSET($AM$3,0,0,'Données projet'!$E$10+1,1))-AVERAGE(OFFSET($H$3,0,0,'Données projet'!$E$10+1,1))</f>
        <v>502.65044103360322</v>
      </c>
      <c r="AO26" s="59">
        <f t="shared" si="36"/>
        <v>321.65762891855167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3.3603333333333336</v>
      </c>
      <c r="BD26" s="12">
        <f>IF('Données projet'!$A$88&gt;35,BD25+BC26-BL25,IF(A26&lt;'Données projet'!$A$88,$BA$205^A26,IF(A26='Données projet'!$A$88,'Données projet'!$B$88,BD25+BC26-BL25)))</f>
        <v>77.287666666666695</v>
      </c>
      <c r="BE26" s="13">
        <f>BD26*VLOOKUP('Données projet'!$B$11,Paramètres!$A$1:$I$89,3,0)*VLOOKUP('Données projet'!$B$11,Paramètres!$A$1:$I$89,5,0)</f>
        <v>74.752631200000025</v>
      </c>
      <c r="BF26" s="13">
        <f t="shared" si="37"/>
        <v>20.84915346319784</v>
      </c>
      <c r="BG26" s="20">
        <f t="shared" si="7"/>
        <v>166.50644162173626</v>
      </c>
      <c r="BH26" s="59">
        <f t="shared" si="8"/>
        <v>451.28421939951403</v>
      </c>
      <c r="BI26" s="59">
        <f ca="1">AVERAGE(OFFSET($BH$3,0,0,'Données projet'!$E$11+1,1))-AVERAGE(OFFSET($H$3,0,0,'Données projet'!$E$11+1,1))</f>
        <v>510.71380643466227</v>
      </c>
      <c r="BJ26" s="59">
        <f t="shared" si="38"/>
        <v>252.40654099948841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483.17401979403189</v>
      </c>
      <c r="S27" s="59">
        <f ca="1">AVERAGE(OFFSET($R$3,0,0,'Données projet'!$E$9+1,1))-AVERAGE(OFFSET($H$3,0,0,'Données projet'!$E$9+1,1))</f>
        <v>635.71275911100679</v>
      </c>
      <c r="T27" s="59">
        <f t="shared" si="34"/>
        <v>281.7776857269169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4.016578947368421</v>
      </c>
      <c r="AI27" s="13">
        <f>IF('Données projet'!$A$62&gt;35,AI26+AH27-AQ26,IF(A27&lt;'Données projet'!$A$62,$AF$205^A27,IF(A27='Données projet'!$A$62,'Données projet'!$B$62,AI26+AH27-AQ26)))</f>
        <v>96.397894736842076</v>
      </c>
      <c r="AJ27" s="13">
        <f>AI27*VLOOKUP('Données projet'!$B$10,Paramètres!$A$1:$I$89,3,0)*VLOOKUP('Données projet'!$B$10,Paramètres!$A$1:$I$89,5,0)</f>
        <v>103.76269389473681</v>
      </c>
      <c r="AK27" s="13">
        <f t="shared" si="35"/>
        <v>27.856471397476621</v>
      </c>
      <c r="AL27" s="20">
        <f t="shared" si="4"/>
        <v>229.2367128839384</v>
      </c>
      <c r="AM27" s="59">
        <f t="shared" si="5"/>
        <v>515.23671288393837</v>
      </c>
      <c r="AN27" s="59">
        <f ca="1">AVERAGE(OFFSET($AM$3,0,0,'Données projet'!$E$10+1,1))-AVERAGE(OFFSET($H$3,0,0,'Données projet'!$E$10+1,1))</f>
        <v>502.65044103360322</v>
      </c>
      <c r="AO27" s="59">
        <f t="shared" si="36"/>
        <v>321.65762891855167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3.3603333333333336</v>
      </c>
      <c r="BD27" s="12">
        <f>IF('Données projet'!$A$88&gt;35,BD26+BC27-BL26,IF(A27&lt;'Données projet'!$A$88,$BA$205^A27,IF(A27='Données projet'!$A$88,'Données projet'!$B$88,BD26+BC27-BL26)))</f>
        <v>80.648000000000025</v>
      </c>
      <c r="BE27" s="13">
        <f>BD27*VLOOKUP('Données projet'!$B$11,Paramètres!$A$1:$I$89,3,0)*VLOOKUP('Données projet'!$B$11,Paramètres!$A$1:$I$89,5,0)</f>
        <v>78.002745600000026</v>
      </c>
      <c r="BF27" s="13">
        <f t="shared" si="37"/>
        <v>21.648128806136818</v>
      </c>
      <c r="BG27" s="20">
        <f t="shared" si="7"/>
        <v>173.55860625735497</v>
      </c>
      <c r="BH27" s="59">
        <f t="shared" si="8"/>
        <v>459.558606257355</v>
      </c>
      <c r="BI27" s="59">
        <f ca="1">AVERAGE(OFFSET($BH$3,0,0,'Données projet'!$E$11+1,1))-AVERAGE(OFFSET($H$3,0,0,'Données projet'!$E$11+1,1))</f>
        <v>510.71380643466227</v>
      </c>
      <c r="BJ27" s="59">
        <f t="shared" si="38"/>
        <v>252.40654099948841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492.40282592710264</v>
      </c>
      <c r="S28" s="59">
        <f ca="1">AVERAGE(OFFSET($R$3,0,0,'Données projet'!$E$9+1,1))-AVERAGE(OFFSET($H$3,0,0,'Données projet'!$E$9+1,1))</f>
        <v>635.71275911100679</v>
      </c>
      <c r="T28" s="59">
        <f t="shared" si="34"/>
        <v>281.7776857269169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4.016578947368421</v>
      </c>
      <c r="AI28" s="13">
        <f>IF('Données projet'!$A$62&gt;35,AI27+AH28-AQ27,IF(A28&lt;'Données projet'!$A$62,$AF$205^A28,IF(A28='Données projet'!$A$62,'Données projet'!$B$62,AI27+AH28-AQ27)))</f>
        <v>100.41447368421049</v>
      </c>
      <c r="AJ28" s="13">
        <f>AI28*VLOOKUP('Données projet'!$B$10,Paramètres!$A$1:$I$89,3,0)*VLOOKUP('Données projet'!$B$10,Paramètres!$A$1:$I$89,5,0)</f>
        <v>108.08613947368417</v>
      </c>
      <c r="AK28" s="13">
        <f t="shared" si="35"/>
        <v>28.879604516264717</v>
      </c>
      <c r="AL28" s="20">
        <f t="shared" si="4"/>
        <v>238.54867078249427</v>
      </c>
      <c r="AM28" s="59">
        <f t="shared" si="5"/>
        <v>525.77089300471653</v>
      </c>
      <c r="AN28" s="59">
        <f ca="1">AVERAGE(OFFSET($AM$3,0,0,'Données projet'!$E$10+1,1))-AVERAGE(OFFSET($H$3,0,0,'Données projet'!$E$10+1,1))</f>
        <v>502.65044103360322</v>
      </c>
      <c r="AO28" s="59">
        <f t="shared" si="36"/>
        <v>321.65762891855167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3.3603333333333336</v>
      </c>
      <c r="BD28" s="12">
        <f>IF('Données projet'!$A$88&gt;35,BD27+BC28-BL27,IF(A28&lt;'Données projet'!$A$88,$BA$205^A28,IF(A28='Données projet'!$A$88,'Données projet'!$B$88,BD27+BC28-BL27)))</f>
        <v>84.008333333333354</v>
      </c>
      <c r="BE28" s="13">
        <f>BD28*VLOOKUP('Données projet'!$B$11,Paramètres!$A$1:$I$89,3,0)*VLOOKUP('Données projet'!$B$11,Paramètres!$A$1:$I$89,5,0)</f>
        <v>81.252860000000027</v>
      </c>
      <c r="BF28" s="13">
        <f t="shared" si="37"/>
        <v>22.443237318816408</v>
      </c>
      <c r="BG28" s="20">
        <f t="shared" si="7"/>
        <v>180.60403616360529</v>
      </c>
      <c r="BH28" s="59">
        <f t="shared" si="8"/>
        <v>467.82625838582749</v>
      </c>
      <c r="BI28" s="59">
        <f ca="1">AVERAGE(OFFSET($BH$3,0,0,'Données projet'!$E$11+1,1))-AVERAGE(OFFSET($H$3,0,0,'Données projet'!$E$11+1,1))</f>
        <v>510.71380643466227</v>
      </c>
      <c r="BJ28" s="59">
        <f t="shared" si="38"/>
        <v>252.40654099948841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501.62440880535223</v>
      </c>
      <c r="S29" s="59">
        <f ca="1">AVERAGE(OFFSET($R$3,0,0,'Données projet'!$E$9+1,1))-AVERAGE(OFFSET($H$3,0,0,'Données projet'!$E$9+1,1))</f>
        <v>635.71275911100679</v>
      </c>
      <c r="T29" s="59">
        <f t="shared" si="34"/>
        <v>281.7776857269169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4.016578947368421</v>
      </c>
      <c r="AI29" s="13">
        <f>IF('Données projet'!$A$62&gt;35,AI28+AH29-AQ28,IF(A29&lt;'Données projet'!$A$62,$AF$205^A29,IF(A29='Données projet'!$A$62,'Données projet'!$B$62,AI28+AH29-AQ28)))</f>
        <v>104.43105263157891</v>
      </c>
      <c r="AJ29" s="13">
        <f>AI29*VLOOKUP('Données projet'!$B$10,Paramètres!$A$1:$I$89,3,0)*VLOOKUP('Données projet'!$B$10,Paramètres!$A$1:$I$89,5,0)</f>
        <v>112.40958505263153</v>
      </c>
      <c r="AK29" s="13">
        <f t="shared" si="35"/>
        <v>29.897983661065066</v>
      </c>
      <c r="AL29" s="20">
        <f t="shared" si="4"/>
        <v>247.85234884302153</v>
      </c>
      <c r="AM29" s="59">
        <f t="shared" si="5"/>
        <v>536.29679328746602</v>
      </c>
      <c r="AN29" s="59">
        <f ca="1">AVERAGE(OFFSET($AM$3,0,0,'Données projet'!$E$10+1,1))-AVERAGE(OFFSET($H$3,0,0,'Données projet'!$E$10+1,1))</f>
        <v>502.65044103360322</v>
      </c>
      <c r="AO29" s="59">
        <f t="shared" si="36"/>
        <v>321.65762891855167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3.3603333333333336</v>
      </c>
      <c r="BD29" s="12">
        <f>IF('Données projet'!$A$88&gt;35,BD28+BC29-BL28,IF(A29&lt;'Données projet'!$A$88,$BA$205^A29,IF(A29='Données projet'!$A$88,'Données projet'!$B$88,BD28+BC29-BL28)))</f>
        <v>87.368666666666684</v>
      </c>
      <c r="BE29" s="13">
        <f>BD29*VLOOKUP('Données projet'!$B$11,Paramètres!$A$1:$I$89,3,0)*VLOOKUP('Données projet'!$B$11,Paramètres!$A$1:$I$89,5,0)</f>
        <v>84.502974400000014</v>
      </c>
      <c r="BF29" s="13">
        <f t="shared" si="37"/>
        <v>23.234651370709514</v>
      </c>
      <c r="BG29" s="20">
        <f t="shared" si="7"/>
        <v>187.64303155065241</v>
      </c>
      <c r="BH29" s="59">
        <f t="shared" si="8"/>
        <v>476.08747599509684</v>
      </c>
      <c r="BI29" s="59">
        <f ca="1">AVERAGE(OFFSET($BH$3,0,0,'Données projet'!$E$11+1,1))-AVERAGE(OFFSET($H$3,0,0,'Données projet'!$E$11+1,1))</f>
        <v>510.71380643466227</v>
      </c>
      <c r="BJ29" s="59">
        <f t="shared" si="38"/>
        <v>252.40654099948841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510.83907804643553</v>
      </c>
      <c r="S30" s="59">
        <f ca="1">AVERAGE(OFFSET($R$3,0,0,'Données projet'!$E$9+1,1))-AVERAGE(OFFSET($H$3,0,0,'Données projet'!$E$9+1,1))</f>
        <v>635.71275911100679</v>
      </c>
      <c r="T30" s="59">
        <f t="shared" si="34"/>
        <v>281.7776857269169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4.016578947368421</v>
      </c>
      <c r="AI30" s="13">
        <f>IF('Données projet'!$A$62&gt;35,AI29+AH30-AQ29,IF(A30&lt;'Données projet'!$A$62,$AF$205^A30,IF(A30='Données projet'!$A$62,'Données projet'!$B$62,AI29+AH30-AQ29)))</f>
        <v>108.44763157894732</v>
      </c>
      <c r="AJ30" s="13">
        <f>AI30*VLOOKUP('Données projet'!$B$10,Paramètres!$A$1:$I$89,3,0)*VLOOKUP('Données projet'!$B$10,Paramètres!$A$1:$I$89,5,0)</f>
        <v>116.7330306315789</v>
      </c>
      <c r="AK30" s="13">
        <f t="shared" si="35"/>
        <v>30.911812606258344</v>
      </c>
      <c r="AL30" s="20">
        <f t="shared" si="4"/>
        <v>257.14810197256651</v>
      </c>
      <c r="AM30" s="59">
        <f t="shared" si="5"/>
        <v>546.81476863923319</v>
      </c>
      <c r="AN30" s="59">
        <f ca="1">AVERAGE(OFFSET($AM$3,0,0,'Données projet'!$E$10+1,1))-AVERAGE(OFFSET($H$3,0,0,'Données projet'!$E$10+1,1))</f>
        <v>502.65044103360322</v>
      </c>
      <c r="AO30" s="59">
        <f t="shared" si="36"/>
        <v>321.65762891855167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3.3603333333333336</v>
      </c>
      <c r="BD30" s="12">
        <f>IF('Données projet'!$A$88&gt;35,BD29+BC30-BL29,IF(A30&lt;'Données projet'!$A$88,$BA$205^A30,IF(A30='Données projet'!$A$88,'Données projet'!$B$88,BD29+BC30-BL29)))</f>
        <v>90.729000000000013</v>
      </c>
      <c r="BE30" s="13">
        <f>BD30*VLOOKUP('Données projet'!$B$11,Paramètres!$A$1:$I$89,3,0)*VLOOKUP('Données projet'!$B$11,Paramètres!$A$1:$I$89,5,0)</f>
        <v>87.753088800000015</v>
      </c>
      <c r="BF30" s="13">
        <f t="shared" si="37"/>
        <v>24.022529321214137</v>
      </c>
      <c r="BG30" s="20">
        <f t="shared" si="7"/>
        <v>194.67586822778131</v>
      </c>
      <c r="BH30" s="59">
        <f t="shared" si="8"/>
        <v>484.34253489444802</v>
      </c>
      <c r="BI30" s="59">
        <f ca="1">AVERAGE(OFFSET($BH$3,0,0,'Données projet'!$E$11+1,1))-AVERAGE(OFFSET($H$3,0,0,'Données projet'!$E$11+1,1))</f>
        <v>510.71380643466227</v>
      </c>
      <c r="BJ30" s="59">
        <f t="shared" si="38"/>
        <v>252.40654099948841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520.04711903389557</v>
      </c>
      <c r="S31" s="59">
        <f ca="1">AVERAGE(OFFSET($R$3,0,0,'Données projet'!$E$9+1,1))-AVERAGE(OFFSET($H$3,0,0,'Données projet'!$E$9+1,1))</f>
        <v>635.71275911100679</v>
      </c>
      <c r="T31" s="59">
        <f t="shared" si="34"/>
        <v>281.7776857269169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4.016578947368421</v>
      </c>
      <c r="AI31" s="13">
        <f>IF('Données projet'!$A$62&gt;35,AI30+AH31-AQ30,IF(A31&lt;'Données projet'!$A$62,$AF$205^A31,IF(A31='Données projet'!$A$62,'Données projet'!$B$62,AI30+AH31-AQ30)))</f>
        <v>112.46421052631574</v>
      </c>
      <c r="AJ31" s="13">
        <f>AI31*VLOOKUP('Données projet'!$B$10,Paramètres!$A$1:$I$89,3,0)*VLOOKUP('Données projet'!$B$10,Paramètres!$A$1:$I$89,5,0)</f>
        <v>121.05647621052626</v>
      </c>
      <c r="AK31" s="13">
        <f t="shared" si="35"/>
        <v>31.921279176582079</v>
      </c>
      <c r="AL31" s="20">
        <f t="shared" si="4"/>
        <v>266.43625729921371</v>
      </c>
      <c r="AM31" s="59">
        <f t="shared" si="5"/>
        <v>557.32514618810251</v>
      </c>
      <c r="AN31" s="59">
        <f ca="1">AVERAGE(OFFSET($AM$3,0,0,'Données projet'!$E$10+1,1))-AVERAGE(OFFSET($H$3,0,0,'Données projet'!$E$10+1,1))</f>
        <v>502.65044103360322</v>
      </c>
      <c r="AO31" s="59">
        <f t="shared" si="36"/>
        <v>321.65762891855167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3.3603333333333336</v>
      </c>
      <c r="BD31" s="12">
        <f>IF('Données projet'!$A$88&gt;35,BD30+BC31-BL30,IF(A31&lt;'Données projet'!$A$88,$BA$205^A31,IF(A31='Données projet'!$A$88,'Données projet'!$B$88,BD30+BC31-BL30)))</f>
        <v>94.089333333333343</v>
      </c>
      <c r="BE31" s="13">
        <f>BD31*VLOOKUP('Données projet'!$B$11,Paramètres!$A$1:$I$89,3,0)*VLOOKUP('Données projet'!$B$11,Paramètres!$A$1:$I$89,5,0)</f>
        <v>91.003203200000016</v>
      </c>
      <c r="BF31" s="13">
        <f t="shared" si="37"/>
        <v>24.807017134765282</v>
      </c>
      <c r="BG31" s="20">
        <f t="shared" si="7"/>
        <v>201.70280041638287</v>
      </c>
      <c r="BH31" s="59">
        <f t="shared" si="8"/>
        <v>492.59168930527176</v>
      </c>
      <c r="BI31" s="59">
        <f ca="1">AVERAGE(OFFSET($BH$3,0,0,'Données projet'!$E$11+1,1))-AVERAGE(OFFSET($H$3,0,0,'Données projet'!$E$11+1,1))</f>
        <v>510.71380643466227</v>
      </c>
      <c r="BJ31" s="59">
        <f t="shared" si="38"/>
        <v>252.40654099948841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529.24879561117245</v>
      </c>
      <c r="S32" s="59">
        <f ca="1">AVERAGE(OFFSET($R$3,0,0,'Données projet'!$E$9+1,1))-AVERAGE(OFFSET($H$3,0,0,'Données projet'!$E$9+1,1))</f>
        <v>635.71275911100679</v>
      </c>
      <c r="T32" s="59">
        <f t="shared" si="34"/>
        <v>281.7776857269169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4.016578947368421</v>
      </c>
      <c r="AI32" s="13">
        <f>IF('Données projet'!$A$62&gt;35,AI31+AH32-AQ31,IF(A32&lt;'Données projet'!$A$62,$AF$205^A32,IF(A32='Données projet'!$A$62,'Données projet'!$B$62,AI31+AH32-AQ31)))</f>
        <v>116.48078947368415</v>
      </c>
      <c r="AJ32" s="13">
        <f>AI32*VLOOKUP('Données projet'!$B$10,Paramètres!$A$1:$I$89,3,0)*VLOOKUP('Données projet'!$B$10,Paramètres!$A$1:$I$89,5,0)</f>
        <v>125.37992178947361</v>
      </c>
      <c r="AK32" s="13">
        <f t="shared" si="35"/>
        <v>32.926557020187957</v>
      </c>
      <c r="AL32" s="20">
        <f t="shared" si="4"/>
        <v>275.71711726016053</v>
      </c>
      <c r="AM32" s="59">
        <f t="shared" si="5"/>
        <v>567.82822837127173</v>
      </c>
      <c r="AN32" s="59">
        <f ca="1">AVERAGE(OFFSET($AM$3,0,0,'Données projet'!$E$10+1,1))-AVERAGE(OFFSET($H$3,0,0,'Données projet'!$E$10+1,1))</f>
        <v>502.65044103360322</v>
      </c>
      <c r="AO32" s="59">
        <f t="shared" si="36"/>
        <v>321.65762891855167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3.3603333333333336</v>
      </c>
      <c r="BD32" s="12">
        <f>IF('Données projet'!$A$88&gt;35,BD31+BC32-BL31,IF(A32&lt;'Données projet'!$A$88,$BA$205^A32,IF(A32='Données projet'!$A$88,'Données projet'!$B$88,BD31+BC32-BL31)))</f>
        <v>97.449666666666673</v>
      </c>
      <c r="BE32" s="13">
        <f>BD32*VLOOKUP('Données projet'!$B$11,Paramètres!$A$1:$I$89,3,0)*VLOOKUP('Données projet'!$B$11,Paramètres!$A$1:$I$89,5,0)</f>
        <v>94.253317600000003</v>
      </c>
      <c r="BF32" s="13">
        <f t="shared" si="37"/>
        <v>25.588249758733145</v>
      </c>
      <c r="BG32" s="20">
        <f t="shared" si="7"/>
        <v>208.72406314979355</v>
      </c>
      <c r="BH32" s="59">
        <f t="shared" si="8"/>
        <v>500.83517426090469</v>
      </c>
      <c r="BI32" s="59">
        <f ca="1">AVERAGE(OFFSET($BH$3,0,0,'Données projet'!$E$11+1,1))-AVERAGE(OFFSET($H$3,0,0,'Données projet'!$E$11+1,1))</f>
        <v>510.71380643466227</v>
      </c>
      <c r="BJ32" s="59">
        <f t="shared" si="38"/>
        <v>252.40654099948841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538.44435239358359</v>
      </c>
      <c r="S33" s="59">
        <f ca="1">AVERAGE(OFFSET($R$3,0,0,'Données projet'!$E$9+1,1))-AVERAGE(OFFSET($H$3,0,0,'Données projet'!$E$9+1,1))</f>
        <v>635.71275911100679</v>
      </c>
      <c r="T33" s="59">
        <f t="shared" si="34"/>
        <v>281.7776857269169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4.016578947368421</v>
      </c>
      <c r="AI33" s="13">
        <f>IF('Données projet'!$A$62&gt;35,AI32+AH33-AQ32,IF(A33&lt;'Données projet'!$A$62,$AF$205^A33,IF(A33='Données projet'!$A$62,'Données projet'!$B$62,AI32+AH33-AQ32)))</f>
        <v>120.49736842105257</v>
      </c>
      <c r="AJ33" s="13">
        <f>AI33*VLOOKUP('Données projet'!$B$10,Paramètres!$A$1:$I$89,3,0)*VLOOKUP('Données projet'!$B$10,Paramètres!$A$1:$I$89,5,0)</f>
        <v>129.703367368421</v>
      </c>
      <c r="AK33" s="13">
        <f t="shared" si="35"/>
        <v>33.927807130269002</v>
      </c>
      <c r="AL33" s="20">
        <f t="shared" si="4"/>
        <v>284.99096225188504</v>
      </c>
      <c r="AM33" s="59">
        <f t="shared" si="5"/>
        <v>578.32429558521835</v>
      </c>
      <c r="AN33" s="59">
        <f ca="1">AVERAGE(OFFSET($AM$3,0,0,'Données projet'!$E$10+1,1))-AVERAGE(OFFSET($H$3,0,0,'Données projet'!$E$10+1,1))</f>
        <v>502.65044103360322</v>
      </c>
      <c r="AO33" s="59">
        <f t="shared" si="36"/>
        <v>321.65762891855167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3.3603333333333336</v>
      </c>
      <c r="BD33" s="12">
        <f>IF('Données projet'!$A$88&gt;35,BD32+BC33-BL32,IF(A33&lt;'Données projet'!$A$88,$BA$205^A33,IF(A33='Données projet'!$A$88,'Données projet'!$B$88,BD32+BC33-BL32)))</f>
        <v>100.81</v>
      </c>
      <c r="BE33" s="13">
        <f>BD33*VLOOKUP('Données projet'!$B$11,Paramètres!$A$1:$I$89,3,0)*VLOOKUP('Données projet'!$B$11,Paramètres!$A$1:$I$89,5,0)</f>
        <v>97.503432000000004</v>
      </c>
      <c r="BF33" s="13">
        <f t="shared" si="37"/>
        <v>26.366352305926398</v>
      </c>
      <c r="BG33" s="20">
        <f t="shared" si="7"/>
        <v>215.73987433282181</v>
      </c>
      <c r="BH33" s="59">
        <f t="shared" si="8"/>
        <v>509.0732076661551</v>
      </c>
      <c r="BI33" s="59">
        <f ca="1">AVERAGE(OFFSET($BH$3,0,0,'Données projet'!$E$11+1,1))-AVERAGE(OFFSET($H$3,0,0,'Données projet'!$E$11+1,1))</f>
        <v>510.71380643466227</v>
      </c>
      <c r="BJ33" s="59">
        <f t="shared" si="38"/>
        <v>252.40654099948841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546.41179454115968</v>
      </c>
      <c r="S34" s="59">
        <f ca="1">AVERAGE(OFFSET($R$3,0,0,'Données projet'!$E$9+1,1))-AVERAGE(OFFSET($H$3,0,0,'Données projet'!$E$9+1,1))</f>
        <v>635.71275911100679</v>
      </c>
      <c r="T34" s="59">
        <f t="shared" si="34"/>
        <v>281.7776857269169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4.016578947368421</v>
      </c>
      <c r="AI34" s="13">
        <f>IF('Données projet'!$A$62&gt;35,AI33+AH34-AQ33,IF(A34&lt;'Données projet'!$A$62,$AF$205^A34,IF(A34='Données projet'!$A$62,'Données projet'!$B$62,AI33+AH34-AQ33)))</f>
        <v>124.51394736842099</v>
      </c>
      <c r="AJ34" s="13">
        <f>AI34*VLOOKUP('Données projet'!$B$10,Paramètres!$A$1:$I$89,3,0)*VLOOKUP('Données projet'!$B$10,Paramètres!$A$1:$I$89,5,0)</f>
        <v>134.02681294736834</v>
      </c>
      <c r="AK34" s="13">
        <f t="shared" si="35"/>
        <v>34.925179158103305</v>
      </c>
      <c r="AL34" s="20">
        <f t="shared" si="4"/>
        <v>294.25805291702977</v>
      </c>
      <c r="AM34" s="59">
        <f t="shared" si="5"/>
        <v>587.59138625036303</v>
      </c>
      <c r="AN34" s="59">
        <f ca="1">AVERAGE(OFFSET($AM$3,0,0,'Données projet'!$E$10+1,1))-AVERAGE(OFFSET($H$3,0,0,'Données projet'!$E$10+1,1))</f>
        <v>502.65044103360322</v>
      </c>
      <c r="AO34" s="59">
        <f t="shared" si="36"/>
        <v>321.65762891855167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3.3603333333333336</v>
      </c>
      <c r="BD34" s="12">
        <f>IF('Données projet'!$A$88&gt;35,BD33+BC34-BL33,IF(A34&lt;'Données projet'!$A$88,$BA$205^A34,IF(A34='Données projet'!$A$88,'Données projet'!$B$88,BD33+BC34-BL33)))</f>
        <v>104.17033333333333</v>
      </c>
      <c r="BE34" s="13">
        <f>BD34*VLOOKUP('Données projet'!$B$11,Paramètres!$A$1:$I$89,3,0)*VLOOKUP('Données projet'!$B$11,Paramètres!$A$1:$I$89,5,0)</f>
        <v>100.7535464</v>
      </c>
      <c r="BF34" s="13">
        <f t="shared" si="37"/>
        <v>27.141441074999669</v>
      </c>
      <c r="BG34" s="20">
        <f t="shared" si="7"/>
        <v>222.7504365189578</v>
      </c>
      <c r="BH34" s="59">
        <f t="shared" si="8"/>
        <v>516.08376985229108</v>
      </c>
      <c r="BI34" s="59">
        <f ca="1">AVERAGE(OFFSET($BH$3,0,0,'Données projet'!$E$11+1,1))-AVERAGE(OFFSET($H$3,0,0,'Données projet'!$E$11+1,1))</f>
        <v>510.71380643466227</v>
      </c>
      <c r="BJ34" s="59">
        <f t="shared" si="38"/>
        <v>252.40654099948841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554.37355615571153</v>
      </c>
      <c r="S35" s="59">
        <f ca="1">AVERAGE(OFFSET($R$3,0,0,'Données projet'!$E$9+1,1))-AVERAGE(OFFSET($H$3,0,0,'Données projet'!$E$9+1,1))</f>
        <v>635.71275911100679</v>
      </c>
      <c r="T35" s="59">
        <f t="shared" si="34"/>
        <v>281.7776857269169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4.016578947368421</v>
      </c>
      <c r="AI35" s="13">
        <f>IF('Données projet'!$A$62&gt;35,AI34+AH35-AQ34,IF(A35&lt;'Données projet'!$A$62,$AF$205^A35,IF(A35='Données projet'!$A$62,'Données projet'!$B$62,AI34+AH35-AQ34)))</f>
        <v>128.53052631578942</v>
      </c>
      <c r="AJ35" s="13">
        <f>AI35*VLOOKUP('Données projet'!$B$10,Paramètres!$A$1:$I$89,3,0)*VLOOKUP('Données projet'!$B$10,Paramètres!$A$1:$I$89,5,0)</f>
        <v>138.35025852631571</v>
      </c>
      <c r="AK35" s="13">
        <f t="shared" si="35"/>
        <v>35.918812551914193</v>
      </c>
      <c r="AL35" s="20">
        <f t="shared" si="4"/>
        <v>303.51863212791704</v>
      </c>
      <c r="AM35" s="59">
        <f t="shared" si="5"/>
        <v>596.8519654612503</v>
      </c>
      <c r="AN35" s="59">
        <f ca="1">AVERAGE(OFFSET($AM$3,0,0,'Données projet'!$E$10+1,1))-AVERAGE(OFFSET($H$3,0,0,'Données projet'!$E$10+1,1))</f>
        <v>502.65044103360322</v>
      </c>
      <c r="AO35" s="59">
        <f t="shared" si="36"/>
        <v>321.65762891855167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3.3603333333333336</v>
      </c>
      <c r="BD35" s="12">
        <f>IF('Données projet'!$A$88&gt;35,BD34+BC35-BL34,IF(A35&lt;'Données projet'!$A$88,$BA$205^A35,IF(A35='Données projet'!$A$88,'Données projet'!$B$88,BD34+BC35-BL34)))</f>
        <v>107.53066666666666</v>
      </c>
      <c r="BE35" s="13">
        <f>BD35*VLOOKUP('Données projet'!$B$11,Paramètres!$A$1:$I$89,3,0)*VLOOKUP('Données projet'!$B$11,Paramètres!$A$1:$I$89,5,0)</f>
        <v>104.00366079999999</v>
      </c>
      <c r="BF35" s="13">
        <f t="shared" si="37"/>
        <v>27.913624435496846</v>
      </c>
      <c r="BG35" s="20">
        <f t="shared" si="7"/>
        <v>229.75593845182368</v>
      </c>
      <c r="BH35" s="59">
        <f t="shared" si="8"/>
        <v>523.08927178515705</v>
      </c>
      <c r="BI35" s="59">
        <f ca="1">AVERAGE(OFFSET($BH$3,0,0,'Données projet'!$E$11+1,1))-AVERAGE(OFFSET($H$3,0,0,'Données projet'!$E$11+1,1))</f>
        <v>510.71380643466227</v>
      </c>
      <c r="BJ35" s="59">
        <f t="shared" si="38"/>
        <v>252.40654099948841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562.32983512218527</v>
      </c>
      <c r="S36" s="59">
        <f ca="1">AVERAGE(OFFSET($R$3,0,0,'Données projet'!$E$9+1,1))-AVERAGE(OFFSET($H$3,0,0,'Données projet'!$E$9+1,1))</f>
        <v>635.71275911100679</v>
      </c>
      <c r="T36" s="59">
        <f t="shared" si="34"/>
        <v>281.7776857269169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4.016578947368421</v>
      </c>
      <c r="AI36" s="13">
        <f>IF('Données projet'!$A$62&gt;35,AI35+AH36-AQ35,IF(A36&lt;'Données projet'!$A$62,$AF$205^A36,IF(A36='Données projet'!$A$62,'Données projet'!$B$62,AI35+AH36-AQ35)))</f>
        <v>132.54710526315785</v>
      </c>
      <c r="AJ36" s="13">
        <f>AI36*VLOOKUP('Données projet'!$B$10,Paramètres!$A$1:$I$89,3,0)*VLOOKUP('Données projet'!$B$10,Paramètres!$A$1:$I$89,5,0)</f>
        <v>142.67370410526308</v>
      </c>
      <c r="AK36" s="13">
        <f t="shared" si="35"/>
        <v>36.908837549372954</v>
      </c>
      <c r="AL36" s="20">
        <f t="shared" si="4"/>
        <v>312.77292671515772</v>
      </c>
      <c r="AM36" s="59">
        <f t="shared" si="5"/>
        <v>606.10626004849109</v>
      </c>
      <c r="AN36" s="59">
        <f ca="1">AVERAGE(OFFSET($AM$3,0,0,'Données projet'!$E$10+1,1))-AVERAGE(OFFSET($H$3,0,0,'Données projet'!$E$10+1,1))</f>
        <v>502.65044103360322</v>
      </c>
      <c r="AO36" s="59">
        <f t="shared" si="36"/>
        <v>321.65762891855167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3.3603333333333336</v>
      </c>
      <c r="BD36" s="12">
        <f>IF('Données projet'!$A$88&gt;35,BD35+BC36-BL35,IF(A36&lt;'Données projet'!$A$88,$BA$205^A36,IF(A36='Données projet'!$A$88,'Données projet'!$B$88,BD35+BC36-BL35)))</f>
        <v>110.89099999999999</v>
      </c>
      <c r="BE36" s="13">
        <f>BD36*VLOOKUP('Données projet'!$B$11,Paramètres!$A$1:$I$89,3,0)*VLOOKUP('Données projet'!$B$11,Paramètres!$A$1:$I$89,5,0)</f>
        <v>107.25377520000001</v>
      </c>
      <c r="BF36" s="13">
        <f t="shared" si="37"/>
        <v>28.683003599155882</v>
      </c>
      <c r="BG36" s="20">
        <f t="shared" si="7"/>
        <v>236.75655640852983</v>
      </c>
      <c r="BH36" s="59">
        <f t="shared" si="8"/>
        <v>530.08988974186309</v>
      </c>
      <c r="BI36" s="59">
        <f ca="1">AVERAGE(OFFSET($BH$3,0,0,'Données projet'!$E$11+1,1))-AVERAGE(OFFSET($H$3,0,0,'Données projet'!$E$11+1,1))</f>
        <v>510.71380643466227</v>
      </c>
      <c r="BJ36" s="59">
        <f t="shared" si="38"/>
        <v>252.40654099948841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570.28081665098216</v>
      </c>
      <c r="S37" s="59">
        <f ca="1">AVERAGE(OFFSET($R$3,0,0,'Données projet'!$E$9+1,1))-AVERAGE(OFFSET($H$3,0,0,'Données projet'!$E$9+1,1))</f>
        <v>635.71275911100679</v>
      </c>
      <c r="T37" s="59">
        <f t="shared" si="34"/>
        <v>281.7776857269169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4.016578947368421</v>
      </c>
      <c r="AI37" s="13">
        <f>IF('Données projet'!$A$62&gt;35,AI36+AH37-AQ36,IF(A37&lt;'Données projet'!$A$62,$AF$205^A37,IF(A37='Données projet'!$A$62,'Données projet'!$B$62,AI36+AH37-AQ36)))</f>
        <v>136.56368421052628</v>
      </c>
      <c r="AJ37" s="13">
        <f>AI37*VLOOKUP('Données projet'!$B$10,Paramètres!$A$1:$I$89,3,0)*VLOOKUP('Données projet'!$B$10,Paramètres!$A$1:$I$89,5,0)</f>
        <v>146.99714968421048</v>
      </c>
      <c r="AK37" s="13">
        <f t="shared" si="35"/>
        <v>37.895376046418704</v>
      </c>
      <c r="AL37" s="20">
        <f t="shared" si="4"/>
        <v>322.02114898084585</v>
      </c>
      <c r="AM37" s="59">
        <f t="shared" si="5"/>
        <v>615.35448231417922</v>
      </c>
      <c r="AN37" s="59">
        <f ca="1">AVERAGE(OFFSET($AM$3,0,0,'Données projet'!$E$10+1,1))-AVERAGE(OFFSET($H$3,0,0,'Données projet'!$E$10+1,1))</f>
        <v>502.65044103360322</v>
      </c>
      <c r="AO37" s="59">
        <f t="shared" si="36"/>
        <v>321.65762891855167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3.3603333333333336</v>
      </c>
      <c r="BD37" s="12">
        <f>IF('Données projet'!$A$88&gt;35,BD36+BC37-BL36,IF(A37&lt;'Données projet'!$A$88,$BA$205^A37,IF(A37='Données projet'!$A$88,'Données projet'!$B$88,BD36+BC37-BL36)))</f>
        <v>114.25133333333332</v>
      </c>
      <c r="BE37" s="13">
        <f>BD37*VLOOKUP('Données projet'!$B$11,Paramètres!$A$1:$I$89,3,0)*VLOOKUP('Données projet'!$B$11,Paramètres!$A$1:$I$89,5,0)</f>
        <v>110.50388959999999</v>
      </c>
      <c r="BF37" s="13">
        <f t="shared" si="37"/>
        <v>29.449673295095682</v>
      </c>
      <c r="BG37" s="20">
        <f t="shared" si="7"/>
        <v>243.75245537562498</v>
      </c>
      <c r="BH37" s="59">
        <f t="shared" si="8"/>
        <v>537.08578870895826</v>
      </c>
      <c r="BI37" s="59">
        <f ca="1">AVERAGE(OFFSET($BH$3,0,0,'Données projet'!$E$11+1,1))-AVERAGE(OFFSET($H$3,0,0,'Données projet'!$E$11+1,1))</f>
        <v>510.71380643466227</v>
      </c>
      <c r="BJ37" s="59">
        <f t="shared" si="38"/>
        <v>252.40654099948841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578.22667443838566</v>
      </c>
      <c r="S38" s="59">
        <f ca="1">AVERAGE(OFFSET($R$3,0,0,'Données projet'!$E$9+1,1))-AVERAGE(OFFSET($H$3,0,0,'Données projet'!$E$9+1,1))</f>
        <v>635.71275911100679</v>
      </c>
      <c r="T38" s="59">
        <f t="shared" si="34"/>
        <v>281.7776857269169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4.016578947368421</v>
      </c>
      <c r="AI38" s="13">
        <f>IF('Données projet'!$A$62&gt;35,AI37+AH38-AQ37,IF(A38&lt;'Données projet'!$A$62,$AF$205^A38,IF(A38='Données projet'!$A$62,'Données projet'!$B$62,AI37+AH38-AQ37)))</f>
        <v>140.58026315789471</v>
      </c>
      <c r="AJ38" s="13">
        <f>AI38*VLOOKUP('Données projet'!$B$10,Paramètres!$A$1:$I$89,3,0)*VLOOKUP('Données projet'!$B$10,Paramètres!$A$1:$I$89,5,0)</f>
        <v>151.32059526315786</v>
      </c>
      <c r="AK38" s="13">
        <f t="shared" si="35"/>
        <v>38.878542360991709</v>
      </c>
      <c r="AL38" s="20">
        <f t="shared" si="4"/>
        <v>331.26349802872716</v>
      </c>
      <c r="AM38" s="59">
        <f t="shared" si="5"/>
        <v>624.59683136206047</v>
      </c>
      <c r="AN38" s="59">
        <f ca="1">AVERAGE(OFFSET($AM$3,0,0,'Données projet'!$E$10+1,1))-AVERAGE(OFFSET($H$3,0,0,'Données projet'!$E$10+1,1))</f>
        <v>502.65044103360322</v>
      </c>
      <c r="AO38" s="59">
        <f t="shared" si="36"/>
        <v>321.65762891855167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3.3603333333333336</v>
      </c>
      <c r="BD38" s="12">
        <f>IF('Données projet'!$A$88&gt;35,BD37+BC38-BL37,IF(A38&lt;'Données projet'!$A$88,$BA$205^A38,IF(A38='Données projet'!$A$88,'Données projet'!$B$88,BD37+BC38-BL37)))</f>
        <v>117.61166666666665</v>
      </c>
      <c r="BE38" s="13">
        <f>BD38*VLOOKUP('Données projet'!$B$11,Paramètres!$A$1:$I$89,3,0)*VLOOKUP('Données projet'!$B$11,Paramètres!$A$1:$I$89,5,0)</f>
        <v>113.75400399999999</v>
      </c>
      <c r="BF38" s="13">
        <f t="shared" si="37"/>
        <v>30.213722363336938</v>
      </c>
      <c r="BG38" s="20">
        <f t="shared" si="7"/>
        <v>250.74379008281184</v>
      </c>
      <c r="BH38" s="59">
        <f t="shared" si="8"/>
        <v>544.07712341614513</v>
      </c>
      <c r="BI38" s="59">
        <f ca="1">AVERAGE(OFFSET($BH$3,0,0,'Données projet'!$E$11+1,1))-AVERAGE(OFFSET($H$3,0,0,'Données projet'!$E$11+1,1))</f>
        <v>510.71380643466227</v>
      </c>
      <c r="BJ38" s="59">
        <f t="shared" si="38"/>
        <v>252.40654099948841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586.16757169064044</v>
      </c>
      <c r="S39" s="59">
        <f ca="1">AVERAGE(OFFSET($R$3,0,0,'Données projet'!$E$9+1,1))-AVERAGE(OFFSET($H$3,0,0,'Données projet'!$E$9+1,1))</f>
        <v>635.71275911100679</v>
      </c>
      <c r="T39" s="59">
        <f t="shared" si="34"/>
        <v>281.7776857269169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4.016578947368421</v>
      </c>
      <c r="AI39" s="13">
        <f>IF('Données projet'!$A$62&gt;35,AI38+AH39-AQ38,IF(A39&lt;'Données projet'!$A$62,$AF$205^A39,IF(A39='Données projet'!$A$62,'Données projet'!$B$62,AI38+AH39-AQ38)))</f>
        <v>144.59684210526314</v>
      </c>
      <c r="AJ39" s="13">
        <f>AI39*VLOOKUP('Données projet'!$B$10,Paramètres!$A$1:$I$89,3,0)*VLOOKUP('Données projet'!$B$10,Paramètres!$A$1:$I$89,5,0)</f>
        <v>155.64404084210523</v>
      </c>
      <c r="AK39" s="13">
        <f t="shared" si="35"/>
        <v>39.858443907029468</v>
      </c>
      <c r="AL39" s="20">
        <f t="shared" si="4"/>
        <v>340.50016093807625</v>
      </c>
      <c r="AM39" s="59">
        <f t="shared" si="5"/>
        <v>633.83349427140956</v>
      </c>
      <c r="AN39" s="59">
        <f ca="1">AVERAGE(OFFSET($AM$3,0,0,'Données projet'!$E$10+1,1))-AVERAGE(OFFSET($H$3,0,0,'Données projet'!$E$10+1,1))</f>
        <v>502.65044103360322</v>
      </c>
      <c r="AO39" s="59">
        <f t="shared" si="36"/>
        <v>321.65762891855167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3.3603333333333336</v>
      </c>
      <c r="BD39" s="12">
        <f>IF('Données projet'!$A$88&gt;35,BD38+BC39-BL38,IF(A39&lt;'Données projet'!$A$88,$BA$205^A39,IF(A39='Données projet'!$A$88,'Données projet'!$B$88,BD38+BC39-BL38)))</f>
        <v>120.97199999999998</v>
      </c>
      <c r="BE39" s="13">
        <f>BD39*VLOOKUP('Données projet'!$B$11,Paramètres!$A$1:$I$89,3,0)*VLOOKUP('Données projet'!$B$11,Paramètres!$A$1:$I$89,5,0)</f>
        <v>117.00411839999998</v>
      </c>
      <c r="BF39" s="13">
        <f t="shared" si="37"/>
        <v>30.975234278585425</v>
      </c>
      <c r="BG39" s="20">
        <f t="shared" si="7"/>
        <v>257.73070591520286</v>
      </c>
      <c r="BH39" s="59">
        <f t="shared" si="8"/>
        <v>551.06403924853612</v>
      </c>
      <c r="BI39" s="59">
        <f ca="1">AVERAGE(OFFSET($BH$3,0,0,'Données projet'!$E$11+1,1))-AVERAGE(OFFSET($H$3,0,0,'Données projet'!$E$11+1,1))</f>
        <v>510.71380643466227</v>
      </c>
      <c r="BJ39" s="59">
        <f t="shared" si="38"/>
        <v>252.40654099948841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594.10366203104638</v>
      </c>
      <c r="S40" s="59">
        <f ca="1">AVERAGE(OFFSET($R$3,0,0,'Données projet'!$E$9+1,1))-AVERAGE(OFFSET($H$3,0,0,'Données projet'!$E$9+1,1))</f>
        <v>635.71275911100679</v>
      </c>
      <c r="T40" s="59">
        <f t="shared" si="34"/>
        <v>281.7776857269169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4.016578947368421</v>
      </c>
      <c r="AI40" s="13">
        <f>IF('Données projet'!$A$62&gt;35,AI39+AH40-AQ39,IF(A40&lt;'Données projet'!$A$62,$AF$205^A40,IF(A40='Données projet'!$A$62,'Données projet'!$B$62,AI39+AH40-AQ39)))</f>
        <v>148.61342105263157</v>
      </c>
      <c r="AJ40" s="13">
        <f>AI40*VLOOKUP('Données projet'!$B$10,Paramètres!$A$1:$I$89,3,0)*VLOOKUP('Données projet'!$B$10,Paramètres!$A$1:$I$89,5,0)</f>
        <v>159.96748642105263</v>
      </c>
      <c r="AK40" s="13">
        <f t="shared" si="35"/>
        <v>40.835181791469168</v>
      </c>
      <c r="AL40" s="20">
        <f t="shared" si="4"/>
        <v>349.73131380347536</v>
      </c>
      <c r="AM40" s="59">
        <f t="shared" si="5"/>
        <v>643.06464713680862</v>
      </c>
      <c r="AN40" s="59">
        <f ca="1">AVERAGE(OFFSET($AM$3,0,0,'Données projet'!$E$10+1,1))-AVERAGE(OFFSET($H$3,0,0,'Données projet'!$E$10+1,1))</f>
        <v>502.65044103360322</v>
      </c>
      <c r="AO40" s="59">
        <f t="shared" si="36"/>
        <v>321.65762891855167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3.3603333333333336</v>
      </c>
      <c r="BD40" s="12">
        <f>IF('Données projet'!$A$88&gt;35,BD39+BC40-BL39,IF(A40&lt;'Données projet'!$A$88,$BA$205^A40,IF(A40='Données projet'!$A$88,'Données projet'!$B$88,BD39+BC40-BL39)))</f>
        <v>124.33233333333331</v>
      </c>
      <c r="BE40" s="13">
        <f>BD40*VLOOKUP('Données projet'!$B$11,Paramètres!$A$1:$I$89,3,0)*VLOOKUP('Données projet'!$B$11,Paramètres!$A$1:$I$89,5,0)</f>
        <v>120.25423279999997</v>
      </c>
      <c r="BF40" s="13">
        <f t="shared" si="37"/>
        <v>31.734287614181273</v>
      </c>
      <c r="BG40" s="20">
        <f t="shared" si="7"/>
        <v>264.71333972136563</v>
      </c>
      <c r="BH40" s="59">
        <f t="shared" si="8"/>
        <v>558.04667305469889</v>
      </c>
      <c r="BI40" s="59">
        <f ca="1">AVERAGE(OFFSET($BH$3,0,0,'Données projet'!$E$11+1,1))-AVERAGE(OFFSET($H$3,0,0,'Données projet'!$E$11+1,1))</f>
        <v>510.71380643466227</v>
      </c>
      <c r="BJ40" s="59">
        <f t="shared" si="38"/>
        <v>252.40654099948841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602.03509030623036</v>
      </c>
      <c r="S41" s="59">
        <f ca="1">AVERAGE(OFFSET($R$3,0,0,'Données projet'!$E$9+1,1))-AVERAGE(OFFSET($H$3,0,0,'Données projet'!$E$9+1,1))</f>
        <v>635.71275911100679</v>
      </c>
      <c r="T41" s="59">
        <f t="shared" si="34"/>
        <v>281.7776857269169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152.63</v>
      </c>
      <c r="AG41" s="12">
        <f>VLOOKUP(A41,'Données projet'!$A$61:$I$81,9,0)</f>
        <v>4.016578947368421</v>
      </c>
      <c r="AH41" s="12">
        <f t="array" ref="AH41">INDEX(AG:AG,MIN(IF(ISNUMBER(AG41:AG237),ROW(AG41:AG237),"")))</f>
        <v>4.016578947368421</v>
      </c>
      <c r="AI41" s="13">
        <f>IF('Données projet'!$A$62&gt;35,AI40+AH41-AQ40,IF(A41&lt;'Données projet'!$A$62,$AF$205^A41,IF(A41='Données projet'!$A$62,'Données projet'!$B$62,AI40+AH41-AQ40)))</f>
        <v>152.63</v>
      </c>
      <c r="AJ41" s="13">
        <f>AI41*VLOOKUP('Données projet'!$B$10,Paramètres!$A$1:$I$89,3,0)*VLOOKUP('Données projet'!$B$10,Paramètres!$A$1:$I$89,5,0)</f>
        <v>164.290932</v>
      </c>
      <c r="AK41" s="13">
        <f t="shared" si="35"/>
        <v>41.808851344894258</v>
      </c>
      <c r="AL41" s="20">
        <f t="shared" si="4"/>
        <v>358.95712265902421</v>
      </c>
      <c r="AM41" s="59">
        <f t="shared" si="5"/>
        <v>652.29045599235747</v>
      </c>
      <c r="AN41" s="59">
        <f ca="1">AVERAGE(OFFSET($AM$3,0,0,'Données projet'!$E$10+1,1))-AVERAGE(OFFSET($H$3,0,0,'Données projet'!$E$10+1,1))</f>
        <v>502.65044103360322</v>
      </c>
      <c r="AO41" s="59">
        <f t="shared" si="36"/>
        <v>321.65762891855167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71.569999999999993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0.34400000000000003</v>
      </c>
      <c r="AT41" s="16">
        <f>IF(ISNA(VLOOKUP(A41,'Données projet'!$A$61:$I$81,7,0)),0%,VLOOKUP(A41,'Données projet'!$A$61:$I$81,7,0))</f>
        <v>0.2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29.180780319338094</v>
      </c>
      <c r="AW41" s="21">
        <f>EXP(-LN(2)/2)*AW40+(1-EXP(-LN(2)/2))/(LN(2)/2)*AQ41*AT41*VLOOKUP('Données projet'!$B$10,Paramètres!$A$1:$I$89,3,0)*0.475*44/12</f>
        <v>14.537475476794066</v>
      </c>
      <c r="AX41" s="21">
        <f t="shared" si="6"/>
        <v>43.718255796132162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3.3603333333333336</v>
      </c>
      <c r="BD41" s="12">
        <f>IF('Données projet'!$A$88&gt;35,BD40+BC41-BL40,IF(A41&lt;'Données projet'!$A$88,$BA$205^A41,IF(A41='Données projet'!$A$88,'Données projet'!$B$88,BD40+BC41-BL40)))</f>
        <v>127.69266666666664</v>
      </c>
      <c r="BE41" s="13">
        <f>BD41*VLOOKUP('Données projet'!$B$11,Paramètres!$A$1:$I$89,3,0)*VLOOKUP('Données projet'!$B$11,Paramètres!$A$1:$I$89,5,0)</f>
        <v>123.50434719999998</v>
      </c>
      <c r="BF41" s="13">
        <f t="shared" si="37"/>
        <v>32.490956454480575</v>
      </c>
      <c r="BG41" s="20">
        <f t="shared" si="7"/>
        <v>271.69182053155362</v>
      </c>
      <c r="BH41" s="59">
        <f t="shared" si="8"/>
        <v>565.02515386488699</v>
      </c>
      <c r="BI41" s="59">
        <f ca="1">AVERAGE(OFFSET($BH$3,0,0,'Données projet'!$E$11+1,1))-AVERAGE(OFFSET($H$3,0,0,'Données projet'!$E$11+1,1))</f>
        <v>510.71380643466227</v>
      </c>
      <c r="BJ41" s="59">
        <f t="shared" si="38"/>
        <v>252.40654099948841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609.96199330516015</v>
      </c>
      <c r="S42" s="59">
        <f ca="1">AVERAGE(OFFSET($R$3,0,0,'Données projet'!$E$9+1,1))-AVERAGE(OFFSET($H$3,0,0,'Données projet'!$E$9+1,1))</f>
        <v>635.71275911100679</v>
      </c>
      <c r="T42" s="59">
        <f t="shared" si="34"/>
        <v>281.7776857269169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9.8128571428571423</v>
      </c>
      <c r="AI42" s="13">
        <f>IF('Données projet'!$A$62&gt;35,AI41+AH42-AQ41,IF(A42&lt;'Données projet'!$A$62,$AF$205^A42,IF(A42='Données projet'!$A$62,'Données projet'!$B$62,AI41+AH42-AQ41)))</f>
        <v>90.872857142857157</v>
      </c>
      <c r="AJ42" s="13">
        <f>AI42*VLOOKUP('Données projet'!$B$10,Paramètres!$A$1:$I$89,3,0)*VLOOKUP('Données projet'!$B$10,Paramètres!$A$1:$I$89,5,0)</f>
        <v>97.815543428571445</v>
      </c>
      <c r="AK42" s="13">
        <f t="shared" si="35"/>
        <v>26.44091381797092</v>
      </c>
      <c r="AL42" s="20">
        <f t="shared" si="4"/>
        <v>216.41332970439461</v>
      </c>
      <c r="AM42" s="59">
        <f t="shared" si="5"/>
        <v>509.7466630377279</v>
      </c>
      <c r="AN42" s="59">
        <f ca="1">AVERAGE(OFFSET($AM$3,0,0,'Données projet'!$E$10+1,1))-AVERAGE(OFFSET($H$3,0,0,'Données projet'!$E$10+1,1))</f>
        <v>502.65044103360322</v>
      </c>
      <c r="AO42" s="59">
        <f t="shared" si="36"/>
        <v>321.65762891855167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28.382830346955249</v>
      </c>
      <c r="AW42" s="21">
        <f>EXP(-LN(2)/2)*AW41+(1-EXP(-LN(2)/2))/(LN(2)/2)*AQ42*AT42*VLOOKUP('Données projet'!$B$10,Paramètres!$A$1:$I$89,3,0)*0.475*44/12</f>
        <v>10.279547490974224</v>
      </c>
      <c r="AX42" s="21">
        <f t="shared" si="6"/>
        <v>38.662377837929469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3.3603333333333336</v>
      </c>
      <c r="BD42" s="12">
        <f>IF('Données projet'!$A$88&gt;35,BD41+BC42-BL41,IF(A42&lt;'Données projet'!$A$88,$BA$205^A42,IF(A42='Données projet'!$A$88,'Données projet'!$B$88,BD41+BC42-BL41)))</f>
        <v>131.05299999999997</v>
      </c>
      <c r="BE42" s="13">
        <f>BD42*VLOOKUP('Données projet'!$B$11,Paramètres!$A$1:$I$89,3,0)*VLOOKUP('Données projet'!$B$11,Paramètres!$A$1:$I$89,5,0)</f>
        <v>126.75446159999998</v>
      </c>
      <c r="BF42" s="13">
        <f t="shared" si="37"/>
        <v>33.245310762607936</v>
      </c>
      <c r="BG42" s="20">
        <f t="shared" si="7"/>
        <v>278.66627019820879</v>
      </c>
      <c r="BH42" s="59">
        <f t="shared" si="8"/>
        <v>571.99960353154211</v>
      </c>
      <c r="BI42" s="59">
        <f ca="1">AVERAGE(OFFSET($BH$3,0,0,'Données projet'!$E$11+1,1))-AVERAGE(OFFSET($H$3,0,0,'Données projet'!$E$11+1,1))</f>
        <v>510.71380643466227</v>
      </c>
      <c r="BJ42" s="59">
        <f t="shared" si="38"/>
        <v>252.40654099948841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617.88450040233704</v>
      </c>
      <c r="S43" s="59">
        <f ca="1">AVERAGE(OFFSET($R$3,0,0,'Données projet'!$E$9+1,1))-AVERAGE(OFFSET($H$3,0,0,'Données projet'!$E$9+1,1))</f>
        <v>635.71275911100679</v>
      </c>
      <c r="T43" s="59">
        <f t="shared" si="34"/>
        <v>281.7776857269169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9.8128571428571423</v>
      </c>
      <c r="AI43" s="13">
        <f>IF('Données projet'!$A$62&gt;35,AI42+AH43-AQ42,IF(A43&lt;'Données projet'!$A$62,$AF$205^A43,IF(A43='Données projet'!$A$62,'Données projet'!$B$62,AI42+AH43-AQ42)))</f>
        <v>100.6857142857143</v>
      </c>
      <c r="AJ43" s="13">
        <f>AI43*VLOOKUP('Données projet'!$B$10,Paramètres!$A$1:$I$89,3,0)*VLOOKUP('Données projet'!$B$10,Paramètres!$A$1:$I$89,5,0)</f>
        <v>108.37810285714286</v>
      </c>
      <c r="AK43" s="13">
        <f t="shared" si="35"/>
        <v>28.948523222937034</v>
      </c>
      <c r="AL43" s="20">
        <f t="shared" si="4"/>
        <v>239.17720708947249</v>
      </c>
      <c r="AM43" s="59">
        <f t="shared" si="5"/>
        <v>532.51054042280578</v>
      </c>
      <c r="AN43" s="59">
        <f ca="1">AVERAGE(OFFSET($AM$3,0,0,'Données projet'!$E$10+1,1))-AVERAGE(OFFSET($H$3,0,0,'Données projet'!$E$10+1,1))</f>
        <v>502.65044103360322</v>
      </c>
      <c r="AO43" s="59">
        <f t="shared" si="36"/>
        <v>321.65762891855167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27.606700358529579</v>
      </c>
      <c r="AW43" s="21">
        <f>EXP(-LN(2)/2)*AW42+(1-EXP(-LN(2)/2))/(LN(2)/2)*AQ43*AT43*VLOOKUP('Données projet'!$B$10,Paramètres!$A$1:$I$89,3,0)*0.475*44/12</f>
        <v>7.2687377383970349</v>
      </c>
      <c r="AX43" s="21">
        <f t="shared" si="6"/>
        <v>34.875438096926615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3.3603333333333336</v>
      </c>
      <c r="BD43" s="12">
        <f>IF('Données projet'!$A$88&gt;35,BD42+BC43-BL42,IF(A43&lt;'Données projet'!$A$88,$BA$205^A43,IF(A43='Données projet'!$A$88,'Données projet'!$B$88,BD42+BC43-BL42)))</f>
        <v>134.4133333333333</v>
      </c>
      <c r="BE43" s="13">
        <f>BD43*VLOOKUP('Données projet'!$B$11,Paramètres!$A$1:$I$89,3,0)*VLOOKUP('Données projet'!$B$11,Paramètres!$A$1:$I$89,5,0)</f>
        <v>130.00457599999996</v>
      </c>
      <c r="BF43" s="13">
        <f t="shared" si="37"/>
        <v>33.997416709428933</v>
      </c>
      <c r="BG43" s="20">
        <f t="shared" si="7"/>
        <v>285.63680396892198</v>
      </c>
      <c r="BH43" s="59">
        <f t="shared" si="8"/>
        <v>578.97013730225535</v>
      </c>
      <c r="BI43" s="59">
        <f ca="1">AVERAGE(OFFSET($BH$3,0,0,'Données projet'!$E$11+1,1))-AVERAGE(OFFSET($H$3,0,0,'Données projet'!$E$11+1,1))</f>
        <v>510.71380643466227</v>
      </c>
      <c r="BJ43" s="59">
        <f t="shared" si="38"/>
        <v>252.40654099948841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625.80273413486134</v>
      </c>
      <c r="S44" s="59">
        <f ca="1">AVERAGE(OFFSET($R$3,0,0,'Données projet'!$E$9+1,1))-AVERAGE(OFFSET($H$3,0,0,'Données projet'!$E$9+1,1))</f>
        <v>635.71275911100679</v>
      </c>
      <c r="T44" s="59">
        <f t="shared" si="34"/>
        <v>281.7776857269169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9.8128571428571423</v>
      </c>
      <c r="AI44" s="13">
        <f>IF('Données projet'!$A$62&gt;35,AI43+AH44-AQ43,IF(A44&lt;'Données projet'!$A$62,$AF$205^A44,IF(A44='Données projet'!$A$62,'Données projet'!$B$62,AI43+AH44-AQ43)))</f>
        <v>110.49857142857144</v>
      </c>
      <c r="AJ44" s="13">
        <f>AI44*VLOOKUP('Données projet'!$B$10,Paramètres!$A$1:$I$89,3,0)*VLOOKUP('Données projet'!$B$10,Paramètres!$A$1:$I$89,5,0)</f>
        <v>118.9406622857143</v>
      </c>
      <c r="AK44" s="13">
        <f t="shared" si="35"/>
        <v>31.427798808658942</v>
      </c>
      <c r="AL44" s="20">
        <f t="shared" si="4"/>
        <v>261.89173640603332</v>
      </c>
      <c r="AM44" s="59">
        <f t="shared" si="5"/>
        <v>555.22506973936663</v>
      </c>
      <c r="AN44" s="59">
        <f ca="1">AVERAGE(OFFSET($AM$3,0,0,'Données projet'!$E$10+1,1))-AVERAGE(OFFSET($H$3,0,0,'Données projet'!$E$10+1,1))</f>
        <v>502.65044103360322</v>
      </c>
      <c r="AO44" s="59">
        <f t="shared" si="36"/>
        <v>321.65762891855167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26.851793685452311</v>
      </c>
      <c r="AW44" s="21">
        <f>EXP(-LN(2)/2)*AW43+(1-EXP(-LN(2)/2))/(LN(2)/2)*AQ44*AT44*VLOOKUP('Données projet'!$B$10,Paramètres!$A$1:$I$89,3,0)*0.475*44/12</f>
        <v>5.1397737454871129</v>
      </c>
      <c r="AX44" s="21">
        <f t="shared" si="6"/>
        <v>31.991567430939423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3.3603333333333336</v>
      </c>
      <c r="BD44" s="12">
        <f>IF('Données projet'!$A$88&gt;35,BD43+BC44-BL43,IF(A44&lt;'Données projet'!$A$88,$BA$205^A44,IF(A44='Données projet'!$A$88,'Données projet'!$B$88,BD43+BC44-BL43)))</f>
        <v>137.77366666666663</v>
      </c>
      <c r="BE44" s="13">
        <f>BD44*VLOOKUP('Données projet'!$B$11,Paramètres!$A$1:$I$89,3,0)*VLOOKUP('Données projet'!$B$11,Paramètres!$A$1:$I$89,5,0)</f>
        <v>133.25469039999996</v>
      </c>
      <c r="BF44" s="13">
        <f t="shared" si="37"/>
        <v>34.747336968699585</v>
      </c>
      <c r="BG44" s="20">
        <f t="shared" si="7"/>
        <v>292.60353100048502</v>
      </c>
      <c r="BH44" s="59">
        <f t="shared" si="8"/>
        <v>585.93686433381833</v>
      </c>
      <c r="BI44" s="59">
        <f ca="1">AVERAGE(OFFSET($BH$3,0,0,'Données projet'!$E$11+1,1))-AVERAGE(OFFSET($H$3,0,0,'Données projet'!$E$11+1,1))</f>
        <v>510.71380643466227</v>
      </c>
      <c r="BJ44" s="59">
        <f t="shared" si="38"/>
        <v>252.40654099948841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633.71681072161061</v>
      </c>
      <c r="S45" s="59">
        <f ca="1">AVERAGE(OFFSET($R$3,0,0,'Données projet'!$E$9+1,1))-AVERAGE(OFFSET($H$3,0,0,'Données projet'!$E$9+1,1))</f>
        <v>635.71275911100679</v>
      </c>
      <c r="T45" s="59">
        <f t="shared" si="34"/>
        <v>281.7776857269169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9.8128571428571423</v>
      </c>
      <c r="AI45" s="13">
        <f>IF('Données projet'!$A$62&gt;35,AI44+AH45-AQ44,IF(A45&lt;'Données projet'!$A$62,$AF$205^A45,IF(A45='Données projet'!$A$62,'Données projet'!$B$62,AI44+AH45-AQ44)))</f>
        <v>120.31142857142858</v>
      </c>
      <c r="AJ45" s="13">
        <f>AI45*VLOOKUP('Données projet'!$B$10,Paramètres!$A$1:$I$89,3,0)*VLOOKUP('Données projet'!$B$10,Paramètres!$A$1:$I$89,5,0)</f>
        <v>129.5032217142857</v>
      </c>
      <c r="AK45" s="13">
        <f t="shared" si="35"/>
        <v>33.881542889982931</v>
      </c>
      <c r="AL45" s="20">
        <f t="shared" si="4"/>
        <v>284.56179835243455</v>
      </c>
      <c r="AM45" s="59">
        <f t="shared" si="5"/>
        <v>577.89513168576786</v>
      </c>
      <c r="AN45" s="59">
        <f ca="1">AVERAGE(OFFSET($AM$3,0,0,'Données projet'!$E$10+1,1))-AVERAGE(OFFSET($H$3,0,0,'Données projet'!$E$10+1,1))</f>
        <v>502.65044103360322</v>
      </c>
      <c r="AO45" s="59">
        <f t="shared" si="36"/>
        <v>321.65762891855167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26.117529975049159</v>
      </c>
      <c r="AW45" s="21">
        <f>EXP(-LN(2)/2)*AW44+(1-EXP(-LN(2)/2))/(LN(2)/2)*AQ45*AT45*VLOOKUP('Données projet'!$B$10,Paramètres!$A$1:$I$89,3,0)*0.475*44/12</f>
        <v>3.6343688691985179</v>
      </c>
      <c r="AX45" s="21">
        <f t="shared" si="6"/>
        <v>29.751898844247677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3.3603333333333336</v>
      </c>
      <c r="BD45" s="12">
        <f>IF('Données projet'!$A$88&gt;35,BD44+BC45-BL44,IF(A45&lt;'Données projet'!$A$88,$BA$205^A45,IF(A45='Données projet'!$A$88,'Données projet'!$B$88,BD44+BC45-BL44)))</f>
        <v>141.13399999999996</v>
      </c>
      <c r="BE45" s="13">
        <f>BD45*VLOOKUP('Données projet'!$B$11,Paramètres!$A$1:$I$89,3,0)*VLOOKUP('Données projet'!$B$11,Paramètres!$A$1:$I$89,5,0)</f>
        <v>136.50480479999996</v>
      </c>
      <c r="BF45" s="13">
        <f t="shared" si="37"/>
        <v>35.49513098260995</v>
      </c>
      <c r="BG45" s="20">
        <f t="shared" si="7"/>
        <v>299.56655482137893</v>
      </c>
      <c r="BH45" s="59">
        <f t="shared" si="8"/>
        <v>592.89988815471224</v>
      </c>
      <c r="BI45" s="59">
        <f ca="1">AVERAGE(OFFSET($BH$3,0,0,'Données projet'!$E$11+1,1))-AVERAGE(OFFSET($H$3,0,0,'Données projet'!$E$11+1,1))</f>
        <v>510.71380643466227</v>
      </c>
      <c r="BJ45" s="59">
        <f t="shared" si="38"/>
        <v>252.40654099948841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567.08551362729156</v>
      </c>
      <c r="S46" s="59">
        <f ca="1">AVERAGE(OFFSET($R$3,0,0,'Données projet'!$E$9+1,1))-AVERAGE(OFFSET($H$3,0,0,'Données projet'!$E$9+1,1))</f>
        <v>635.71275911100679</v>
      </c>
      <c r="T46" s="59">
        <f t="shared" si="34"/>
        <v>281.7776857269169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9.8128571428571423</v>
      </c>
      <c r="AI46" s="13">
        <f>IF('Données projet'!$A$62&gt;35,AI45+AH46-AQ45,IF(A46&lt;'Données projet'!$A$62,$AF$205^A46,IF(A46='Données projet'!$A$62,'Données projet'!$B$62,AI45+AH46-AQ45)))</f>
        <v>130.12428571428572</v>
      </c>
      <c r="AJ46" s="13">
        <f>AI46*VLOOKUP('Données projet'!$B$10,Paramètres!$A$1:$I$89,3,0)*VLOOKUP('Données projet'!$B$10,Paramètres!$A$1:$I$89,5,0)</f>
        <v>140.06578114285713</v>
      </c>
      <c r="AK46" s="13">
        <f t="shared" si="35"/>
        <v>36.312074619085465</v>
      </c>
      <c r="AL46" s="20">
        <f t="shared" si="4"/>
        <v>307.1914321187167</v>
      </c>
      <c r="AM46" s="59">
        <f t="shared" si="5"/>
        <v>600.52476545205002</v>
      </c>
      <c r="AN46" s="59">
        <f ca="1">AVERAGE(OFFSET($AM$3,0,0,'Données projet'!$E$10+1,1))-AVERAGE(OFFSET($H$3,0,0,'Données projet'!$E$10+1,1))</f>
        <v>502.65044103360322</v>
      </c>
      <c r="AO46" s="59">
        <f t="shared" si="36"/>
        <v>321.65762891855167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25.403344744420231</v>
      </c>
      <c r="AW46" s="21">
        <f>EXP(-LN(2)/2)*AW45+(1-EXP(-LN(2)/2))/(LN(2)/2)*AQ46*AT46*VLOOKUP('Données projet'!$B$10,Paramètres!$A$1:$I$89,3,0)*0.475*44/12</f>
        <v>2.5698868727435569</v>
      </c>
      <c r="AX46" s="21">
        <f t="shared" si="6"/>
        <v>27.973231617163787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3.3603333333333336</v>
      </c>
      <c r="BD46" s="12">
        <f>IF('Données projet'!$A$88&gt;35,BD45+BC46-BL45,IF(A46&lt;'Données projet'!$A$88,$BA$205^A46,IF(A46='Données projet'!$A$88,'Données projet'!$B$88,BD45+BC46-BL45)))</f>
        <v>144.49433333333329</v>
      </c>
      <c r="BE46" s="13">
        <f>BD46*VLOOKUP('Données projet'!$B$11,Paramètres!$A$1:$I$89,3,0)*VLOOKUP('Données projet'!$B$11,Paramètres!$A$1:$I$89,5,0)</f>
        <v>139.75491919999996</v>
      </c>
      <c r="BF46" s="13">
        <f t="shared" si="37"/>
        <v>36.240855201325502</v>
      </c>
      <c r="BG46" s="20">
        <f t="shared" si="7"/>
        <v>306.52597374897516</v>
      </c>
      <c r="BH46" s="59">
        <f t="shared" si="8"/>
        <v>599.85930708230853</v>
      </c>
      <c r="BI46" s="59">
        <f ca="1">AVERAGE(OFFSET($BH$3,0,0,'Données projet'!$E$11+1,1))-AVERAGE(OFFSET($H$3,0,0,'Données projet'!$E$11+1,1))</f>
        <v>510.71380643466227</v>
      </c>
      <c r="BJ46" s="59">
        <f t="shared" si="38"/>
        <v>252.40654099948841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586.70214716038106</v>
      </c>
      <c r="S47" s="59">
        <f ca="1">AVERAGE(OFFSET($R$3,0,0,'Données projet'!$E$9+1,1))-AVERAGE(OFFSET($H$3,0,0,'Données projet'!$E$9+1,1))</f>
        <v>635.71275911100679</v>
      </c>
      <c r="T47" s="59">
        <f t="shared" si="34"/>
        <v>281.7776857269169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9.8128571428571423</v>
      </c>
      <c r="AI47" s="13">
        <f>IF('Données projet'!$A$62&gt;35,AI46+AH47-AQ46,IF(A47&lt;'Données projet'!$A$62,$AF$205^A47,IF(A47='Données projet'!$A$62,'Données projet'!$B$62,AI46+AH47-AQ46)))</f>
        <v>139.93714285714287</v>
      </c>
      <c r="AJ47" s="13">
        <f>AI47*VLOOKUP('Données projet'!$B$10,Paramètres!$A$1:$I$89,3,0)*VLOOKUP('Données projet'!$B$10,Paramètres!$A$1:$I$89,5,0)</f>
        <v>150.62834057142859</v>
      </c>
      <c r="AK47" s="13">
        <f t="shared" si="35"/>
        <v>38.721343512275389</v>
      </c>
      <c r="AL47" s="20">
        <f t="shared" si="4"/>
        <v>329.78403311245108</v>
      </c>
      <c r="AM47" s="59">
        <f t="shared" si="5"/>
        <v>623.11736644578446</v>
      </c>
      <c r="AN47" s="59">
        <f ca="1">AVERAGE(OFFSET($AM$3,0,0,'Données projet'!$E$10+1,1))-AVERAGE(OFFSET($H$3,0,0,'Données projet'!$E$10+1,1))</f>
        <v>502.65044103360322</v>
      </c>
      <c r="AO47" s="59">
        <f t="shared" si="36"/>
        <v>321.65762891855167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24.708688946480219</v>
      </c>
      <c r="AW47" s="21">
        <f>EXP(-LN(2)/2)*AW46+(1-EXP(-LN(2)/2))/(LN(2)/2)*AQ47*AT47*VLOOKUP('Données projet'!$B$10,Paramètres!$A$1:$I$89,3,0)*0.475*44/12</f>
        <v>1.8171844345992594</v>
      </c>
      <c r="AX47" s="21">
        <f t="shared" si="6"/>
        <v>26.525873381079478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3.3603333333333336</v>
      </c>
      <c r="BD47" s="12">
        <f>IF('Données projet'!$A$88&gt;35,BD46+BC47-BL46,IF(A47&lt;'Données projet'!$A$88,$BA$205^A47,IF(A47='Données projet'!$A$88,'Données projet'!$B$88,BD46+BC47-BL46)))</f>
        <v>147.85466666666662</v>
      </c>
      <c r="BE47" s="13">
        <f>BD47*VLOOKUP('Données projet'!$B$11,Paramètres!$A$1:$I$89,3,0)*VLOOKUP('Données projet'!$B$11,Paramètres!$A$1:$I$89,5,0)</f>
        <v>143.00503359999996</v>
      </c>
      <c r="BF47" s="13">
        <f t="shared" si="37"/>
        <v>36.984563299617569</v>
      </c>
      <c r="BG47" s="20">
        <f t="shared" si="7"/>
        <v>313.48188126683385</v>
      </c>
      <c r="BH47" s="59">
        <f t="shared" si="8"/>
        <v>606.81521460016711</v>
      </c>
      <c r="BI47" s="59">
        <f ca="1">AVERAGE(OFFSET($BH$3,0,0,'Données projet'!$E$11+1,1))-AVERAGE(OFFSET($H$3,0,0,'Données projet'!$E$11+1,1))</f>
        <v>510.71380643466227</v>
      </c>
      <c r="BJ47" s="59">
        <f t="shared" si="38"/>
        <v>252.40654099948841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606.28950942736401</v>
      </c>
      <c r="S48" s="59">
        <f ca="1">AVERAGE(OFFSET($R$3,0,0,'Données projet'!$E$9+1,1))-AVERAGE(OFFSET($H$3,0,0,'Données projet'!$E$9+1,1))</f>
        <v>635.71275911100679</v>
      </c>
      <c r="T48" s="59">
        <f t="shared" si="34"/>
        <v>281.7776857269169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149.75</v>
      </c>
      <c r="AG48" s="12">
        <f>VLOOKUP(A48,'Données projet'!$A$61:$I$81,9,0)</f>
        <v>9.8128571428571423</v>
      </c>
      <c r="AH48" s="12">
        <f t="array" ref="AH48">INDEX(AG:AG,MIN(IF(ISNUMBER(AG48:AG244),ROW(AG48:AG244),"")))</f>
        <v>9.8128571428571423</v>
      </c>
      <c r="AI48" s="13">
        <f>IF('Données projet'!$A$62&gt;35,AI47+AH48-AQ47,IF(A48&lt;'Données projet'!$A$62,$AF$205^A48,IF(A48='Données projet'!$A$62,'Données projet'!$B$62,AI47+AH48-AQ47)))</f>
        <v>149.75000000000003</v>
      </c>
      <c r="AJ48" s="13">
        <f>AI48*VLOOKUP('Données projet'!$B$10,Paramètres!$A$1:$I$89,3,0)*VLOOKUP('Données projet'!$B$10,Paramètres!$A$1:$I$89,5,0)</f>
        <v>161.19090000000003</v>
      </c>
      <c r="AK48" s="13">
        <f t="shared" si="35"/>
        <v>41.111010187440861</v>
      </c>
      <c r="AL48" s="20">
        <f t="shared" si="4"/>
        <v>352.3424935764595</v>
      </c>
      <c r="AM48" s="59">
        <f t="shared" si="5"/>
        <v>645.67582690979282</v>
      </c>
      <c r="AN48" s="59">
        <f ca="1">AVERAGE(OFFSET($AM$3,0,0,'Données projet'!$E$10+1,1))-AVERAGE(OFFSET($H$3,0,0,'Données projet'!$E$10+1,1))</f>
        <v>502.65044103360322</v>
      </c>
      <c r="AO48" s="59">
        <f t="shared" si="36"/>
        <v>321.65762891855167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41.69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0.34400000000000003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41.031026752604731</v>
      </c>
      <c r="AW48" s="21">
        <f>EXP(-LN(2)/2)*AW47+(1-EXP(-LN(2)/2))/(LN(2)/2)*AQ48*AT48*VLOOKUP('Données projet'!$B$10,Paramètres!$A$1:$I$89,3,0)*0.475*44/12</f>
        <v>9.7531193847795556</v>
      </c>
      <c r="AX48" s="21">
        <f t="shared" si="6"/>
        <v>50.784146137384283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3.3603333333333336</v>
      </c>
      <c r="BD48" s="12">
        <f>IF('Données projet'!$A$88&gt;35,BD47+BC48-BL47,IF(A48&lt;'Données projet'!$A$88,$BA$205^A48,IF(A48='Données projet'!$A$88,'Données projet'!$B$88,BD47+BC48-BL47)))</f>
        <v>151.21499999999995</v>
      </c>
      <c r="BE48" s="13">
        <f>BD48*VLOOKUP('Données projet'!$B$11,Paramètres!$A$1:$I$89,3,0)*VLOOKUP('Données projet'!$B$11,Paramètres!$A$1:$I$89,5,0)</f>
        <v>146.25514799999996</v>
      </c>
      <c r="BF48" s="13">
        <f t="shared" si="37"/>
        <v>37.726306373245144</v>
      </c>
      <c r="BG48" s="20">
        <f t="shared" si="7"/>
        <v>320.43436636673522</v>
      </c>
      <c r="BH48" s="59">
        <f t="shared" si="8"/>
        <v>613.76769970006853</v>
      </c>
      <c r="BI48" s="59">
        <f ca="1">AVERAGE(OFFSET($BH$3,0,0,'Données projet'!$E$11+1,1))-AVERAGE(OFFSET($H$3,0,0,'Données projet'!$E$11+1,1))</f>
        <v>510.71380643466227</v>
      </c>
      <c r="BJ48" s="59">
        <f t="shared" si="38"/>
        <v>252.40654099948841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625.84968951078758</v>
      </c>
      <c r="S49" s="59">
        <f ca="1">AVERAGE(OFFSET($R$3,0,0,'Données projet'!$E$9+1,1))-AVERAGE(OFFSET($H$3,0,0,'Données projet'!$E$9+1,1))</f>
        <v>635.71275911100679</v>
      </c>
      <c r="T49" s="59">
        <f t="shared" si="34"/>
        <v>281.7776857269169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10.001428571428571</v>
      </c>
      <c r="AI49" s="13">
        <f>IF('Données projet'!$A$62&gt;35,AI48+AH49-AQ48,IF(A49&lt;'Données projet'!$A$62,$AF$205^A49,IF(A49='Données projet'!$A$62,'Données projet'!$B$62,AI48+AH49-AQ48)))</f>
        <v>118.06142857142859</v>
      </c>
      <c r="AJ49" s="13">
        <f>AI49*VLOOKUP('Données projet'!$B$10,Paramètres!$A$1:$I$89,3,0)*VLOOKUP('Données projet'!$B$10,Paramètres!$A$1:$I$89,5,0)</f>
        <v>127.08132171428572</v>
      </c>
      <c r="AK49" s="13">
        <f t="shared" si="35"/>
        <v>33.321049778221109</v>
      </c>
      <c r="AL49" s="20">
        <f t="shared" si="4"/>
        <v>279.36746368278273</v>
      </c>
      <c r="AM49" s="59">
        <f t="shared" si="5"/>
        <v>572.70079701611598</v>
      </c>
      <c r="AN49" s="59">
        <f ca="1">AVERAGE(OFFSET($AM$3,0,0,'Données projet'!$E$10+1,1))-AVERAGE(OFFSET($H$3,0,0,'Données projet'!$E$10+1,1))</f>
        <v>502.65044103360322</v>
      </c>
      <c r="AO49" s="59">
        <f t="shared" si="36"/>
        <v>321.65762891855167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39.909031168326834</v>
      </c>
      <c r="AW49" s="21">
        <f>EXP(-LN(2)/2)*AW48+(1-EXP(-LN(2)/2))/(LN(2)/2)*AQ49*AT49*VLOOKUP('Données projet'!$B$10,Paramètres!$A$1:$I$89,3,0)*0.475*44/12</f>
        <v>6.8964968546995928</v>
      </c>
      <c r="AX49" s="21">
        <f t="shared" si="6"/>
        <v>46.805528023026426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3.3603333333333336</v>
      </c>
      <c r="BD49" s="12">
        <f>IF('Données projet'!$A$88&gt;35,BD48+BC49-BL48,IF(A49&lt;'Données projet'!$A$88,$BA$205^A49,IF(A49='Données projet'!$A$88,'Données projet'!$B$88,BD48+BC49-BL48)))</f>
        <v>154.57533333333328</v>
      </c>
      <c r="BE49" s="13">
        <f>BD49*VLOOKUP('Données projet'!$B$11,Paramètres!$A$1:$I$89,3,0)*VLOOKUP('Données projet'!$B$11,Paramètres!$A$1:$I$89,5,0)</f>
        <v>149.50526239999994</v>
      </c>
      <c r="BF49" s="13">
        <f t="shared" si="37"/>
        <v>38.466133117388303</v>
      </c>
      <c r="BG49" s="20">
        <f t="shared" si="7"/>
        <v>327.38351385945117</v>
      </c>
      <c r="BH49" s="59">
        <f t="shared" si="8"/>
        <v>620.71684719278448</v>
      </c>
      <c r="BI49" s="59">
        <f ca="1">AVERAGE(OFFSET($BH$3,0,0,'Données projet'!$E$11+1,1))-AVERAGE(OFFSET($H$3,0,0,'Données projet'!$E$11+1,1))</f>
        <v>510.71380643466227</v>
      </c>
      <c r="BJ49" s="59">
        <f t="shared" si="38"/>
        <v>252.40654099948841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645.38451067704409</v>
      </c>
      <c r="S50" s="59">
        <f ca="1">AVERAGE(OFFSET($R$3,0,0,'Données projet'!$E$9+1,1))-AVERAGE(OFFSET($H$3,0,0,'Données projet'!$E$9+1,1))</f>
        <v>635.71275911100679</v>
      </c>
      <c r="T50" s="59">
        <f t="shared" si="34"/>
        <v>281.7776857269169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10.001428571428571</v>
      </c>
      <c r="AI50" s="13">
        <f>IF('Données projet'!$A$62&gt;35,AI49+AH50-AQ49,IF(A50&lt;'Données projet'!$A$62,$AF$205^A50,IF(A50='Données projet'!$A$62,'Données projet'!$B$62,AI49+AH50-AQ49)))</f>
        <v>128.06285714285715</v>
      </c>
      <c r="AJ50" s="13">
        <f>AI50*VLOOKUP('Données projet'!$B$10,Paramètres!$A$1:$I$89,3,0)*VLOOKUP('Données projet'!$B$10,Paramètres!$A$1:$I$89,5,0)</f>
        <v>137.84685942857143</v>
      </c>
      <c r="AK50" s="13">
        <f t="shared" si="35"/>
        <v>35.803307170263928</v>
      </c>
      <c r="AL50" s="20">
        <f t="shared" si="4"/>
        <v>302.4407068263049</v>
      </c>
      <c r="AM50" s="59">
        <f t="shared" si="5"/>
        <v>595.77404015963816</v>
      </c>
      <c r="AN50" s="59">
        <f ca="1">AVERAGE(OFFSET($AM$3,0,0,'Données projet'!$E$10+1,1))-AVERAGE(OFFSET($H$3,0,0,'Données projet'!$E$10+1,1))</f>
        <v>502.65044103360322</v>
      </c>
      <c r="AO50" s="59">
        <f t="shared" si="36"/>
        <v>321.65762891855167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38.817716612304203</v>
      </c>
      <c r="AW50" s="21">
        <f>EXP(-LN(2)/2)*AW49+(1-EXP(-LN(2)/2))/(LN(2)/2)*AQ50*AT50*VLOOKUP('Données projet'!$B$10,Paramètres!$A$1:$I$89,3,0)*0.475*44/12</f>
        <v>4.8765596923897787</v>
      </c>
      <c r="AX50" s="21">
        <f t="shared" si="6"/>
        <v>43.694276304693979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3.3603333333333336</v>
      </c>
      <c r="BD50" s="12">
        <f>IF('Données projet'!$A$88&gt;35,BD49+BC50-BL49,IF(A50&lt;'Données projet'!$A$88,$BA$205^A50,IF(A50='Données projet'!$A$88,'Données projet'!$B$88,BD49+BC50-BL49)))</f>
        <v>157.93566666666661</v>
      </c>
      <c r="BE50" s="13">
        <f>BD50*VLOOKUP('Données projet'!$B$11,Paramètres!$A$1:$I$89,3,0)*VLOOKUP('Données projet'!$B$11,Paramètres!$A$1:$I$89,5,0)</f>
        <v>152.75537679999994</v>
      </c>
      <c r="BF50" s="13">
        <f t="shared" si="37"/>
        <v>39.204089989127873</v>
      </c>
      <c r="BG50" s="20">
        <f t="shared" si="7"/>
        <v>334.32940465773095</v>
      </c>
      <c r="BH50" s="59">
        <f t="shared" si="8"/>
        <v>627.6627379910642</v>
      </c>
      <c r="BI50" s="59">
        <f ca="1">AVERAGE(OFFSET($BH$3,0,0,'Données projet'!$E$11+1,1))-AVERAGE(OFFSET($H$3,0,0,'Données projet'!$E$11+1,1))</f>
        <v>510.71380643466227</v>
      </c>
      <c r="BJ50" s="59">
        <f t="shared" si="38"/>
        <v>252.40654099948841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664.89557737942994</v>
      </c>
      <c r="S51" s="59">
        <f ca="1">AVERAGE(OFFSET($R$3,0,0,'Données projet'!$E$9+1,1))-AVERAGE(OFFSET($H$3,0,0,'Données projet'!$E$9+1,1))</f>
        <v>635.71275911100679</v>
      </c>
      <c r="T51" s="59">
        <f t="shared" si="34"/>
        <v>281.7776857269169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10.001428571428571</v>
      </c>
      <c r="AI51" s="13">
        <f>IF('Données projet'!$A$62&gt;35,AI50+AH51-AQ50,IF(A51&lt;'Données projet'!$A$62,$AF$205^A51,IF(A51='Données projet'!$A$62,'Données projet'!$B$62,AI50+AH51-AQ50)))</f>
        <v>138.06428571428572</v>
      </c>
      <c r="AJ51" s="13">
        <f>AI51*VLOOKUP('Données projet'!$B$10,Paramètres!$A$1:$I$89,3,0)*VLOOKUP('Données projet'!$B$10,Paramètres!$A$1:$I$89,5,0)</f>
        <v>148.61239714285713</v>
      </c>
      <c r="AK51" s="13">
        <f t="shared" si="35"/>
        <v>38.263077530368669</v>
      </c>
      <c r="AL51" s="20">
        <f t="shared" si="4"/>
        <v>325.47478505586827</v>
      </c>
      <c r="AM51" s="59">
        <f t="shared" si="5"/>
        <v>618.80811838920158</v>
      </c>
      <c r="AN51" s="59">
        <f ca="1">AVERAGE(OFFSET($AM$3,0,0,'Données projet'!$E$10+1,1))-AVERAGE(OFFSET($H$3,0,0,'Données projet'!$E$10+1,1))</f>
        <v>502.65044103360322</v>
      </c>
      <c r="AO51" s="59">
        <f t="shared" si="36"/>
        <v>321.65762891855167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37.756244110205749</v>
      </c>
      <c r="AW51" s="21">
        <f>EXP(-LN(2)/2)*AW50+(1-EXP(-LN(2)/2))/(LN(2)/2)*AQ51*AT51*VLOOKUP('Données projet'!$B$10,Paramètres!$A$1:$I$89,3,0)*0.475*44/12</f>
        <v>3.4482484273497969</v>
      </c>
      <c r="AX51" s="21">
        <f t="shared" si="6"/>
        <v>41.204492537555545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3.3603333333333336</v>
      </c>
      <c r="BD51" s="12">
        <f>IF('Données projet'!$A$88&gt;35,BD50+BC51-BL50,IF(A51&lt;'Données projet'!$A$88,$BA$205^A51,IF(A51='Données projet'!$A$88,'Données projet'!$B$88,BD50+BC51-BL50)))</f>
        <v>161.29599999999994</v>
      </c>
      <c r="BE51" s="13">
        <f>BD51*VLOOKUP('Données projet'!$B$11,Paramètres!$A$1:$I$89,3,0)*VLOOKUP('Données projet'!$B$11,Paramètres!$A$1:$I$89,5,0)</f>
        <v>156.00549119999997</v>
      </c>
      <c r="BF51" s="13">
        <f t="shared" si="37"/>
        <v>39.940221355707003</v>
      </c>
      <c r="BG51" s="20">
        <f t="shared" si="7"/>
        <v>341.27211603452292</v>
      </c>
      <c r="BH51" s="59">
        <f t="shared" si="8"/>
        <v>634.60544936785618</v>
      </c>
      <c r="BI51" s="59">
        <f ca="1">AVERAGE(OFFSET($BH$3,0,0,'Données projet'!$E$11+1,1))-AVERAGE(OFFSET($H$3,0,0,'Données projet'!$E$11+1,1))</f>
        <v>510.71380643466227</v>
      </c>
      <c r="BJ51" s="59">
        <f t="shared" si="38"/>
        <v>252.40654099948841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684.38431186767161</v>
      </c>
      <c r="S52" s="59">
        <f ca="1">AVERAGE(OFFSET($R$3,0,0,'Données projet'!$E$9+1,1))-AVERAGE(OFFSET($H$3,0,0,'Données projet'!$E$9+1,1))</f>
        <v>635.71275911100679</v>
      </c>
      <c r="T52" s="59">
        <f t="shared" si="34"/>
        <v>281.7776857269169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10.001428571428571</v>
      </c>
      <c r="AI52" s="13">
        <f>IF('Données projet'!$A$62&gt;35,AI51+AH52-AQ51,IF(A52&lt;'Données projet'!$A$62,$AF$205^A52,IF(A52='Données projet'!$A$62,'Données projet'!$B$62,AI51+AH52-AQ51)))</f>
        <v>148.06571428571428</v>
      </c>
      <c r="AJ52" s="13">
        <f>AI52*VLOOKUP('Données projet'!$B$10,Paramètres!$A$1:$I$89,3,0)*VLOOKUP('Données projet'!$B$10,Paramètres!$A$1:$I$89,5,0)</f>
        <v>159.37793485714283</v>
      </c>
      <c r="AK52" s="13">
        <f t="shared" si="35"/>
        <v>40.702175082823857</v>
      </c>
      <c r="AL52" s="20">
        <f t="shared" si="4"/>
        <v>348.47285814544199</v>
      </c>
      <c r="AM52" s="59">
        <f t="shared" si="5"/>
        <v>641.8061914787753</v>
      </c>
      <c r="AN52" s="59">
        <f ca="1">AVERAGE(OFFSET($AM$3,0,0,'Données projet'!$E$10+1,1))-AVERAGE(OFFSET($H$3,0,0,'Données projet'!$E$10+1,1))</f>
        <v>502.65044103360322</v>
      </c>
      <c r="AO52" s="59">
        <f t="shared" si="36"/>
        <v>321.65762891855167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36.723797629497589</v>
      </c>
      <c r="AW52" s="21">
        <f>EXP(-LN(2)/2)*AW51+(1-EXP(-LN(2)/2))/(LN(2)/2)*AQ52*AT52*VLOOKUP('Données projet'!$B$10,Paramètres!$A$1:$I$89,3,0)*0.475*44/12</f>
        <v>2.4382798461948898</v>
      </c>
      <c r="AX52" s="21">
        <f t="shared" si="6"/>
        <v>39.162077475692477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3.3603333333333336</v>
      </c>
      <c r="BD52" s="12">
        <f>IF('Données projet'!$A$88&gt;35,BD51+BC52-BL51,IF(A52&lt;'Données projet'!$A$88,$BA$205^A52,IF(A52='Données projet'!$A$88,'Données projet'!$B$88,BD51+BC52-BL51)))</f>
        <v>164.65633333333327</v>
      </c>
      <c r="BE52" s="13">
        <f>BD52*VLOOKUP('Données projet'!$B$11,Paramètres!$A$1:$I$89,3,0)*VLOOKUP('Données projet'!$B$11,Paramètres!$A$1:$I$89,5,0)</f>
        <v>159.25560559999994</v>
      </c>
      <c r="BF52" s="13">
        <f t="shared" si="37"/>
        <v>40.674569630088818</v>
      </c>
      <c r="BG52" s="20">
        <f t="shared" si="7"/>
        <v>348.21172185907125</v>
      </c>
      <c r="BH52" s="59">
        <f t="shared" si="8"/>
        <v>641.54505519240456</v>
      </c>
      <c r="BI52" s="59">
        <f ca="1">AVERAGE(OFFSET($BH$3,0,0,'Données projet'!$E$11+1,1))-AVERAGE(OFFSET($H$3,0,0,'Données projet'!$E$11+1,1))</f>
        <v>510.71380643466227</v>
      </c>
      <c r="BJ52" s="59">
        <f t="shared" si="38"/>
        <v>252.40654099948841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703.8519831159831</v>
      </c>
      <c r="S53" s="59">
        <f ca="1">AVERAGE(OFFSET($R$3,0,0,'Données projet'!$E$9+1,1))-AVERAGE(OFFSET($H$3,0,0,'Données projet'!$E$9+1,1))</f>
        <v>635.71275911100679</v>
      </c>
      <c r="T53" s="59">
        <f t="shared" si="34"/>
        <v>281.7776857269169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10.001428571428571</v>
      </c>
      <c r="AI53" s="13">
        <f>IF('Données projet'!$A$62&gt;35,AI52+AH53-AQ52,IF(A53&lt;'Données projet'!$A$62,$AF$205^A53,IF(A53='Données projet'!$A$62,'Données projet'!$B$62,AI52+AH53-AQ52)))</f>
        <v>158.06714285714284</v>
      </c>
      <c r="AJ53" s="13">
        <f>AI53*VLOOKUP('Données projet'!$B$10,Paramètres!$A$1:$I$89,3,0)*VLOOKUP('Données projet'!$B$10,Paramètres!$A$1:$I$89,5,0)</f>
        <v>170.14347257142856</v>
      </c>
      <c r="AK53" s="13">
        <f t="shared" si="35"/>
        <v>43.122155090778605</v>
      </c>
      <c r="AL53" s="20">
        <f t="shared" si="4"/>
        <v>371.43763484501079</v>
      </c>
      <c r="AM53" s="59">
        <f t="shared" si="5"/>
        <v>664.77096817834411</v>
      </c>
      <c r="AN53" s="59">
        <f ca="1">AVERAGE(OFFSET($AM$3,0,0,'Données projet'!$E$10+1,1))-AVERAGE(OFFSET($H$3,0,0,'Données projet'!$E$10+1,1))</f>
        <v>502.65044103360322</v>
      </c>
      <c r="AO53" s="59">
        <f t="shared" si="36"/>
        <v>321.65762891855167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35.719583452098391</v>
      </c>
      <c r="AW53" s="21">
        <f>EXP(-LN(2)/2)*AW52+(1-EXP(-LN(2)/2))/(LN(2)/2)*AQ53*AT53*VLOOKUP('Données projet'!$B$10,Paramètres!$A$1:$I$89,3,0)*0.475*44/12</f>
        <v>1.7241242136748989</v>
      </c>
      <c r="AX53" s="21">
        <f t="shared" si="6"/>
        <v>37.443707665773289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3.3603333333333336</v>
      </c>
      <c r="BD53" s="12">
        <f>IF('Données projet'!$A$88&gt;35,BD52+BC53-BL52,IF(A53&lt;'Données projet'!$A$88,$BA$205^A53,IF(A53='Données projet'!$A$88,'Données projet'!$B$88,BD52+BC53-BL52)))</f>
        <v>168.01666666666659</v>
      </c>
      <c r="BE53" s="13">
        <f>BD53*VLOOKUP('Données projet'!$B$11,Paramètres!$A$1:$I$89,3,0)*VLOOKUP('Données projet'!$B$11,Paramètres!$A$1:$I$89,5,0)</f>
        <v>162.50571999999994</v>
      </c>
      <c r="BF53" s="13">
        <f t="shared" si="37"/>
        <v>41.407175395135489</v>
      </c>
      <c r="BG53" s="20">
        <f t="shared" si="7"/>
        <v>355.14829281319425</v>
      </c>
      <c r="BH53" s="59">
        <f t="shared" si="8"/>
        <v>648.48162614652756</v>
      </c>
      <c r="BI53" s="59">
        <f ca="1">AVERAGE(OFFSET($BH$3,0,0,'Données projet'!$E$11+1,1))-AVERAGE(OFFSET($H$3,0,0,'Données projet'!$E$11+1,1))</f>
        <v>510.71380643466227</v>
      </c>
      <c r="BJ53" s="59">
        <f t="shared" si="38"/>
        <v>252.40654099948841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651.47334266022176</v>
      </c>
      <c r="S54" s="59">
        <f ca="1">AVERAGE(OFFSET($R$3,0,0,'Données projet'!$E$9+1,1))-AVERAGE(OFFSET($H$3,0,0,'Données projet'!$E$9+1,1))</f>
        <v>635.71275911100679</v>
      </c>
      <c r="T54" s="59">
        <f t="shared" si="34"/>
        <v>281.7776857269169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10.001428571428571</v>
      </c>
      <c r="AI54" s="13">
        <f>IF('Données projet'!$A$62&gt;35,AI53+AH54-AQ53,IF(A54&lt;'Données projet'!$A$62,$AF$205^A54,IF(A54='Données projet'!$A$62,'Données projet'!$B$62,AI53+AH54-AQ53)))</f>
        <v>168.0685714285714</v>
      </c>
      <c r="AJ54" s="13">
        <f>AI54*VLOOKUP('Données projet'!$B$10,Paramètres!$A$1:$I$89,3,0)*VLOOKUP('Données projet'!$B$10,Paramètres!$A$1:$I$89,5,0)</f>
        <v>180.90901028571423</v>
      </c>
      <c r="AK54" s="13">
        <f t="shared" si="35"/>
        <v>45.524364878568001</v>
      </c>
      <c r="AL54" s="20">
        <f t="shared" si="4"/>
        <v>394.3714617444582</v>
      </c>
      <c r="AM54" s="59">
        <f t="shared" si="5"/>
        <v>687.70479507779146</v>
      </c>
      <c r="AN54" s="59">
        <f ca="1">AVERAGE(OFFSET($AM$3,0,0,'Données projet'!$E$10+1,1))-AVERAGE(OFFSET($H$3,0,0,'Données projet'!$E$10+1,1))</f>
        <v>502.65044103360322</v>
      </c>
      <c r="AO54" s="59">
        <f t="shared" si="36"/>
        <v>321.65762891855167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34.742829564189506</v>
      </c>
      <c r="AW54" s="21">
        <f>EXP(-LN(2)/2)*AW53+(1-EXP(-LN(2)/2))/(LN(2)/2)*AQ54*AT54*VLOOKUP('Données projet'!$B$10,Paramètres!$A$1:$I$89,3,0)*0.475*44/12</f>
        <v>1.2191399230974451</v>
      </c>
      <c r="AX54" s="21">
        <f t="shared" si="6"/>
        <v>35.96196948728695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3.3603333333333336</v>
      </c>
      <c r="BD54" s="12">
        <f>IF('Données projet'!$A$88&gt;35,BD53+BC54-BL53,IF(A54&lt;'Données projet'!$A$88,$BA$205^A54,IF(A54='Données projet'!$A$88,'Données projet'!$B$88,BD53+BC54-BL53)))</f>
        <v>171.37699999999992</v>
      </c>
      <c r="BE54" s="13">
        <f>BD54*VLOOKUP('Données projet'!$B$11,Paramètres!$A$1:$I$89,3,0)*VLOOKUP('Données projet'!$B$11,Paramètres!$A$1:$I$89,5,0)</f>
        <v>165.75583439999994</v>
      </c>
      <c r="BF54" s="13">
        <f t="shared" si="37"/>
        <v>42.13807751757264</v>
      </c>
      <c r="BG54" s="20">
        <f t="shared" si="7"/>
        <v>362.08189658977221</v>
      </c>
      <c r="BH54" s="59">
        <f t="shared" si="8"/>
        <v>655.41522992310547</v>
      </c>
      <c r="BI54" s="59">
        <f ca="1">AVERAGE(OFFSET($BH$3,0,0,'Données projet'!$E$11+1,1))-AVERAGE(OFFSET($H$3,0,0,'Données projet'!$E$11+1,1))</f>
        <v>510.71380643466227</v>
      </c>
      <c r="BJ54" s="59">
        <f t="shared" si="38"/>
        <v>252.40654099948841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671.46653869618626</v>
      </c>
      <c r="S55" s="59">
        <f ca="1">AVERAGE(OFFSET($R$3,0,0,'Données projet'!$E$9+1,1))-AVERAGE(OFFSET($H$3,0,0,'Données projet'!$E$9+1,1))</f>
        <v>635.71275911100679</v>
      </c>
      <c r="T55" s="59">
        <f t="shared" si="34"/>
        <v>281.7776857269169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178.07</v>
      </c>
      <c r="AG55" s="12">
        <f>VLOOKUP(A55,'Données projet'!$A$61:$I$81,9,0)</f>
        <v>10.001428571428571</v>
      </c>
      <c r="AH55" s="12">
        <f t="array" ref="AH55">INDEX(AG:AG,MIN(IF(ISNUMBER(AG55:AG251),ROW(AG55:AG251),"")))</f>
        <v>10.001428571428571</v>
      </c>
      <c r="AI55" s="13">
        <f>IF('Données projet'!$A$62&gt;35,AI54+AH55-AQ54,IF(A55&lt;'Données projet'!$A$62,$AF$205^A55,IF(A55='Données projet'!$A$62,'Données projet'!$B$62,AI54+AH55-AQ54)))</f>
        <v>178.06999999999996</v>
      </c>
      <c r="AJ55" s="13">
        <f>AI55*VLOOKUP('Données projet'!$B$10,Paramètres!$A$1:$I$89,3,0)*VLOOKUP('Données projet'!$B$10,Paramètres!$A$1:$I$89,5,0)</f>
        <v>191.67454799999996</v>
      </c>
      <c r="AK55" s="13">
        <f t="shared" si="35"/>
        <v>47.909982358169465</v>
      </c>
      <c r="AL55" s="20">
        <f t="shared" si="4"/>
        <v>417.27639037381169</v>
      </c>
      <c r="AM55" s="59">
        <f t="shared" si="5"/>
        <v>710.60972370714501</v>
      </c>
      <c r="AN55" s="59">
        <f ca="1">AVERAGE(OFFSET($AM$3,0,0,'Données projet'!$E$10+1,1))-AVERAGE(OFFSET($H$3,0,0,'Données projet'!$E$10+1,1))</f>
        <v>502.65044103360322</v>
      </c>
      <c r="AO55" s="59">
        <f t="shared" si="36"/>
        <v>321.65762891855167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44.400000000000006</v>
      </c>
      <c r="AR55" s="16">
        <f>IF(ISNA(VLOOKUP(A55,'Données projet'!$A$61:$I$81,5,0)),0%,VLOOKUP(A55,'Données projet'!$A$61:$I$81,5,0)*VLOOKUP('Données projet'!$B$10,Paramètres!$A$1:$I$89,7,0))</f>
        <v>0.15049999999999999</v>
      </c>
      <c r="AS55" s="16">
        <f>IF(ISNA(VLOOKUP(A55,'Données projet'!$A$61:$I$81,6,0)),0%,VLOOKUP(A55,'Données projet'!$A$61:$I$81,6,0)*VLOOKUP('Données projet'!$B$10,Paramètres!$A$1:$I$89,7,0))</f>
        <v>8.6000000000000007E-2</v>
      </c>
      <c r="AT55" s="16">
        <f>IF(ISNA(VLOOKUP(A55,'Données projet'!$A$61:$I$81,7,0)),0%,VLOOKUP(A55,'Données projet'!$A$61:$I$81,7,0))</f>
        <v>0.1</v>
      </c>
      <c r="AU55" s="21">
        <f>EXP(-LN(2)/35)*AU54+(1-EXP(-LN(2)/35))/(LN(2)/35)*AQ55*AR55*VLOOKUP('Données projet'!$B$10,Paramètres!$A$1:$I$89,3,0)*0.475*44/12</f>
        <v>7.9513389967118711</v>
      </c>
      <c r="AV55" s="21">
        <f>EXP(-LN(2)/25)*AV54+(1-EXP(-LN(2)/25))/(LN(2)/25)*Calculateur!AQ55*Calculateur!AS55*VLOOKUP('Données projet'!$B$10,Paramètres!$A$1:$I$89,3,0)*0.475*44/12</f>
        <v>38.318517374358819</v>
      </c>
      <c r="AW55" s="21">
        <f>EXP(-LN(2)/2)*AW54+(1-EXP(-LN(2)/2))/(LN(2)/2)*AQ55*AT55*VLOOKUP('Données projet'!$B$10,Paramètres!$A$1:$I$89,3,0)*0.475*44/12</f>
        <v>5.3713810335501559</v>
      </c>
      <c r="AX55" s="21">
        <f t="shared" si="6"/>
        <v>51.641237404620846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3.3603333333333336</v>
      </c>
      <c r="BD55" s="12">
        <f>IF('Données projet'!$A$88&gt;35,BD54+BC55-BL54,IF(A55&lt;'Données projet'!$A$88,$BA$205^A55,IF(A55='Données projet'!$A$88,'Données projet'!$B$88,BD54+BC55-BL54)))</f>
        <v>174.73733333333325</v>
      </c>
      <c r="BE55" s="13">
        <f>BD55*VLOOKUP('Données projet'!$B$11,Paramètres!$A$1:$I$89,3,0)*VLOOKUP('Données projet'!$B$11,Paramètres!$A$1:$I$89,5,0)</f>
        <v>169.00594879999991</v>
      </c>
      <c r="BF55" s="13">
        <f t="shared" si="37"/>
        <v>42.867313252762536</v>
      </c>
      <c r="BG55" s="20">
        <f t="shared" si="7"/>
        <v>369.01259807522791</v>
      </c>
      <c r="BH55" s="59">
        <f t="shared" si="8"/>
        <v>662.34593140856123</v>
      </c>
      <c r="BI55" s="59">
        <f ca="1">AVERAGE(OFFSET($BH$3,0,0,'Données projet'!$E$11+1,1))-AVERAGE(OFFSET($H$3,0,0,'Données projet'!$E$11+1,1))</f>
        <v>510.71380643466227</v>
      </c>
      <c r="BJ55" s="59">
        <f t="shared" si="38"/>
        <v>252.40654099948841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691.43673288922753</v>
      </c>
      <c r="S56" s="59">
        <f ca="1">AVERAGE(OFFSET($R$3,0,0,'Données projet'!$E$9+1,1))-AVERAGE(OFFSET($H$3,0,0,'Données projet'!$E$9+1,1))</f>
        <v>635.71275911100679</v>
      </c>
      <c r="T56" s="59">
        <f t="shared" si="34"/>
        <v>281.7776857269169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9.8828571428571443</v>
      </c>
      <c r="AI56" s="13">
        <f>IF('Données projet'!$A$62&gt;35,AI55+AH56-AQ55,IF(A56&lt;'Données projet'!$A$62,$AF$205^A56,IF(A56='Données projet'!$A$62,'Données projet'!$B$62,AI55+AH56-AQ55)))</f>
        <v>143.55285714285711</v>
      </c>
      <c r="AJ56" s="13">
        <f>AI56*VLOOKUP('Données projet'!$B$10,Paramètres!$A$1:$I$89,3,0)*VLOOKUP('Données projet'!$B$10,Paramètres!$A$1:$I$89,5,0)</f>
        <v>154.52029542857136</v>
      </c>
      <c r="AK56" s="13">
        <f t="shared" si="35"/>
        <v>39.604057192238628</v>
      </c>
      <c r="AL56" s="20">
        <f t="shared" si="4"/>
        <v>338.09991414791068</v>
      </c>
      <c r="AM56" s="59">
        <f t="shared" si="5"/>
        <v>631.43324748124405</v>
      </c>
      <c r="AN56" s="59">
        <f ca="1">AVERAGE(OFFSET($AM$3,0,0,'Données projet'!$E$10+1,1))-AVERAGE(OFFSET($H$3,0,0,'Données projet'!$E$10+1,1))</f>
        <v>502.65044103360322</v>
      </c>
      <c r="AO56" s="59">
        <f t="shared" si="36"/>
        <v>321.65762891855167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7.7954180888242579</v>
      </c>
      <c r="AV56" s="21">
        <f>EXP(-LN(2)/25)*AV55+(1-EXP(-LN(2)/25))/(LN(2)/25)*Calculateur!AQ56*Calculateur!AS56*VLOOKUP('Données projet'!$B$10,Paramètres!$A$1:$I$89,3,0)*0.475*44/12</f>
        <v>37.270695501673728</v>
      </c>
      <c r="AW56" s="21">
        <f>EXP(-LN(2)/2)*AW55+(1-EXP(-LN(2)/2))/(LN(2)/2)*AQ56*AT56*VLOOKUP('Données projet'!$B$10,Paramètres!$A$1:$I$89,3,0)*0.475*44/12</f>
        <v>3.7981399531601219</v>
      </c>
      <c r="AX56" s="21">
        <f t="shared" si="6"/>
        <v>48.864253543658108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3.3603333333333336</v>
      </c>
      <c r="BD56" s="12">
        <f>IF('Données projet'!$A$88&gt;35,BD55+BC56-BL55,IF(A56&lt;'Données projet'!$A$88,$BA$205^A56,IF(A56='Données projet'!$A$88,'Données projet'!$B$88,BD55+BC56-BL55)))</f>
        <v>178.09766666666658</v>
      </c>
      <c r="BE56" s="13">
        <f>BD56*VLOOKUP('Données projet'!$B$11,Paramètres!$A$1:$I$89,3,0)*VLOOKUP('Données projet'!$B$11,Paramètres!$A$1:$I$89,5,0)</f>
        <v>172.25606319999994</v>
      </c>
      <c r="BF56" s="13">
        <f t="shared" si="37"/>
        <v>43.594918341190329</v>
      </c>
      <c r="BG56" s="20">
        <f t="shared" si="7"/>
        <v>375.94045951757306</v>
      </c>
      <c r="BH56" s="59">
        <f t="shared" si="8"/>
        <v>669.27379285090637</v>
      </c>
      <c r="BI56" s="59">
        <f ca="1">AVERAGE(OFFSET($BH$3,0,0,'Données projet'!$E$11+1,1))-AVERAGE(OFFSET($H$3,0,0,'Données projet'!$E$11+1,1))</f>
        <v>510.71380643466227</v>
      </c>
      <c r="BJ56" s="59">
        <f t="shared" si="38"/>
        <v>252.40654099948841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711.38524075988948</v>
      </c>
      <c r="S57" s="59">
        <f ca="1">AVERAGE(OFFSET($R$3,0,0,'Données projet'!$E$9+1,1))-AVERAGE(OFFSET($H$3,0,0,'Données projet'!$E$9+1,1))</f>
        <v>635.71275911100679</v>
      </c>
      <c r="T57" s="59">
        <f t="shared" si="34"/>
        <v>281.7776857269169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9.8828571428571443</v>
      </c>
      <c r="AI57" s="13">
        <f>IF('Données projet'!$A$62&gt;35,AI56+AH57-AQ56,IF(A57&lt;'Données projet'!$A$62,$AF$205^A57,IF(A57='Données projet'!$A$62,'Données projet'!$B$62,AI56+AH57-AQ56)))</f>
        <v>153.43571428571425</v>
      </c>
      <c r="AJ57" s="13">
        <f>AI57*VLOOKUP('Données projet'!$B$10,Paramètres!$A$1:$I$89,3,0)*VLOOKUP('Données projet'!$B$10,Paramètres!$A$1:$I$89,5,0)</f>
        <v>165.15820285714281</v>
      </c>
      <c r="AK57" s="13">
        <f t="shared" si="35"/>
        <v>42.003805239427415</v>
      </c>
      <c r="AL57" s="20">
        <f t="shared" si="4"/>
        <v>360.80716410152644</v>
      </c>
      <c r="AM57" s="59">
        <f t="shared" si="5"/>
        <v>654.14049743485975</v>
      </c>
      <c r="AN57" s="59">
        <f ca="1">AVERAGE(OFFSET($AM$3,0,0,'Données projet'!$E$10+1,1))-AVERAGE(OFFSET($H$3,0,0,'Données projet'!$E$10+1,1))</f>
        <v>502.65044103360322</v>
      </c>
      <c r="AO57" s="59">
        <f t="shared" si="36"/>
        <v>321.65762891855167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7.6425546948379575</v>
      </c>
      <c r="AV57" s="21">
        <f>EXP(-LN(2)/25)*AV56+(1-EXP(-LN(2)/25))/(LN(2)/25)*Calculateur!AQ57*Calculateur!AS57*VLOOKUP('Données projet'!$B$10,Paramètres!$A$1:$I$89,3,0)*0.475*44/12</f>
        <v>36.251526373199766</v>
      </c>
      <c r="AW57" s="21">
        <f>EXP(-LN(2)/2)*AW56+(1-EXP(-LN(2)/2))/(LN(2)/2)*AQ57*AT57*VLOOKUP('Données projet'!$B$10,Paramètres!$A$1:$I$89,3,0)*0.475*44/12</f>
        <v>2.6856905167750784</v>
      </c>
      <c r="AX57" s="21">
        <f t="shared" si="6"/>
        <v>46.579771584812796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3.3603333333333336</v>
      </c>
      <c r="BD57" s="12">
        <f>IF('Données projet'!$A$88&gt;35,BD56+BC57-BL56,IF(A57&lt;'Données projet'!$A$88,$BA$205^A57,IF(A57='Données projet'!$A$88,'Données projet'!$B$88,BD56+BC57-BL56)))</f>
        <v>181.45799999999991</v>
      </c>
      <c r="BE57" s="13">
        <f>BD57*VLOOKUP('Données projet'!$B$11,Paramètres!$A$1:$I$89,3,0)*VLOOKUP('Données projet'!$B$11,Paramètres!$A$1:$I$89,5,0)</f>
        <v>175.50617759999992</v>
      </c>
      <c r="BF57" s="13">
        <f t="shared" si="37"/>
        <v>44.320927097461883</v>
      </c>
      <c r="BG57" s="20">
        <f t="shared" si="7"/>
        <v>382.8655406814126</v>
      </c>
      <c r="BH57" s="59">
        <f t="shared" si="8"/>
        <v>676.19887401474591</v>
      </c>
      <c r="BI57" s="59">
        <f ca="1">AVERAGE(OFFSET($BH$3,0,0,'Données projet'!$E$11+1,1))-AVERAGE(OFFSET($H$3,0,0,'Données projet'!$E$11+1,1))</f>
        <v>510.71380643466227</v>
      </c>
      <c r="BJ57" s="59">
        <f t="shared" si="38"/>
        <v>252.40654099948841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731.31324209892534</v>
      </c>
      <c r="S58" s="59">
        <f ca="1">AVERAGE(OFFSET($R$3,0,0,'Données projet'!$E$9+1,1))-AVERAGE(OFFSET($H$3,0,0,'Données projet'!$E$9+1,1))</f>
        <v>635.71275911100679</v>
      </c>
      <c r="T58" s="59">
        <f t="shared" si="34"/>
        <v>281.7776857269169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9.8828571428571443</v>
      </c>
      <c r="AI58" s="13">
        <f>IF('Données projet'!$A$62&gt;35,AI57+AH58-AQ57,IF(A58&lt;'Données projet'!$A$62,$AF$205^A58,IF(A58='Données projet'!$A$62,'Données projet'!$B$62,AI57+AH58-AQ57)))</f>
        <v>163.3185714285714</v>
      </c>
      <c r="AJ58" s="13">
        <f>AI58*VLOOKUP('Données projet'!$B$10,Paramètres!$A$1:$I$89,3,0)*VLOOKUP('Données projet'!$B$10,Paramètres!$A$1:$I$89,5,0)</f>
        <v>175.79611028571426</v>
      </c>
      <c r="AK58" s="13">
        <f t="shared" si="35"/>
        <v>44.385615672209468</v>
      </c>
      <c r="AL58" s="20">
        <f t="shared" si="4"/>
        <v>383.48317271005044</v>
      </c>
      <c r="AM58" s="59">
        <f t="shared" si="5"/>
        <v>676.8165060433837</v>
      </c>
      <c r="AN58" s="59">
        <f ca="1">AVERAGE(OFFSET($AM$3,0,0,'Données projet'!$E$10+1,1))-AVERAGE(OFFSET($H$3,0,0,'Données projet'!$E$10+1,1))</f>
        <v>502.65044103360322</v>
      </c>
      <c r="AO58" s="59">
        <f t="shared" si="36"/>
        <v>321.65762891855167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7.492688858770264</v>
      </c>
      <c r="AV58" s="21">
        <f>EXP(-LN(2)/25)*AV57+(1-EXP(-LN(2)/25))/(LN(2)/25)*Calculateur!AQ58*Calculateur!AS58*VLOOKUP('Données projet'!$B$10,Paramètres!$A$1:$I$89,3,0)*0.475*44/12</f>
        <v>35.2602264781397</v>
      </c>
      <c r="AW58" s="21">
        <f>EXP(-LN(2)/2)*AW57+(1-EXP(-LN(2)/2))/(LN(2)/2)*AQ58*AT58*VLOOKUP('Données projet'!$B$10,Paramètres!$A$1:$I$89,3,0)*0.475*44/12</f>
        <v>1.8990699765800612</v>
      </c>
      <c r="AX58" s="21">
        <f t="shared" si="6"/>
        <v>44.651985313490023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3.3603333333333336</v>
      </c>
      <c r="BD58" s="12">
        <f>IF('Données projet'!$A$88&gt;35,BD57+BC58-BL57,IF(A58&lt;'Données projet'!$A$88,$BA$205^A58,IF(A58='Données projet'!$A$88,'Données projet'!$B$88,BD57+BC58-BL57)))</f>
        <v>184.81833333333324</v>
      </c>
      <c r="BE58" s="13">
        <f>BD58*VLOOKUP('Données projet'!$B$11,Paramètres!$A$1:$I$89,3,0)*VLOOKUP('Données projet'!$B$11,Paramètres!$A$1:$I$89,5,0)</f>
        <v>178.75629199999992</v>
      </c>
      <c r="BF58" s="13">
        <f t="shared" si="37"/>
        <v>45.045372492523107</v>
      </c>
      <c r="BG58" s="20">
        <f t="shared" si="7"/>
        <v>389.78789899114423</v>
      </c>
      <c r="BH58" s="59">
        <f t="shared" si="8"/>
        <v>683.12123232447755</v>
      </c>
      <c r="BI58" s="59">
        <f ca="1">AVERAGE(OFFSET($BH$3,0,0,'Données projet'!$E$11+1,1))-AVERAGE(OFFSET($H$3,0,0,'Données projet'!$E$11+1,1))</f>
        <v>510.71380643466227</v>
      </c>
      <c r="BJ58" s="59">
        <f t="shared" si="38"/>
        <v>252.40654099948841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751.22180063633789</v>
      </c>
      <c r="S59" s="59">
        <f ca="1">AVERAGE(OFFSET($R$3,0,0,'Données projet'!$E$9+1,1))-AVERAGE(OFFSET($H$3,0,0,'Données projet'!$E$9+1,1))</f>
        <v>635.71275911100679</v>
      </c>
      <c r="T59" s="59">
        <f t="shared" si="34"/>
        <v>281.7776857269169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9.8828571428571443</v>
      </c>
      <c r="AI59" s="13">
        <f>IF('Données projet'!$A$62&gt;35,AI58+AH59-AQ58,IF(A59&lt;'Données projet'!$A$62,$AF$205^A59,IF(A59='Données projet'!$A$62,'Données projet'!$B$62,AI58+AH59-AQ58)))</f>
        <v>173.20142857142855</v>
      </c>
      <c r="AJ59" s="13">
        <f>AI59*VLOOKUP('Données projet'!$B$10,Paramètres!$A$1:$I$89,3,0)*VLOOKUP('Données projet'!$B$10,Paramètres!$A$1:$I$89,5,0)</f>
        <v>186.43401771428569</v>
      </c>
      <c r="AK59" s="13">
        <f t="shared" si="35"/>
        <v>46.750697553897737</v>
      </c>
      <c r="AL59" s="20">
        <f t="shared" si="4"/>
        <v>406.13004575875283</v>
      </c>
      <c r="AM59" s="59">
        <f t="shared" si="5"/>
        <v>699.46337909208614</v>
      </c>
      <c r="AN59" s="59">
        <f ca="1">AVERAGE(OFFSET($AM$3,0,0,'Données projet'!$E$10+1,1))-AVERAGE(OFFSET($H$3,0,0,'Données projet'!$E$10+1,1))</f>
        <v>502.65044103360322</v>
      </c>
      <c r="AO59" s="59">
        <f t="shared" si="36"/>
        <v>321.65762891855167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7.3457618003387246</v>
      </c>
      <c r="AV59" s="21">
        <f>EXP(-LN(2)/25)*AV58+(1-EXP(-LN(2)/25))/(LN(2)/25)*Calculateur!AQ59*Calculateur!AS59*VLOOKUP('Données projet'!$B$10,Paramètres!$A$1:$I$89,3,0)*0.475*44/12</f>
        <v>34.29603373084025</v>
      </c>
      <c r="AW59" s="21">
        <f>EXP(-LN(2)/2)*AW58+(1-EXP(-LN(2)/2))/(LN(2)/2)*AQ59*AT59*VLOOKUP('Données projet'!$B$10,Paramètres!$A$1:$I$89,3,0)*0.475*44/12</f>
        <v>1.3428452583875394</v>
      </c>
      <c r="AX59" s="21">
        <f t="shared" si="6"/>
        <v>42.984640789566512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3.3603333333333336</v>
      </c>
      <c r="BD59" s="12">
        <f>IF('Données projet'!$A$88&gt;35,BD58+BC59-BL58,IF(A59&lt;'Données projet'!$A$88,$BA$205^A59,IF(A59='Données projet'!$A$88,'Données projet'!$B$88,BD58+BC59-BL58)))</f>
        <v>188.17866666666657</v>
      </c>
      <c r="BE59" s="13">
        <f>BD59*VLOOKUP('Données projet'!$B$11,Paramètres!$A$1:$I$89,3,0)*VLOOKUP('Données projet'!$B$11,Paramètres!$A$1:$I$89,5,0)</f>
        <v>182.00640639999992</v>
      </c>
      <c r="BF59" s="13">
        <f t="shared" si="37"/>
        <v>45.768286229730428</v>
      </c>
      <c r="BG59" s="20">
        <f t="shared" si="7"/>
        <v>396.70758966344698</v>
      </c>
      <c r="BH59" s="59">
        <f t="shared" si="8"/>
        <v>690.0409229967803</v>
      </c>
      <c r="BI59" s="59">
        <f ca="1">AVERAGE(OFFSET($BH$3,0,0,'Données projet'!$E$11+1,1))-AVERAGE(OFFSET($H$3,0,0,'Données projet'!$E$11+1,1))</f>
        <v>510.71380643466227</v>
      </c>
      <c r="BJ59" s="59">
        <f t="shared" si="38"/>
        <v>252.40654099948841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771.11188011167906</v>
      </c>
      <c r="S60" s="59">
        <f ca="1">AVERAGE(OFFSET($R$3,0,0,'Données projet'!$E$9+1,1))-AVERAGE(OFFSET($H$3,0,0,'Données projet'!$E$9+1,1))</f>
        <v>635.71275911100679</v>
      </c>
      <c r="T60" s="59">
        <f t="shared" si="34"/>
        <v>281.7776857269169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9.8828571428571443</v>
      </c>
      <c r="AI60" s="13">
        <f>IF('Données projet'!$A$62&gt;35,AI59+AH60-AQ59,IF(A60&lt;'Données projet'!$A$62,$AF$205^A60,IF(A60='Données projet'!$A$62,'Données projet'!$B$62,AI59+AH60-AQ59)))</f>
        <v>183.0842857142857</v>
      </c>
      <c r="AJ60" s="13">
        <f>AI60*VLOOKUP('Données projet'!$B$10,Paramètres!$A$1:$I$89,3,0)*VLOOKUP('Données projet'!$B$10,Paramètres!$A$1:$I$89,5,0)</f>
        <v>197.07192514285711</v>
      </c>
      <c r="AK60" s="13">
        <f t="shared" si="35"/>
        <v>49.100114176354296</v>
      </c>
      <c r="AL60" s="20">
        <f t="shared" si="4"/>
        <v>428.74963514762658</v>
      </c>
      <c r="AM60" s="59">
        <f t="shared" si="5"/>
        <v>722.08296848095983</v>
      </c>
      <c r="AN60" s="59">
        <f ca="1">AVERAGE(OFFSET($AM$3,0,0,'Données projet'!$E$10+1,1))-AVERAGE(OFFSET($H$3,0,0,'Données projet'!$E$10+1,1))</f>
        <v>502.65044103360322</v>
      </c>
      <c r="AO60" s="59">
        <f t="shared" si="36"/>
        <v>321.65762891855167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7.2017158919063702</v>
      </c>
      <c r="AV60" s="21">
        <f>EXP(-LN(2)/25)*AV59+(1-EXP(-LN(2)/25))/(LN(2)/25)*Calculateur!AQ60*Calculateur!AS60*VLOOKUP('Données projet'!$B$10,Paramètres!$A$1:$I$89,3,0)*0.475*44/12</f>
        <v>33.358206884920392</v>
      </c>
      <c r="AW60" s="21">
        <f>EXP(-LN(2)/2)*AW59+(1-EXP(-LN(2)/2))/(LN(2)/2)*AQ60*AT60*VLOOKUP('Données projet'!$B$10,Paramètres!$A$1:$I$89,3,0)*0.475*44/12</f>
        <v>0.9495349882900308</v>
      </c>
      <c r="AX60" s="21">
        <f t="shared" si="6"/>
        <v>41.509457765116792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3.3603333333333336</v>
      </c>
      <c r="BD60" s="12">
        <f>IF('Données projet'!$A$88&gt;35,BD59+BC60-BL59,IF(A60&lt;'Données projet'!$A$88,$BA$205^A60,IF(A60='Données projet'!$A$88,'Données projet'!$B$88,BD59+BC60-BL59)))</f>
        <v>191.5389999999999</v>
      </c>
      <c r="BE60" s="13">
        <f>BD60*VLOOKUP('Données projet'!$B$11,Paramètres!$A$1:$I$89,3,0)*VLOOKUP('Données projet'!$B$11,Paramètres!$A$1:$I$89,5,0)</f>
        <v>185.25652079999989</v>
      </c>
      <c r="BF60" s="13">
        <f t="shared" si="37"/>
        <v>46.489698815333881</v>
      </c>
      <c r="BG60" s="20">
        <f t="shared" si="7"/>
        <v>403.62466583003965</v>
      </c>
      <c r="BH60" s="59">
        <f t="shared" si="8"/>
        <v>696.95799916337296</v>
      </c>
      <c r="BI60" s="59">
        <f ca="1">AVERAGE(OFFSET($BH$3,0,0,'Données projet'!$E$11+1,1))-AVERAGE(OFFSET($H$3,0,0,'Données projet'!$E$11+1,1))</f>
        <v>510.71380643466227</v>
      </c>
      <c r="BJ60" s="59">
        <f t="shared" si="38"/>
        <v>252.40654099948841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790.98435752940031</v>
      </c>
      <c r="S61" s="59">
        <f ca="1">AVERAGE(OFFSET($R$3,0,0,'Données projet'!$E$9+1,1))-AVERAGE(OFFSET($H$3,0,0,'Données projet'!$E$9+1,1))</f>
        <v>635.71275911100679</v>
      </c>
      <c r="T61" s="59">
        <f t="shared" si="34"/>
        <v>281.7776857269169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9.8828571428571443</v>
      </c>
      <c r="AI61" s="13">
        <f>IF('Données projet'!$A$62&gt;35,AI60+AH61-AQ60,IF(A61&lt;'Données projet'!$A$62,$AF$205^A61,IF(A61='Données projet'!$A$62,'Données projet'!$B$62,AI60+AH61-AQ60)))</f>
        <v>192.96714285714285</v>
      </c>
      <c r="AJ61" s="13">
        <f>AI61*VLOOKUP('Données projet'!$B$10,Paramètres!$A$1:$I$89,3,0)*VLOOKUP('Données projet'!$B$10,Paramètres!$A$1:$I$89,5,0)</f>
        <v>207.70983257142854</v>
      </c>
      <c r="AK61" s="13">
        <f t="shared" si="35"/>
        <v>51.43480755556741</v>
      </c>
      <c r="AL61" s="20">
        <f t="shared" si="4"/>
        <v>451.34358155451793</v>
      </c>
      <c r="AM61" s="59">
        <f t="shared" si="5"/>
        <v>744.67691488785124</v>
      </c>
      <c r="AN61" s="59">
        <f ca="1">AVERAGE(OFFSET($AM$3,0,0,'Données projet'!$E$10+1,1))-AVERAGE(OFFSET($H$3,0,0,'Données projet'!$E$10+1,1))</f>
        <v>502.65044103360322</v>
      </c>
      <c r="AO61" s="59">
        <f t="shared" si="36"/>
        <v>321.65762891855167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7.0604946358790457</v>
      </c>
      <c r="AV61" s="21">
        <f>EXP(-LN(2)/25)*AV60+(1-EXP(-LN(2)/25))/(LN(2)/25)*Calculateur!AQ61*Calculateur!AS61*VLOOKUP('Données projet'!$B$10,Paramètres!$A$1:$I$89,3,0)*0.475*44/12</f>
        <v>32.446024963420385</v>
      </c>
      <c r="AW61" s="21">
        <f>EXP(-LN(2)/2)*AW60+(1-EXP(-LN(2)/2))/(LN(2)/2)*AQ61*AT61*VLOOKUP('Données projet'!$B$10,Paramètres!$A$1:$I$89,3,0)*0.475*44/12</f>
        <v>0.67142262919376983</v>
      </c>
      <c r="AX61" s="21">
        <f t="shared" si="6"/>
        <v>40.177942228493201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3.3603333333333336</v>
      </c>
      <c r="BD61" s="12">
        <f>IF('Données projet'!$A$88&gt;35,BD60+BC61-BL60,IF(A61&lt;'Données projet'!$A$88,$BA$205^A61,IF(A61='Données projet'!$A$88,'Données projet'!$B$88,BD60+BC61-BL60)))</f>
        <v>194.89933333333323</v>
      </c>
      <c r="BE61" s="13">
        <f>BD61*VLOOKUP('Données projet'!$B$11,Paramètres!$A$1:$I$89,3,0)*VLOOKUP('Données projet'!$B$11,Paramètres!$A$1:$I$89,5,0)</f>
        <v>188.50663519999989</v>
      </c>
      <c r="BF61" s="13">
        <f t="shared" si="37"/>
        <v>47.209639623873699</v>
      </c>
      <c r="BG61" s="20">
        <f t="shared" si="7"/>
        <v>410.53917865157979</v>
      </c>
      <c r="BH61" s="59">
        <f t="shared" si="8"/>
        <v>703.8725119849131</v>
      </c>
      <c r="BI61" s="59">
        <f ca="1">AVERAGE(OFFSET($BH$3,0,0,'Données projet'!$E$11+1,1))-AVERAGE(OFFSET($H$3,0,0,'Données projet'!$E$11+1,1))</f>
        <v>510.71380643466227</v>
      </c>
      <c r="BJ61" s="59">
        <f t="shared" si="38"/>
        <v>252.40654099948841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718.64153131216472</v>
      </c>
      <c r="S62" s="59">
        <f ca="1">AVERAGE(OFFSET($R$3,0,0,'Données projet'!$E$9+1,1))-AVERAGE(OFFSET($H$3,0,0,'Données projet'!$E$9+1,1))</f>
        <v>635.71275911100679</v>
      </c>
      <c r="T62" s="59">
        <f t="shared" si="34"/>
        <v>281.7776857269169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202.85</v>
      </c>
      <c r="AG62" s="12">
        <f>VLOOKUP(A62,'Données projet'!$A$61:$I$81,9,0)</f>
        <v>9.8828571428571443</v>
      </c>
      <c r="AH62" s="12">
        <f t="array" ref="AH62">INDEX(AG:AG,MIN(IF(ISNUMBER(AG62:AG258),ROW(AG62:AG258),"")))</f>
        <v>9.8828571428571443</v>
      </c>
      <c r="AI62" s="13">
        <f>IF('Données projet'!$A$62&gt;35,AI61+AH62-AQ61,IF(A62&lt;'Données projet'!$A$62,$AF$205^A62,IF(A62='Données projet'!$A$62,'Données projet'!$B$62,AI61+AH62-AQ61)))</f>
        <v>202.85</v>
      </c>
      <c r="AJ62" s="13">
        <f>AI62*VLOOKUP('Données projet'!$B$10,Paramètres!$A$1:$I$89,3,0)*VLOOKUP('Données projet'!$B$10,Paramètres!$A$1:$I$89,5,0)</f>
        <v>218.34774000000002</v>
      </c>
      <c r="AK62" s="13">
        <f t="shared" si="35"/>
        <v>53.755617766190589</v>
      </c>
      <c r="AL62" s="20">
        <f t="shared" si="4"/>
        <v>473.91334810944858</v>
      </c>
      <c r="AM62" s="59">
        <f t="shared" si="5"/>
        <v>767.24668144278189</v>
      </c>
      <c r="AN62" s="59">
        <f ca="1">AVERAGE(OFFSET($AM$3,0,0,'Données projet'!$E$10+1,1))-AVERAGE(OFFSET($H$3,0,0,'Données projet'!$E$10+1,1))</f>
        <v>502.65044103360322</v>
      </c>
      <c r="AO62" s="59">
        <f t="shared" si="36"/>
        <v>321.65762891855167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41.81</v>
      </c>
      <c r="AR62" s="16">
        <f>IF(ISNA(VLOOKUP(A62,'Données projet'!$A$61:$I$81,5,0)),0%,VLOOKUP(A62,'Données projet'!$A$61:$I$81,5,0)*VLOOKUP('Données projet'!$B$10,Paramètres!$A$1:$I$89,7,0))</f>
        <v>0.15049999999999999</v>
      </c>
      <c r="AS62" s="16">
        <f>IF(ISNA(VLOOKUP(A62,'Données projet'!$A$61:$I$81,6,0)),0%,VLOOKUP(A62,'Données projet'!$A$61:$I$81,6,0)*VLOOKUP('Données projet'!$B$10,Paramètres!$A$1:$I$89,7,0))</f>
        <v>8.6000000000000007E-2</v>
      </c>
      <c r="AT62" s="16">
        <f>IF(ISNA(VLOOKUP(A62,'Données projet'!$A$61:$I$81,7,0)),0%,VLOOKUP(A62,'Données projet'!$A$61:$I$81,7,0))</f>
        <v>0.1</v>
      </c>
      <c r="AU62" s="21">
        <f>EXP(-LN(2)/35)*AU61+(1-EXP(-LN(2)/35))/(LN(2)/35)*AQ62*AR62*VLOOKUP('Données projet'!$B$10,Paramètres!$A$1:$I$89,3,0)*0.475*44/12</f>
        <v>14.409553531116302</v>
      </c>
      <c r="AV62" s="21">
        <f>EXP(-LN(2)/25)*AV61+(1-EXP(-LN(2)/25))/(LN(2)/25)*Calculateur!AQ62*Calculateur!AS62*VLOOKUP('Données projet'!$B$10,Paramètres!$A$1:$I$89,3,0)*0.475*44/12</f>
        <v>35.820517964668632</v>
      </c>
      <c r="AW62" s="21">
        <f>EXP(-LN(2)/2)*AW61+(1-EXP(-LN(2)/2))/(LN(2)/2)*AQ62*AT62*VLOOKUP('Données projet'!$B$10,Paramètres!$A$1:$I$89,3,0)*0.475*44/12</f>
        <v>4.7210428167994785</v>
      </c>
      <c r="AX62" s="21">
        <f t="shared" si="6"/>
        <v>54.951114312584409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3.3603333333333336</v>
      </c>
      <c r="BD62" s="12">
        <f>IF('Données projet'!$A$88&gt;35,BD61+BC62-BL61,IF(A62&lt;'Données projet'!$A$88,$BA$205^A62,IF(A62='Données projet'!$A$88,'Données projet'!$B$88,BD61+BC62-BL61)))</f>
        <v>198.25966666666656</v>
      </c>
      <c r="BE62" s="13">
        <f>BD62*VLOOKUP('Données projet'!$B$11,Paramètres!$A$1:$I$89,3,0)*VLOOKUP('Données projet'!$B$11,Paramètres!$A$1:$I$89,5,0)</f>
        <v>191.75674959999992</v>
      </c>
      <c r="BF62" s="13">
        <f t="shared" si="37"/>
        <v>47.928136958939533</v>
      </c>
      <c r="BG62" s="20">
        <f t="shared" si="7"/>
        <v>417.45117742348617</v>
      </c>
      <c r="BH62" s="59">
        <f t="shared" si="8"/>
        <v>710.78451075681949</v>
      </c>
      <c r="BI62" s="59">
        <f ca="1">AVERAGE(OFFSET($BH$3,0,0,'Données projet'!$E$11+1,1))-AVERAGE(OFFSET($H$3,0,0,'Données projet'!$E$11+1,1))</f>
        <v>510.71380643466227</v>
      </c>
      <c r="BJ62" s="59">
        <f t="shared" si="38"/>
        <v>252.40654099948841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738.07001781110057</v>
      </c>
      <c r="S63" s="59">
        <f ca="1">AVERAGE(OFFSET($R$3,0,0,'Données projet'!$E$9+1,1))-AVERAGE(OFFSET($H$3,0,0,'Données projet'!$E$9+1,1))</f>
        <v>635.71275911100679</v>
      </c>
      <c r="T63" s="59">
        <f t="shared" si="34"/>
        <v>281.7776857269169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9.7525000000000013</v>
      </c>
      <c r="AI63" s="13">
        <f>IF('Données projet'!$A$62&gt;35,AI62+AH63-AQ62,IF(A63&lt;'Données projet'!$A$62,$AF$205^A63,IF(A63='Données projet'!$A$62,'Données projet'!$B$62,AI62+AH63-AQ62)))</f>
        <v>170.79249999999999</v>
      </c>
      <c r="AJ63" s="13">
        <f>AI63*VLOOKUP('Données projet'!$B$10,Paramètres!$A$1:$I$89,3,0)*VLOOKUP('Données projet'!$B$10,Paramètres!$A$1:$I$89,5,0)</f>
        <v>183.84104699999997</v>
      </c>
      <c r="AK63" s="13">
        <f t="shared" si="35"/>
        <v>46.175695377255046</v>
      </c>
      <c r="AL63" s="20">
        <f t="shared" si="4"/>
        <v>400.6124929737191</v>
      </c>
      <c r="AM63" s="59">
        <f t="shared" si="5"/>
        <v>693.94582630705236</v>
      </c>
      <c r="AN63" s="59">
        <f ca="1">AVERAGE(OFFSET($AM$3,0,0,'Données projet'!$E$10+1,1))-AVERAGE(OFFSET($H$3,0,0,'Données projet'!$E$10+1,1))</f>
        <v>502.65044103360322</v>
      </c>
      <c r="AO63" s="59">
        <f t="shared" si="36"/>
        <v>321.65762891855167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14.126990975330928</v>
      </c>
      <c r="AV63" s="21">
        <f>EXP(-LN(2)/25)*AV62+(1-EXP(-LN(2)/25))/(LN(2)/25)*Calculateur!AQ63*Calculateur!AS63*VLOOKUP('Données projet'!$B$10,Paramètres!$A$1:$I$89,3,0)*0.475*44/12</f>
        <v>34.841004017205599</v>
      </c>
      <c r="AW63" s="21">
        <f>EXP(-LN(2)/2)*AW62+(1-EXP(-LN(2)/2))/(LN(2)/2)*AQ63*AT63*VLOOKUP('Données projet'!$B$10,Paramètres!$A$1:$I$89,3,0)*0.475*44/12</f>
        <v>3.3382813900309509</v>
      </c>
      <c r="AX63" s="21">
        <f t="shared" si="6"/>
        <v>52.306276382567475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201.62</v>
      </c>
      <c r="BB63" s="12">
        <f>VLOOKUP(A63,'Données projet'!$A$87:$I$107,9,0)</f>
        <v>3.3603333333333336</v>
      </c>
      <c r="BC63" s="12">
        <f t="array" ref="BC63">INDEX(BB:BB,MIN(IF(ISNUMBER(BB63:BB259),ROW(BB63:BB259),"")))</f>
        <v>3.3603333333333336</v>
      </c>
      <c r="BD63" s="12">
        <f>IF('Données projet'!$A$88&gt;35,BD62+BC63-BL62,IF(A63&lt;'Données projet'!$A$88,$BA$205^A63,IF(A63='Données projet'!$A$88,'Données projet'!$B$88,BD62+BC63-BL62)))</f>
        <v>201.61999999999989</v>
      </c>
      <c r="BE63" s="13">
        <f>BD63*VLOOKUP('Données projet'!$B$11,Paramètres!$A$1:$I$89,3,0)*VLOOKUP('Données projet'!$B$11,Paramètres!$A$1:$I$89,5,0)</f>
        <v>195.00686399999989</v>
      </c>
      <c r="BF63" s="13">
        <f t="shared" si="37"/>
        <v>48.645218109693126</v>
      </c>
      <c r="BG63" s="20">
        <f t="shared" si="7"/>
        <v>424.36070967438195</v>
      </c>
      <c r="BH63" s="59">
        <f t="shared" si="8"/>
        <v>717.69404300771521</v>
      </c>
      <c r="BI63" s="59">
        <f ca="1">AVERAGE(OFFSET($BH$3,0,0,'Données projet'!$E$11+1,1))-AVERAGE(OFFSET($H$3,0,0,'Données projet'!$E$11+1,1))</f>
        <v>510.71380643466227</v>
      </c>
      <c r="BJ63" s="59">
        <f t="shared" si="38"/>
        <v>252.40654099948841</v>
      </c>
      <c r="BK63" s="15">
        <f>IF(ISNA(VLOOKUP(A63,'Données projet'!$A$87:$I$107,3,0)),0,VLOOKUP(A63,'Données projet'!$A$87:$I$107,3,0))</f>
        <v>1</v>
      </c>
      <c r="BL63" s="15">
        <f>IF(ISNA(VLOOKUP(A63,'Données projet'!$A$87:$I$107,4,0)),0,VLOOKUP(A63,'Données projet'!$A$87:$I$107,4,0))</f>
        <v>72.87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0.34400000000000003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26.696679775541607</v>
      </c>
      <c r="BR63" s="21">
        <f>EXP(-LN(2)/2)*BR62+(1-EXP(-LN(2)/2))/(LN(2)/2)*BL63*BO63*VLOOKUP('Données projet'!$B$11,Paramètres!$A$1:$I$89,3,0)*0.475*44/12</f>
        <v>13.299929724345475</v>
      </c>
      <c r="BS63" s="22">
        <f t="shared" si="9"/>
        <v>39.996609499887086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757.48033245059059</v>
      </c>
      <c r="S64" s="59">
        <f ca="1">AVERAGE(OFFSET($R$3,0,0,'Données projet'!$E$9+1,1))-AVERAGE(OFFSET($H$3,0,0,'Données projet'!$E$9+1,1))</f>
        <v>635.71275911100679</v>
      </c>
      <c r="T64" s="59">
        <f t="shared" si="34"/>
        <v>281.7776857269169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9.7525000000000013</v>
      </c>
      <c r="AI64" s="13">
        <f>IF('Données projet'!$A$62&gt;35,AI63+AH64-AQ63,IF(A64&lt;'Données projet'!$A$62,$AF$205^A64,IF(A64='Données projet'!$A$62,'Données projet'!$B$62,AI63+AH64-AQ63)))</f>
        <v>180.54499999999999</v>
      </c>
      <c r="AJ64" s="13">
        <f>AI64*VLOOKUP('Données projet'!$B$10,Paramètres!$A$1:$I$89,3,0)*VLOOKUP('Données projet'!$B$10,Paramètres!$A$1:$I$89,5,0)</f>
        <v>194.33863799999997</v>
      </c>
      <c r="AK64" s="13">
        <f t="shared" si="35"/>
        <v>48.497900030377807</v>
      </c>
      <c r="AL64" s="20">
        <f t="shared" si="4"/>
        <v>422.94030373624128</v>
      </c>
      <c r="AM64" s="59">
        <f t="shared" si="5"/>
        <v>716.27363706957453</v>
      </c>
      <c r="AN64" s="59">
        <f ca="1">AVERAGE(OFFSET($AM$3,0,0,'Données projet'!$E$10+1,1))-AVERAGE(OFFSET($H$3,0,0,'Données projet'!$E$10+1,1))</f>
        <v>502.65044103360322</v>
      </c>
      <c r="AO64" s="59">
        <f t="shared" si="36"/>
        <v>321.65762891855167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13.849969298918364</v>
      </c>
      <c r="AV64" s="21">
        <f>EXP(-LN(2)/25)*AV63+(1-EXP(-LN(2)/25))/(LN(2)/25)*Calculateur!AQ64*Calculateur!AS64*VLOOKUP('Données projet'!$B$10,Paramètres!$A$1:$I$89,3,0)*0.475*44/12</f>
        <v>33.888274930146338</v>
      </c>
      <c r="AW64" s="21">
        <f>EXP(-LN(2)/2)*AW63+(1-EXP(-LN(2)/2))/(LN(2)/2)*AQ64*AT64*VLOOKUP('Données projet'!$B$10,Paramètres!$A$1:$I$89,3,0)*0.475*44/12</f>
        <v>2.3605214083997397</v>
      </c>
      <c r="AX64" s="21">
        <f t="shared" si="6"/>
        <v>50.098765637464446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6.8933333333333326</v>
      </c>
      <c r="BD64" s="12">
        <f>IF('Données projet'!$A$88&gt;35,BD63+BC64-BL63,IF(A64&lt;'Données projet'!$A$88,$BA$205^A64,IF(A64='Données projet'!$A$88,'Données projet'!$B$88,BD63+BC64-BL63)))</f>
        <v>135.64333333333323</v>
      </c>
      <c r="BE64" s="13">
        <f>BD64*VLOOKUP('Données projet'!$B$11,Paramètres!$A$1:$I$89,3,0)*VLOOKUP('Données projet'!$B$11,Paramètres!$A$1:$I$89,5,0)</f>
        <v>131.19423199999991</v>
      </c>
      <c r="BF64" s="13">
        <f t="shared" si="37"/>
        <v>34.272164248672141</v>
      </c>
      <c r="BG64" s="20">
        <f t="shared" si="7"/>
        <v>288.18730679977051</v>
      </c>
      <c r="BH64" s="59">
        <f t="shared" si="8"/>
        <v>581.52064013310383</v>
      </c>
      <c r="BI64" s="59">
        <f ca="1">AVERAGE(OFFSET($BH$3,0,0,'Données projet'!$E$11+1,1))-AVERAGE(OFFSET($H$3,0,0,'Données projet'!$E$11+1,1))</f>
        <v>510.71380643466227</v>
      </c>
      <c r="BJ64" s="59">
        <f t="shared" si="38"/>
        <v>252.40654099948841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25.966657663162049</v>
      </c>
      <c r="BR64" s="21">
        <f>EXP(-LN(2)/2)*BR63+(1-EXP(-LN(2)/2))/(LN(2)/2)*BL64*BO64*VLOOKUP('Données projet'!$B$11,Paramètres!$A$1:$I$89,3,0)*0.475*44/12</f>
        <v>9.4044704973892159</v>
      </c>
      <c r="BS64" s="22">
        <f t="shared" si="9"/>
        <v>35.371128160551265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776.8733416193345</v>
      </c>
      <c r="S65" s="59">
        <f ca="1">AVERAGE(OFFSET($R$3,0,0,'Données projet'!$E$9+1,1))-AVERAGE(OFFSET($H$3,0,0,'Données projet'!$E$9+1,1))</f>
        <v>635.71275911100679</v>
      </c>
      <c r="T65" s="59">
        <f t="shared" si="34"/>
        <v>281.7776857269169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9.7525000000000013</v>
      </c>
      <c r="AI65" s="13">
        <f>IF('Données projet'!$A$62&gt;35,AI64+AH65-AQ64,IF(A65&lt;'Données projet'!$A$62,$AF$205^A65,IF(A65='Données projet'!$A$62,'Données projet'!$B$62,AI64+AH65-AQ64)))</f>
        <v>190.29749999999999</v>
      </c>
      <c r="AJ65" s="13">
        <f>AI65*VLOOKUP('Données projet'!$B$10,Paramètres!$A$1:$I$89,3,0)*VLOOKUP('Données projet'!$B$10,Paramètres!$A$1:$I$89,5,0)</f>
        <v>204.83622899999995</v>
      </c>
      <c r="AK65" s="13">
        <f t="shared" si="35"/>
        <v>50.805541968354355</v>
      </c>
      <c r="AL65" s="20">
        <f t="shared" si="4"/>
        <v>445.24275110321702</v>
      </c>
      <c r="AM65" s="59">
        <f t="shared" si="5"/>
        <v>738.57608443655033</v>
      </c>
      <c r="AN65" s="59">
        <f ca="1">AVERAGE(OFFSET($AM$3,0,0,'Données projet'!$E$10+1,1))-AVERAGE(OFFSET($H$3,0,0,'Données projet'!$E$10+1,1))</f>
        <v>502.65044103360322</v>
      </c>
      <c r="AO65" s="59">
        <f t="shared" si="36"/>
        <v>321.65762891855167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13.578379848613711</v>
      </c>
      <c r="AV65" s="21">
        <f>EXP(-LN(2)/25)*AV64+(1-EXP(-LN(2)/25))/(LN(2)/25)*Calculateur!AQ65*Calculateur!AS65*VLOOKUP('Données projet'!$B$10,Paramètres!$A$1:$I$89,3,0)*0.475*44/12</f>
        <v>32.96159827007456</v>
      </c>
      <c r="AW65" s="21">
        <f>EXP(-LN(2)/2)*AW64+(1-EXP(-LN(2)/2))/(LN(2)/2)*AQ65*AT65*VLOOKUP('Données projet'!$B$10,Paramètres!$A$1:$I$89,3,0)*0.475*44/12</f>
        <v>1.6691406950154759</v>
      </c>
      <c r="AX65" s="21">
        <f t="shared" si="6"/>
        <v>48.209118813703746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6.8933333333333326</v>
      </c>
      <c r="BD65" s="12">
        <f>IF('Données projet'!$A$88&gt;35,BD64+BC65-BL64,IF(A65&lt;'Données projet'!$A$88,$BA$205^A65,IF(A65='Données projet'!$A$88,'Données projet'!$B$88,BD64+BC65-BL64)))</f>
        <v>142.53666666666658</v>
      </c>
      <c r="BE65" s="13">
        <f>BD65*VLOOKUP('Données projet'!$B$11,Paramètres!$A$1:$I$89,3,0)*VLOOKUP('Données projet'!$B$11,Paramètres!$A$1:$I$89,5,0)</f>
        <v>137.8614639999999</v>
      </c>
      <c r="BF65" s="13">
        <f t="shared" si="37"/>
        <v>35.806658893228409</v>
      </c>
      <c r="BG65" s="20">
        <f t="shared" si="7"/>
        <v>302.47198070570596</v>
      </c>
      <c r="BH65" s="59">
        <f t="shared" si="8"/>
        <v>595.80531403903933</v>
      </c>
      <c r="BI65" s="59">
        <f ca="1">AVERAGE(OFFSET($BH$3,0,0,'Données projet'!$E$11+1,1))-AVERAGE(OFFSET($H$3,0,0,'Données projet'!$E$11+1,1))</f>
        <v>510.71380643466227</v>
      </c>
      <c r="BJ65" s="59">
        <f t="shared" si="38"/>
        <v>252.40654099948841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25.256598043835705</v>
      </c>
      <c r="BR65" s="21">
        <f>EXP(-LN(2)/2)*BR64+(1-EXP(-LN(2)/2))/(LN(2)/2)*BL65*BO65*VLOOKUP('Données projet'!$B$11,Paramètres!$A$1:$I$89,3,0)*0.475*44/12</f>
        <v>6.6499648621727383</v>
      </c>
      <c r="BS65" s="22">
        <f t="shared" si="9"/>
        <v>31.906562906008443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796.2498365858869</v>
      </c>
      <c r="S66" s="59">
        <f ca="1">AVERAGE(OFFSET($R$3,0,0,'Données projet'!$E$9+1,1))-AVERAGE(OFFSET($H$3,0,0,'Données projet'!$E$9+1,1))</f>
        <v>635.71275911100679</v>
      </c>
      <c r="T66" s="59">
        <f t="shared" si="34"/>
        <v>281.7776857269169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9.7525000000000013</v>
      </c>
      <c r="AI66" s="13">
        <f>IF('Données projet'!$A$62&gt;35,AI65+AH66-AQ65,IF(A66&lt;'Données projet'!$A$62,$AF$205^A66,IF(A66='Données projet'!$A$62,'Données projet'!$B$62,AI65+AH66-AQ65)))</f>
        <v>200.04999999999998</v>
      </c>
      <c r="AJ66" s="13">
        <f>AI66*VLOOKUP('Données projet'!$B$10,Paramètres!$A$1:$I$89,3,0)*VLOOKUP('Données projet'!$B$10,Paramètres!$A$1:$I$89,5,0)</f>
        <v>215.33381999999997</v>
      </c>
      <c r="AK66" s="13">
        <f t="shared" si="35"/>
        <v>53.099452648856172</v>
      </c>
      <c r="AL66" s="20">
        <f t="shared" si="4"/>
        <v>467.52128319675768</v>
      </c>
      <c r="AM66" s="59">
        <f t="shared" si="5"/>
        <v>760.85461653009099</v>
      </c>
      <c r="AN66" s="59">
        <f ca="1">AVERAGE(OFFSET($AM$3,0,0,'Données projet'!$E$10+1,1))-AVERAGE(OFFSET($H$3,0,0,'Données projet'!$E$10+1,1))</f>
        <v>502.65044103360322</v>
      </c>
      <c r="AO66" s="59">
        <f t="shared" si="36"/>
        <v>321.65762891855167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13.312116101776324</v>
      </c>
      <c r="AV66" s="21">
        <f>EXP(-LN(2)/25)*AV65+(1-EXP(-LN(2)/25))/(LN(2)/25)*Calculateur!AQ66*Calculateur!AS66*VLOOKUP('Données projet'!$B$10,Paramètres!$A$1:$I$89,3,0)*0.475*44/12</f>
        <v>32.060261632004256</v>
      </c>
      <c r="AW66" s="21">
        <f>EXP(-LN(2)/2)*AW65+(1-EXP(-LN(2)/2))/(LN(2)/2)*AQ66*AT66*VLOOKUP('Données projet'!$B$10,Paramètres!$A$1:$I$89,3,0)*0.475*44/12</f>
        <v>1.1802607041998701</v>
      </c>
      <c r="AX66" s="21">
        <f t="shared" si="6"/>
        <v>46.552638437980448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6.8933333333333326</v>
      </c>
      <c r="BD66" s="12">
        <f>IF('Données projet'!$A$88&gt;35,BD65+BC66-BL65,IF(A66&lt;'Données projet'!$A$88,$BA$205^A66,IF(A66='Données projet'!$A$88,'Données projet'!$B$88,BD65+BC66-BL65)))</f>
        <v>149.42999999999992</v>
      </c>
      <c r="BE66" s="13">
        <f>BD66*VLOOKUP('Données projet'!$B$11,Paramètres!$A$1:$I$89,3,0)*VLOOKUP('Données projet'!$B$11,Paramètres!$A$1:$I$89,5,0)</f>
        <v>144.52869599999994</v>
      </c>
      <c r="BF66" s="13">
        <f t="shared" si="37"/>
        <v>37.332536103072727</v>
      </c>
      <c r="BG66" s="20">
        <f t="shared" si="7"/>
        <v>316.74164591285154</v>
      </c>
      <c r="BH66" s="59">
        <f t="shared" si="8"/>
        <v>610.07497924618485</v>
      </c>
      <c r="BI66" s="59">
        <f ca="1">AVERAGE(OFFSET($BH$3,0,0,'Données projet'!$E$11+1,1))-AVERAGE(OFFSET($H$3,0,0,'Données projet'!$E$11+1,1))</f>
        <v>510.71380643466227</v>
      </c>
      <c r="BJ66" s="59">
        <f t="shared" si="38"/>
        <v>252.40654099948841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24.565955042140253</v>
      </c>
      <c r="BR66" s="21">
        <f>EXP(-LN(2)/2)*BR65+(1-EXP(-LN(2)/2))/(LN(2)/2)*BL66*BO66*VLOOKUP('Données projet'!$B$11,Paramètres!$A$1:$I$89,3,0)*0.475*44/12</f>
        <v>4.7022352486946088</v>
      </c>
      <c r="BS66" s="22">
        <f t="shared" si="9"/>
        <v>29.268190290834863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815.61054271425792</v>
      </c>
      <c r="S67" s="59">
        <f ca="1">AVERAGE(OFFSET($R$3,0,0,'Données projet'!$E$9+1,1))-AVERAGE(OFFSET($H$3,0,0,'Données projet'!$E$9+1,1))</f>
        <v>635.71275911100679</v>
      </c>
      <c r="T67" s="59">
        <f t="shared" si="34"/>
        <v>281.7776857269169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9.7525000000000013</v>
      </c>
      <c r="AI67" s="13">
        <f>IF('Données projet'!$A$62&gt;35,AI66+AH67-AQ66,IF(A67&lt;'Données projet'!$A$62,$AF$205^A67,IF(A67='Données projet'!$A$62,'Données projet'!$B$62,AI66+AH67-AQ66)))</f>
        <v>209.80249999999998</v>
      </c>
      <c r="AJ67" s="13">
        <f>AI67*VLOOKUP('Données projet'!$B$10,Paramètres!$A$1:$I$89,3,0)*VLOOKUP('Données projet'!$B$10,Paramètres!$A$1:$I$89,5,0)</f>
        <v>225.83141099999995</v>
      </c>
      <c r="AK67" s="13">
        <f t="shared" si="35"/>
        <v>55.380377881825432</v>
      </c>
      <c r="AL67" s="20">
        <f t="shared" si="4"/>
        <v>489.77719896917915</v>
      </c>
      <c r="AM67" s="59">
        <f t="shared" si="5"/>
        <v>783.11053230251241</v>
      </c>
      <c r="AN67" s="59">
        <f ca="1">AVERAGE(OFFSET($AM$3,0,0,'Données projet'!$E$10+1,1))-AVERAGE(OFFSET($H$3,0,0,'Données projet'!$E$10+1,1))</f>
        <v>502.65044103360322</v>
      </c>
      <c r="AO67" s="59">
        <f t="shared" si="36"/>
        <v>321.65762891855167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13.05107362460957</v>
      </c>
      <c r="AV67" s="21">
        <f>EXP(-LN(2)/25)*AV66+(1-EXP(-LN(2)/25))/(LN(2)/25)*Calculateur!AQ67*Calculateur!AS67*VLOOKUP('Données projet'!$B$10,Paramètres!$A$1:$I$89,3,0)*0.475*44/12</f>
        <v>31.183572091701215</v>
      </c>
      <c r="AW67" s="21">
        <f>EXP(-LN(2)/2)*AW66+(1-EXP(-LN(2)/2))/(LN(2)/2)*AQ67*AT67*VLOOKUP('Données projet'!$B$10,Paramètres!$A$1:$I$89,3,0)*0.475*44/12</f>
        <v>0.83457034750773806</v>
      </c>
      <c r="AX67" s="21">
        <f t="shared" si="6"/>
        <v>45.069216063818523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6.8933333333333326</v>
      </c>
      <c r="BD67" s="12">
        <f>IF('Données projet'!$A$88&gt;35,BD66+BC67-BL66,IF(A67&lt;'Données projet'!$A$88,$BA$205^A67,IF(A67='Données projet'!$A$88,'Données projet'!$B$88,BD66+BC67-BL66)))</f>
        <v>156.32333333333327</v>
      </c>
      <c r="BE67" s="13">
        <f>BD67*VLOOKUP('Données projet'!$B$11,Paramètres!$A$1:$I$89,3,0)*VLOOKUP('Données projet'!$B$11,Paramètres!$A$1:$I$89,5,0)</f>
        <v>151.19592799999995</v>
      </c>
      <c r="BF67" s="13">
        <f t="shared" si="37"/>
        <v>38.850238811998203</v>
      </c>
      <c r="BG67" s="20">
        <f t="shared" si="7"/>
        <v>330.99707386423012</v>
      </c>
      <c r="BH67" s="59">
        <f t="shared" si="8"/>
        <v>624.33040719756343</v>
      </c>
      <c r="BI67" s="59">
        <f ca="1">AVERAGE(OFFSET($BH$3,0,0,'Données projet'!$E$11+1,1))-AVERAGE(OFFSET($H$3,0,0,'Données projet'!$E$11+1,1))</f>
        <v>510.71380643466227</v>
      </c>
      <c r="BJ67" s="59">
        <f t="shared" si="38"/>
        <v>252.40654099948841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23.8941977096455</v>
      </c>
      <c r="BR67" s="21">
        <f>EXP(-LN(2)/2)*BR66+(1-EXP(-LN(2)/2))/(LN(2)/2)*BL67*BO67*VLOOKUP('Données projet'!$B$11,Paramètres!$A$1:$I$89,3,0)*0.475*44/12</f>
        <v>3.32498243108637</v>
      </c>
      <c r="BS67" s="22">
        <f t="shared" si="9"/>
        <v>27.219180140731869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834.95612724241983</v>
      </c>
      <c r="S68" s="59">
        <f ca="1">AVERAGE(OFFSET($R$3,0,0,'Données projet'!$E$9+1,1))-AVERAGE(OFFSET($H$3,0,0,'Données projet'!$E$9+1,1))</f>
        <v>635.71275911100679</v>
      </c>
      <c r="T68" s="59">
        <f t="shared" si="34"/>
        <v>281.7776857269169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9.7525000000000013</v>
      </c>
      <c r="AI68" s="13">
        <f>IF('Données projet'!$A$62&gt;35,AI67+AH68-AQ67,IF(A68&lt;'Données projet'!$A$62,$AF$205^A68,IF(A68='Données projet'!$A$62,'Données projet'!$B$62,AI67+AH68-AQ67)))</f>
        <v>219.55499999999998</v>
      </c>
      <c r="AJ68" s="13">
        <f>AI68*VLOOKUP('Données projet'!$B$10,Paramètres!$A$1:$I$89,3,0)*VLOOKUP('Données projet'!$B$10,Paramètres!$A$1:$I$89,5,0)</f>
        <v>236.32900199999997</v>
      </c>
      <c r="AK68" s="13">
        <f t="shared" si="35"/>
        <v>57.648990221838943</v>
      </c>
      <c r="AL68" s="20">
        <f t="shared" ref="AL68:AL131" si="58">(AJ68+AK68)*0.475*44/12</f>
        <v>512.01166978636945</v>
      </c>
      <c r="AM68" s="59">
        <f t="shared" ref="AM68:AM131" si="59">AL68+(AD68+AE68)*44/12</f>
        <v>805.34500311970282</v>
      </c>
      <c r="AN68" s="59">
        <f ca="1">AVERAGE(OFFSET($AM$3,0,0,'Données projet'!$E$10+1,1))-AVERAGE(OFFSET($H$3,0,0,'Données projet'!$E$10+1,1))</f>
        <v>502.65044103360322</v>
      </c>
      <c r="AO68" s="59">
        <f t="shared" si="36"/>
        <v>321.65762891855167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12.795150031199865</v>
      </c>
      <c r="AV68" s="21">
        <f>EXP(-LN(2)/25)*AV67+(1-EXP(-LN(2)/25))/(LN(2)/25)*Calculateur!AQ68*Calculateur!AS68*VLOOKUP('Données projet'!$B$10,Paramètres!$A$1:$I$89,3,0)*0.475*44/12</f>
        <v>30.33085567298086</v>
      </c>
      <c r="AW68" s="21">
        <f>EXP(-LN(2)/2)*AW67+(1-EXP(-LN(2)/2))/(LN(2)/2)*AQ68*AT68*VLOOKUP('Données projet'!$B$10,Paramètres!$A$1:$I$89,3,0)*0.475*44/12</f>
        <v>0.59013035209993514</v>
      </c>
      <c r="AX68" s="21">
        <f t="shared" ref="AX68:AX131" si="60">SUM(AU68:AW68)</f>
        <v>43.716136056280661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6.8933333333333326</v>
      </c>
      <c r="BD68" s="12">
        <f>IF('Données projet'!$A$88&gt;35,BD67+BC68-BL67,IF(A68&lt;'Données projet'!$A$88,$BA$205^A68,IF(A68='Données projet'!$A$88,'Données projet'!$B$88,BD67+BC68-BL67)))</f>
        <v>163.21666666666661</v>
      </c>
      <c r="BE68" s="13">
        <f>BD68*VLOOKUP('Données projet'!$B$11,Paramètres!$A$1:$I$89,3,0)*VLOOKUP('Données projet'!$B$11,Paramètres!$A$1:$I$89,5,0)</f>
        <v>157.86315999999997</v>
      </c>
      <c r="BF68" s="13">
        <f t="shared" si="37"/>
        <v>40.360168681268135</v>
      </c>
      <c r="BG68" s="20">
        <f t="shared" ref="BG68:BG131" si="61">(BE68+BF68)*0.475*44/12</f>
        <v>345.23896411987533</v>
      </c>
      <c r="BH68" s="59">
        <f t="shared" ref="BH68:BH131" si="62">BG68+(AY68+AZ68)*44/12</f>
        <v>638.57229745320865</v>
      </c>
      <c r="BI68" s="59">
        <f ca="1">AVERAGE(OFFSET($BH$3,0,0,'Données projet'!$E$11+1,1))-AVERAGE(OFFSET($H$3,0,0,'Données projet'!$E$11+1,1))</f>
        <v>510.71380643466227</v>
      </c>
      <c r="BJ68" s="59">
        <f t="shared" si="38"/>
        <v>252.40654099948841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23.240809616733998</v>
      </c>
      <c r="BR68" s="21">
        <f>EXP(-LN(2)/2)*BR67+(1-EXP(-LN(2)/2))/(LN(2)/2)*BL68*BO68*VLOOKUP('Données projet'!$B$11,Paramètres!$A$1:$I$89,3,0)*0.475*44/12</f>
        <v>2.3511176243473049</v>
      </c>
      <c r="BS68" s="22">
        <f t="shared" ref="BS68:BS131" si="63">SUM(BP68:BR68)</f>
        <v>25.591927241081301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854.28720589215686</v>
      </c>
      <c r="S69" s="59">
        <f ca="1">AVERAGE(OFFSET($R$3,0,0,'Données projet'!$E$9+1,1))-AVERAGE(OFFSET($H$3,0,0,'Données projet'!$E$9+1,1))</f>
        <v>635.71275911100679</v>
      </c>
      <c r="T69" s="59">
        <f t="shared" ref="T69:T132" si="88">$T$3</f>
        <v>281.7776857269169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9.7525000000000013</v>
      </c>
      <c r="AI69" s="13">
        <f>IF('Données projet'!$A$62&gt;35,AI68+AH69-AQ68,IF(A69&lt;'Données projet'!$A$62,$AF$205^A69,IF(A69='Données projet'!$A$62,'Données projet'!$B$62,AI68+AH69-AQ68)))</f>
        <v>229.30749999999998</v>
      </c>
      <c r="AJ69" s="13">
        <f>AI69*VLOOKUP('Données projet'!$B$10,Paramètres!$A$1:$I$89,3,0)*VLOOKUP('Données projet'!$B$10,Paramètres!$A$1:$I$89,5,0)</f>
        <v>246.82659299999995</v>
      </c>
      <c r="AK69" s="13">
        <f t="shared" ref="AK69:AK132" si="89">EXP(-1.0587+0.8836*LN(AJ69)+0.284)</f>
        <v>59.905899096446639</v>
      </c>
      <c r="AL69" s="20">
        <f t="shared" si="58"/>
        <v>534.22575706797772</v>
      </c>
      <c r="AM69" s="59">
        <f t="shared" si="59"/>
        <v>827.5590904013111</v>
      </c>
      <c r="AN69" s="59">
        <f ca="1">AVERAGE(OFFSET($AM$3,0,0,'Données projet'!$E$10+1,1))-AVERAGE(OFFSET($H$3,0,0,'Données projet'!$E$10+1,1))</f>
        <v>502.65044103360322</v>
      </c>
      <c r="AO69" s="59">
        <f t="shared" ref="AO69:AO132" si="90">$AO$3</f>
        <v>321.65762891855167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12.544244943358947</v>
      </c>
      <c r="AV69" s="21">
        <f>EXP(-LN(2)/25)*AV68+(1-EXP(-LN(2)/25))/(LN(2)/25)*Calculateur!AQ69*Calculateur!AS69*VLOOKUP('Données projet'!$B$10,Paramètres!$A$1:$I$89,3,0)*0.475*44/12</f>
        <v>29.50145682957282</v>
      </c>
      <c r="AW69" s="21">
        <f>EXP(-LN(2)/2)*AW68+(1-EXP(-LN(2)/2))/(LN(2)/2)*AQ69*AT69*VLOOKUP('Données projet'!$B$10,Paramètres!$A$1:$I$89,3,0)*0.475*44/12</f>
        <v>0.41728517375386909</v>
      </c>
      <c r="AX69" s="21">
        <f t="shared" si="60"/>
        <v>42.462986946685632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6.8933333333333326</v>
      </c>
      <c r="BD69" s="12">
        <f>IF('Données projet'!$A$88&gt;35,BD68+BC69-BL68,IF(A69&lt;'Données projet'!$A$88,$BA$205^A69,IF(A69='Données projet'!$A$88,'Données projet'!$B$88,BD68+BC69-BL68)))</f>
        <v>170.10999999999996</v>
      </c>
      <c r="BE69" s="13">
        <f>BD69*VLOOKUP('Données projet'!$B$11,Paramètres!$A$1:$I$89,3,0)*VLOOKUP('Données projet'!$B$11,Paramètres!$A$1:$I$89,5,0)</f>
        <v>164.53039199999995</v>
      </c>
      <c r="BF69" s="13">
        <f t="shared" ref="BF69:BF132" si="91">EXP(-1.0587+0.8836*LN(BE69)+0.284)</f>
        <v>41.862691525218828</v>
      </c>
      <c r="BG69" s="20">
        <f t="shared" si="61"/>
        <v>359.46795380642266</v>
      </c>
      <c r="BH69" s="59">
        <f t="shared" si="62"/>
        <v>652.80128713975591</v>
      </c>
      <c r="BI69" s="59">
        <f ca="1">AVERAGE(OFFSET($BH$3,0,0,'Données projet'!$E$11+1,1))-AVERAGE(OFFSET($H$3,0,0,'Données projet'!$E$11+1,1))</f>
        <v>510.71380643466227</v>
      </c>
      <c r="BJ69" s="59">
        <f t="shared" ref="BJ69:BJ132" si="92">$BJ$3</f>
        <v>252.40654099948841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22.605288455583345</v>
      </c>
      <c r="BR69" s="21">
        <f>EXP(-LN(2)/2)*BR68+(1-EXP(-LN(2)/2))/(LN(2)/2)*BL69*BO69*VLOOKUP('Données projet'!$B$11,Paramètres!$A$1:$I$89,3,0)*0.475*44/12</f>
        <v>1.6624912155431852</v>
      </c>
      <c r="BS69" s="22">
        <f t="shared" si="63"/>
        <v>24.267779671126529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770.12871216142673</v>
      </c>
      <c r="S70" s="59">
        <f ca="1">AVERAGE(OFFSET($R$3,0,0,'Données projet'!$E$9+1,1))-AVERAGE(OFFSET($H$3,0,0,'Données projet'!$E$9+1,1))</f>
        <v>635.71275911100679</v>
      </c>
      <c r="T70" s="59">
        <f t="shared" si="88"/>
        <v>281.7776857269169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239.06</v>
      </c>
      <c r="AG70" s="12">
        <f>VLOOKUP(A70,'Données projet'!$A$61:$I$81,9,0)</f>
        <v>9.7525000000000013</v>
      </c>
      <c r="AH70" s="12">
        <f t="array" ref="AH70">INDEX(AG:AG,MIN(IF(ISNUMBER(AG70:AG266),ROW(AG70:AG266),"")))</f>
        <v>9.7525000000000013</v>
      </c>
      <c r="AI70" s="13">
        <f>IF('Données projet'!$A$62&gt;35,AI69+AH70-AQ69,IF(A70&lt;'Données projet'!$A$62,$AF$205^A70,IF(A70='Données projet'!$A$62,'Données projet'!$B$62,AI69+AH70-AQ69)))</f>
        <v>239.05999999999997</v>
      </c>
      <c r="AJ70" s="13">
        <f>AI70*VLOOKUP('Données projet'!$B$10,Paramètres!$A$1:$I$89,3,0)*VLOOKUP('Données projet'!$B$10,Paramètres!$A$1:$I$89,5,0)</f>
        <v>257.324184</v>
      </c>
      <c r="AK70" s="13">
        <f t="shared" si="89"/>
        <v>62.151659162886212</v>
      </c>
      <c r="AL70" s="20">
        <f t="shared" si="58"/>
        <v>556.42042684202681</v>
      </c>
      <c r="AM70" s="59">
        <f t="shared" si="59"/>
        <v>849.75376017536018</v>
      </c>
      <c r="AN70" s="59">
        <f ca="1">AVERAGE(OFFSET($AM$3,0,0,'Données projet'!$E$10+1,1))-AVERAGE(OFFSET($H$3,0,0,'Données projet'!$E$10+1,1))</f>
        <v>502.65044103360322</v>
      </c>
      <c r="AO70" s="59">
        <f t="shared" si="90"/>
        <v>321.65762891855167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42.550000000000011</v>
      </c>
      <c r="AR70" s="16">
        <f>IF(ISNA(VLOOKUP(A70,'Données projet'!$A$61:$I$81,5,0)),0%,VLOOKUP(A70,'Données projet'!$A$61:$I$81,5,0)*VLOOKUP('Données projet'!$B$10,Paramètres!$A$1:$I$89,7,0))</f>
        <v>0.15049999999999999</v>
      </c>
      <c r="AS70" s="16">
        <f>IF(ISNA(VLOOKUP(A70,'Données projet'!$A$61:$I$81,6,0)),0%,VLOOKUP(A70,'Données projet'!$A$61:$I$81,6,0)*VLOOKUP('Données projet'!$B$10,Paramètres!$A$1:$I$89,7,0))</f>
        <v>8.6000000000000007E-2</v>
      </c>
      <c r="AT70" s="16">
        <f>IF(ISNA(VLOOKUP(A70,'Données projet'!$A$61:$I$81,7,0)),0%,VLOOKUP(A70,'Données projet'!$A$61:$I$81,7,0))</f>
        <v>0.1</v>
      </c>
      <c r="AU70" s="21">
        <f>EXP(-LN(2)/35)*AU69+(1-EXP(-LN(2)/35))/(LN(2)/35)*AQ70*AR70*VLOOKUP('Données projet'!$B$10,Paramètres!$A$1:$I$89,3,0)*0.475*44/12</f>
        <v>19.918293156435809</v>
      </c>
      <c r="AV70" s="21">
        <f>EXP(-LN(2)/25)*AV69+(1-EXP(-LN(2)/25))/(LN(2)/25)*Calculateur!AQ70*Calculateur!AS70*VLOOKUP('Données projet'!$B$10,Paramètres!$A$1:$I$89,3,0)*0.475*44/12</f>
        <v>33.031898073150039</v>
      </c>
      <c r="AW70" s="21">
        <f>EXP(-LN(2)/2)*AW69+(1-EXP(-LN(2)/2))/(LN(2)/2)*AQ70*AT70*VLOOKUP('Données projet'!$B$10,Paramètres!$A$1:$I$89,3,0)*0.475*44/12</f>
        <v>4.6164958141496442</v>
      </c>
      <c r="AX70" s="21">
        <f t="shared" si="60"/>
        <v>57.566687043735492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6.8933333333333326</v>
      </c>
      <c r="BD70" s="12">
        <f>IF('Données projet'!$A$88&gt;35,BD69+BC70-BL69,IF(A70&lt;'Données projet'!$A$88,$BA$205^A70,IF(A70='Données projet'!$A$88,'Données projet'!$B$88,BD69+BC70-BL69)))</f>
        <v>177.0033333333333</v>
      </c>
      <c r="BE70" s="13">
        <f>BD70*VLOOKUP('Données projet'!$B$11,Paramètres!$A$1:$I$89,3,0)*VLOOKUP('Données projet'!$B$11,Paramètres!$A$1:$I$89,5,0)</f>
        <v>171.19762399999996</v>
      </c>
      <c r="BF70" s="13">
        <f t="shared" si="91"/>
        <v>43.358141832658021</v>
      </c>
      <c r="BG70" s="20">
        <f t="shared" si="61"/>
        <v>373.68462549187933</v>
      </c>
      <c r="BH70" s="59">
        <f t="shared" si="62"/>
        <v>667.01795882521265</v>
      </c>
      <c r="BI70" s="59">
        <f ca="1">AVERAGE(OFFSET($BH$3,0,0,'Données projet'!$E$11+1,1))-AVERAGE(OFFSET($H$3,0,0,'Données projet'!$E$11+1,1))</f>
        <v>510.71380643466227</v>
      </c>
      <c r="BJ70" s="59">
        <f t="shared" si="92"/>
        <v>252.40654099948841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21.987145654004962</v>
      </c>
      <c r="BR70" s="21">
        <f>EXP(-LN(2)/2)*BR69+(1-EXP(-LN(2)/2))/(LN(2)/2)*BL70*BO70*VLOOKUP('Données projet'!$B$11,Paramètres!$A$1:$I$89,3,0)*0.475*44/12</f>
        <v>1.1755588121736527</v>
      </c>
      <c r="BS70" s="22">
        <f t="shared" si="63"/>
        <v>23.162704466178614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788.79445314775262</v>
      </c>
      <c r="S71" s="59">
        <f ca="1">AVERAGE(OFFSET($R$3,0,0,'Données projet'!$E$9+1,1))-AVERAGE(OFFSET($H$3,0,0,'Données projet'!$E$9+1,1))</f>
        <v>635.71275911100679</v>
      </c>
      <c r="T71" s="59">
        <f t="shared" si="88"/>
        <v>281.7776857269169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9.65625</v>
      </c>
      <c r="AI71" s="13">
        <f>IF('Données projet'!$A$62&gt;35,AI70+AH71-AQ70,IF(A71&lt;'Données projet'!$A$62,$AF$205^A71,IF(A71='Données projet'!$A$62,'Données projet'!$B$62,AI70+AH71-AQ70)))</f>
        <v>206.16624999999996</v>
      </c>
      <c r="AJ71" s="13">
        <f>AI71*VLOOKUP('Données projet'!$B$10,Paramètres!$A$1:$I$89,3,0)*VLOOKUP('Données projet'!$B$10,Paramètres!$A$1:$I$89,5,0)</f>
        <v>221.91735149999994</v>
      </c>
      <c r="AK71" s="13">
        <f t="shared" si="89"/>
        <v>54.531401903286778</v>
      </c>
      <c r="AL71" s="20">
        <f t="shared" si="58"/>
        <v>481.48157884405776</v>
      </c>
      <c r="AM71" s="59">
        <f t="shared" si="59"/>
        <v>774.81491217739108</v>
      </c>
      <c r="AN71" s="59">
        <f ca="1">AVERAGE(OFFSET($AM$3,0,0,'Données projet'!$E$10+1,1))-AVERAGE(OFFSET($H$3,0,0,'Données projet'!$E$10+1,1))</f>
        <v>502.65044103360322</v>
      </c>
      <c r="AO71" s="59">
        <f t="shared" si="90"/>
        <v>321.65762891855167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19.527707576597319</v>
      </c>
      <c r="AV71" s="21">
        <f>EXP(-LN(2)/25)*AV70+(1-EXP(-LN(2)/25))/(LN(2)/25)*Calculateur!AQ71*Calculateur!AS71*VLOOKUP('Données projet'!$B$10,Paramètres!$A$1:$I$89,3,0)*0.475*44/12</f>
        <v>32.128639083267728</v>
      </c>
      <c r="AW71" s="21">
        <f>EXP(-LN(2)/2)*AW70+(1-EXP(-LN(2)/2))/(LN(2)/2)*AQ71*AT71*VLOOKUP('Données projet'!$B$10,Paramètres!$A$1:$I$89,3,0)*0.475*44/12</f>
        <v>3.2643554955045251</v>
      </c>
      <c r="AX71" s="21">
        <f t="shared" si="60"/>
        <v>54.920702155369575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6.8933333333333326</v>
      </c>
      <c r="BD71" s="12">
        <f>IF('Données projet'!$A$88&gt;35,BD70+BC71-BL70,IF(A71&lt;'Données projet'!$A$88,$BA$205^A71,IF(A71='Données projet'!$A$88,'Données projet'!$B$88,BD70+BC71-BL70)))</f>
        <v>183.89666666666665</v>
      </c>
      <c r="BE71" s="13">
        <f>BD71*VLOOKUP('Données projet'!$B$11,Paramètres!$A$1:$I$89,3,0)*VLOOKUP('Données projet'!$B$11,Paramètres!$A$1:$I$89,5,0)</f>
        <v>177.86485599999997</v>
      </c>
      <c r="BF71" s="13">
        <f t="shared" si="91"/>
        <v>44.846826564109918</v>
      </c>
      <c r="BG71" s="20">
        <f t="shared" si="61"/>
        <v>387.88951379915807</v>
      </c>
      <c r="BH71" s="59">
        <f t="shared" si="62"/>
        <v>681.22284713249132</v>
      </c>
      <c r="BI71" s="59">
        <f ca="1">AVERAGE(OFFSET($BH$3,0,0,'Données projet'!$E$11+1,1))-AVERAGE(OFFSET($H$3,0,0,'Données projet'!$E$11+1,1))</f>
        <v>510.71380643466227</v>
      </c>
      <c r="BJ71" s="59">
        <f t="shared" si="92"/>
        <v>252.40654099948841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21.385905999842461</v>
      </c>
      <c r="BR71" s="21">
        <f>EXP(-LN(2)/2)*BR70+(1-EXP(-LN(2)/2))/(LN(2)/2)*BL71*BO71*VLOOKUP('Données projet'!$B$11,Paramètres!$A$1:$I$89,3,0)*0.475*44/12</f>
        <v>0.83124560777159273</v>
      </c>
      <c r="BS71" s="22">
        <f t="shared" si="63"/>
        <v>22.217151607614053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807.44529955922121</v>
      </c>
      <c r="S72" s="59">
        <f ca="1">AVERAGE(OFFSET($R$3,0,0,'Données projet'!$E$9+1,1))-AVERAGE(OFFSET($H$3,0,0,'Données projet'!$E$9+1,1))</f>
        <v>635.71275911100679</v>
      </c>
      <c r="T72" s="59">
        <f t="shared" si="88"/>
        <v>281.7776857269169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9.65625</v>
      </c>
      <c r="AI72" s="13">
        <f>IF('Données projet'!$A$62&gt;35,AI71+AH72-AQ71,IF(A72&lt;'Données projet'!$A$62,$AF$205^A72,IF(A72='Données projet'!$A$62,'Données projet'!$B$62,AI71+AH72-AQ71)))</f>
        <v>215.82249999999996</v>
      </c>
      <c r="AJ72" s="13">
        <f>AI72*VLOOKUP('Données projet'!$B$10,Paramètres!$A$1:$I$89,3,0)*VLOOKUP('Données projet'!$B$10,Paramètres!$A$1:$I$89,5,0)</f>
        <v>232.31133899999995</v>
      </c>
      <c r="AK72" s="13">
        <f t="shared" si="89"/>
        <v>56.782155851882791</v>
      </c>
      <c r="AL72" s="20">
        <f t="shared" si="58"/>
        <v>503.50450353369575</v>
      </c>
      <c r="AM72" s="59">
        <f t="shared" si="59"/>
        <v>796.83783686702907</v>
      </c>
      <c r="AN72" s="59">
        <f ca="1">AVERAGE(OFFSET($AM$3,0,0,'Données projet'!$E$10+1,1))-AVERAGE(OFFSET($H$3,0,0,'Données projet'!$E$10+1,1))</f>
        <v>502.65044103360322</v>
      </c>
      <c r="AO72" s="59">
        <f t="shared" si="90"/>
        <v>321.65762891855167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19.144781141745781</v>
      </c>
      <c r="AV72" s="21">
        <f>EXP(-LN(2)/25)*AV71+(1-EXP(-LN(2)/25))/(LN(2)/25)*Calculateur!AQ72*Calculateur!AS72*VLOOKUP('Données projet'!$B$10,Paramètres!$A$1:$I$89,3,0)*0.475*44/12</f>
        <v>31.250079757964073</v>
      </c>
      <c r="AW72" s="21">
        <f>EXP(-LN(2)/2)*AW71+(1-EXP(-LN(2)/2))/(LN(2)/2)*AQ72*AT72*VLOOKUP('Données projet'!$B$10,Paramètres!$A$1:$I$89,3,0)*0.475*44/12</f>
        <v>2.3082479070748221</v>
      </c>
      <c r="AX72" s="21">
        <f t="shared" si="60"/>
        <v>52.703108806784677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190.79</v>
      </c>
      <c r="BB72" s="12">
        <f>VLOOKUP(A72,'Données projet'!$A$87:$I$107,9,0)</f>
        <v>6.8933333333333326</v>
      </c>
      <c r="BC72" s="12">
        <f t="array" ref="BC72">INDEX(BB:BB,MIN(IF(ISNUMBER(BB72:BB268),ROW(BB72:BB268),"")))</f>
        <v>6.8933333333333326</v>
      </c>
      <c r="BD72" s="12">
        <f>IF('Données projet'!$A$88&gt;35,BD71+BC72-BL71,IF(A72&lt;'Données projet'!$A$88,$BA$205^A72,IF(A72='Données projet'!$A$88,'Données projet'!$B$88,BD71+BC72-BL71)))</f>
        <v>190.79</v>
      </c>
      <c r="BE72" s="13">
        <f>BD72*VLOOKUP('Données projet'!$B$11,Paramètres!$A$1:$I$89,3,0)*VLOOKUP('Données projet'!$B$11,Paramètres!$A$1:$I$89,5,0)</f>
        <v>184.53208800000002</v>
      </c>
      <c r="BF72" s="13">
        <f t="shared" si="91"/>
        <v>46.329028363696381</v>
      </c>
      <c r="BG72" s="20">
        <f t="shared" si="61"/>
        <v>402.08311100010451</v>
      </c>
      <c r="BH72" s="59">
        <f t="shared" si="62"/>
        <v>695.41644433343777</v>
      </c>
      <c r="BI72" s="59">
        <f ca="1">AVERAGE(OFFSET($BH$3,0,0,'Données projet'!$E$11+1,1))-AVERAGE(OFFSET($H$3,0,0,'Données projet'!$E$11+1,1))</f>
        <v>510.71380643466227</v>
      </c>
      <c r="BJ72" s="59">
        <f t="shared" si="92"/>
        <v>252.40654099948841</v>
      </c>
      <c r="BK72" s="15">
        <f>IF(ISNA(VLOOKUP(A72,'Données projet'!$A$87:$I$107,3,0)),0,VLOOKUP(A72,'Données projet'!$A$87:$I$107,3,0))</f>
        <v>2</v>
      </c>
      <c r="BL72" s="15">
        <f>IF(ISNA(VLOOKUP(A72,'Données projet'!$A$87:$I$107,4,0)),0,VLOOKUP(A72,'Données projet'!$A$87:$I$107,4,0))</f>
        <v>42.22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0.34400000000000003</v>
      </c>
      <c r="BO72" s="16">
        <f>IF(ISNA(VLOOKUP(A72,'Données projet'!$A$87:$I$107,7,0)),0%,VLOOKUP(A72,'Données projet'!$A$87:$I$107,7,0))</f>
        <v>0.2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36.268841873189452</v>
      </c>
      <c r="BR72" s="21">
        <f>EXP(-LN(2)/2)*BR71+(1-EXP(-LN(2)/2))/(LN(2)/2)*BL72*BO72*VLOOKUP('Données projet'!$B$11,Paramètres!$A$1:$I$89,3,0)*0.475*44/12</f>
        <v>8.2935984394594886</v>
      </c>
      <c r="BS72" s="22">
        <f t="shared" si="63"/>
        <v>44.562440312648938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826.08186743674764</v>
      </c>
      <c r="S73" s="59">
        <f ca="1">AVERAGE(OFFSET($R$3,0,0,'Données projet'!$E$9+1,1))-AVERAGE(OFFSET($H$3,0,0,'Données projet'!$E$9+1,1))</f>
        <v>635.71275911100679</v>
      </c>
      <c r="T73" s="59">
        <f t="shared" si="88"/>
        <v>281.7776857269169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9.65625</v>
      </c>
      <c r="AI73" s="13">
        <f>IF('Données projet'!$A$62&gt;35,AI72+AH73-AQ72,IF(A73&lt;'Données projet'!$A$62,$AF$205^A73,IF(A73='Données projet'!$A$62,'Données projet'!$B$62,AI72+AH73-AQ72)))</f>
        <v>225.47874999999996</v>
      </c>
      <c r="AJ73" s="13">
        <f>AI73*VLOOKUP('Données projet'!$B$10,Paramètres!$A$1:$I$89,3,0)*VLOOKUP('Données projet'!$B$10,Paramètres!$A$1:$I$89,5,0)</f>
        <v>242.70532649999993</v>
      </c>
      <c r="AK73" s="13">
        <f t="shared" si="89"/>
        <v>59.021214391355279</v>
      </c>
      <c r="AL73" s="20">
        <f t="shared" si="58"/>
        <v>525.50705871911032</v>
      </c>
      <c r="AM73" s="59">
        <f t="shared" si="59"/>
        <v>818.84039205244358</v>
      </c>
      <c r="AN73" s="59">
        <f ca="1">AVERAGE(OFFSET($AM$3,0,0,'Données projet'!$E$10+1,1))-AVERAGE(OFFSET($H$3,0,0,'Données projet'!$E$10+1,1))</f>
        <v>502.65044103360322</v>
      </c>
      <c r="AO73" s="59">
        <f t="shared" si="90"/>
        <v>321.65762891855167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18.76936366071962</v>
      </c>
      <c r="AV73" s="21">
        <f>EXP(-LN(2)/25)*AV72+(1-EXP(-LN(2)/25))/(LN(2)/25)*Calculateur!AQ73*Calculateur!AS73*VLOOKUP('Données projet'!$B$10,Paramètres!$A$1:$I$89,3,0)*0.475*44/12</f>
        <v>30.395544683612275</v>
      </c>
      <c r="AW73" s="21">
        <f>EXP(-LN(2)/2)*AW72+(1-EXP(-LN(2)/2))/(LN(2)/2)*AQ73*AT73*VLOOKUP('Données projet'!$B$10,Paramètres!$A$1:$I$89,3,0)*0.475*44/12</f>
        <v>1.6321777477522625</v>
      </c>
      <c r="AX73" s="21">
        <f t="shared" si="60"/>
        <v>50.797086092084157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6.7437500000000021</v>
      </c>
      <c r="BD73" s="12">
        <f>IF('Données projet'!$A$88&gt;35,BD72+BC73-BL72,IF(A73&lt;'Données projet'!$A$88,$BA$205^A73,IF(A73='Données projet'!$A$88,'Données projet'!$B$88,BD72+BC73-BL72)))</f>
        <v>155.31375</v>
      </c>
      <c r="BE73" s="13">
        <f>BD73*VLOOKUP('Données projet'!$B$11,Paramètres!$A$1:$I$89,3,0)*VLOOKUP('Données projet'!$B$11,Paramètres!$A$1:$I$89,5,0)</f>
        <v>150.219459</v>
      </c>
      <c r="BF73" s="13">
        <f t="shared" si="91"/>
        <v>38.628454221735403</v>
      </c>
      <c r="BG73" s="20">
        <f t="shared" si="61"/>
        <v>328.91011552785579</v>
      </c>
      <c r="BH73" s="59">
        <f t="shared" si="62"/>
        <v>622.24344886118911</v>
      </c>
      <c r="BI73" s="59">
        <f ca="1">AVERAGE(OFFSET($BH$3,0,0,'Données projet'!$E$11+1,1))-AVERAGE(OFFSET($H$3,0,0,'Données projet'!$E$11+1,1))</f>
        <v>510.71380643466227</v>
      </c>
      <c r="BJ73" s="59">
        <f t="shared" si="92"/>
        <v>252.40654099948841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35.277068484871585</v>
      </c>
      <c r="BR73" s="21">
        <f>EXP(-LN(2)/2)*BR72+(1-EXP(-LN(2)/2))/(LN(2)/2)*BL73*BO73*VLOOKUP('Données projet'!$B$11,Paramètres!$A$1:$I$89,3,0)*0.475*44/12</f>
        <v>5.8644596969799734</v>
      </c>
      <c r="BS73" s="22">
        <f t="shared" si="63"/>
        <v>41.141528181851555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844.70472623505771</v>
      </c>
      <c r="S74" s="59">
        <f ca="1">AVERAGE(OFFSET($R$3,0,0,'Données projet'!$E$9+1,1))-AVERAGE(OFFSET($H$3,0,0,'Données projet'!$E$9+1,1))</f>
        <v>635.71275911100679</v>
      </c>
      <c r="T74" s="59">
        <f t="shared" si="88"/>
        <v>281.7776857269169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9.65625</v>
      </c>
      <c r="AI74" s="13">
        <f>IF('Données projet'!$A$62&gt;35,AI73+AH74-AQ73,IF(A74&lt;'Données projet'!$A$62,$AF$205^A74,IF(A74='Données projet'!$A$62,'Données projet'!$B$62,AI73+AH74-AQ73)))</f>
        <v>235.13499999999996</v>
      </c>
      <c r="AJ74" s="13">
        <f>AI74*VLOOKUP('Données projet'!$B$10,Paramètres!$A$1:$I$89,3,0)*VLOOKUP('Données projet'!$B$10,Paramètres!$A$1:$I$89,5,0)</f>
        <v>253.09931399999994</v>
      </c>
      <c r="AK74" s="13">
        <f t="shared" si="89"/>
        <v>61.249135641102818</v>
      </c>
      <c r="AL74" s="20">
        <f t="shared" si="58"/>
        <v>547.49021645825394</v>
      </c>
      <c r="AM74" s="59">
        <f t="shared" si="59"/>
        <v>840.82354979158731</v>
      </c>
      <c r="AN74" s="59">
        <f ca="1">AVERAGE(OFFSET($AM$3,0,0,'Données projet'!$E$10+1,1))-AVERAGE(OFFSET($H$3,0,0,'Données projet'!$E$10+1,1))</f>
        <v>502.65044103360322</v>
      </c>
      <c r="AO74" s="59">
        <f t="shared" si="90"/>
        <v>321.65762891855167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18.401307887514328</v>
      </c>
      <c r="AV74" s="21">
        <f>EXP(-LN(2)/25)*AV73+(1-EXP(-LN(2)/25))/(LN(2)/25)*Calculateur!AQ74*Calculateur!AS74*VLOOKUP('Données projet'!$B$10,Paramètres!$A$1:$I$89,3,0)*0.475*44/12</f>
        <v>29.564376915806672</v>
      </c>
      <c r="AW74" s="21">
        <f>EXP(-LN(2)/2)*AW73+(1-EXP(-LN(2)/2))/(LN(2)/2)*AQ74*AT74*VLOOKUP('Données projet'!$B$10,Paramètres!$A$1:$I$89,3,0)*0.475*44/12</f>
        <v>1.154123953537411</v>
      </c>
      <c r="AX74" s="21">
        <f t="shared" si="60"/>
        <v>49.119808756858404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6.7437500000000021</v>
      </c>
      <c r="BD74" s="12">
        <f>IF('Données projet'!$A$88&gt;35,BD73+BC74-BL73,IF(A74&lt;'Données projet'!$A$88,$BA$205^A74,IF(A74='Données projet'!$A$88,'Données projet'!$B$88,BD73+BC74-BL73)))</f>
        <v>162.0575</v>
      </c>
      <c r="BE74" s="13">
        <f>BD74*VLOOKUP('Données projet'!$B$11,Paramètres!$A$1:$I$89,3,0)*VLOOKUP('Données projet'!$B$11,Paramètres!$A$1:$I$89,5,0)</f>
        <v>156.74201400000001</v>
      </c>
      <c r="BF74" s="13">
        <f t="shared" si="91"/>
        <v>40.106790036678284</v>
      </c>
      <c r="BG74" s="20">
        <f t="shared" si="61"/>
        <v>342.84500036388135</v>
      </c>
      <c r="BH74" s="59">
        <f t="shared" si="62"/>
        <v>636.17833369721461</v>
      </c>
      <c r="BI74" s="59">
        <f ca="1">AVERAGE(OFFSET($BH$3,0,0,'Données projet'!$E$11+1,1))-AVERAGE(OFFSET($H$3,0,0,'Données projet'!$E$11+1,1))</f>
        <v>510.71380643466227</v>
      </c>
      <c r="BJ74" s="59">
        <f t="shared" si="92"/>
        <v>252.40654099948841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34.312415192012367</v>
      </c>
      <c r="BR74" s="21">
        <f>EXP(-LN(2)/2)*BR73+(1-EXP(-LN(2)/2))/(LN(2)/2)*BL74*BO74*VLOOKUP('Données projet'!$B$11,Paramètres!$A$1:$I$89,3,0)*0.475*44/12</f>
        <v>4.1467992197297452</v>
      </c>
      <c r="BS74" s="22">
        <f t="shared" si="63"/>
        <v>38.45921441174211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863.31440383218614</v>
      </c>
      <c r="S75" s="59">
        <f ca="1">AVERAGE(OFFSET($R$3,0,0,'Données projet'!$E$9+1,1))-AVERAGE(OFFSET($H$3,0,0,'Données projet'!$E$9+1,1))</f>
        <v>635.71275911100679</v>
      </c>
      <c r="T75" s="59">
        <f t="shared" si="88"/>
        <v>281.7776857269169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9.65625</v>
      </c>
      <c r="AI75" s="13">
        <f>IF('Données projet'!$A$62&gt;35,AI74+AH75-AQ74,IF(A75&lt;'Données projet'!$A$62,$AF$205^A75,IF(A75='Données projet'!$A$62,'Données projet'!$B$62,AI74+AH75-AQ74)))</f>
        <v>244.79124999999996</v>
      </c>
      <c r="AJ75" s="13">
        <f>AI75*VLOOKUP('Données projet'!$B$10,Paramètres!$A$1:$I$89,3,0)*VLOOKUP('Données projet'!$B$10,Paramètres!$A$1:$I$89,5,0)</f>
        <v>263.49330149999992</v>
      </c>
      <c r="AK75" s="13">
        <f t="shared" si="89"/>
        <v>63.466429286235211</v>
      </c>
      <c r="AL75" s="20">
        <f t="shared" si="58"/>
        <v>569.45486445269285</v>
      </c>
      <c r="AM75" s="59">
        <f t="shared" si="59"/>
        <v>862.7881977860261</v>
      </c>
      <c r="AN75" s="59">
        <f ca="1">AVERAGE(OFFSET($AM$3,0,0,'Données projet'!$E$10+1,1))-AVERAGE(OFFSET($H$3,0,0,'Données projet'!$E$10+1,1))</f>
        <v>502.65044103360322</v>
      </c>
      <c r="AO75" s="59">
        <f t="shared" si="90"/>
        <v>321.65762891855167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18.040469463529735</v>
      </c>
      <c r="AV75" s="21">
        <f>EXP(-LN(2)/25)*AV74+(1-EXP(-LN(2)/25))/(LN(2)/25)*Calculateur!AQ75*Calculateur!AS75*VLOOKUP('Données projet'!$B$10,Paramètres!$A$1:$I$89,3,0)*0.475*44/12</f>
        <v>28.755937474320927</v>
      </c>
      <c r="AW75" s="21">
        <f>EXP(-LN(2)/2)*AW74+(1-EXP(-LN(2)/2))/(LN(2)/2)*AQ75*AT75*VLOOKUP('Données projet'!$B$10,Paramètres!$A$1:$I$89,3,0)*0.475*44/12</f>
        <v>0.81608887387613127</v>
      </c>
      <c r="AX75" s="21">
        <f t="shared" si="60"/>
        <v>47.612495811726795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6.7437500000000021</v>
      </c>
      <c r="BD75" s="12">
        <f>IF('Données projet'!$A$88&gt;35,BD74+BC75-BL74,IF(A75&lt;'Données projet'!$A$88,$BA$205^A75,IF(A75='Données projet'!$A$88,'Données projet'!$B$88,BD74+BC75-BL74)))</f>
        <v>168.80125000000001</v>
      </c>
      <c r="BE75" s="13">
        <f>BD75*VLOOKUP('Données projet'!$B$11,Paramètres!$A$1:$I$89,3,0)*VLOOKUP('Données projet'!$B$11,Paramètres!$A$1:$I$89,5,0)</f>
        <v>163.26456900000002</v>
      </c>
      <c r="BF75" s="13">
        <f t="shared" si="91"/>
        <v>41.577980240014099</v>
      </c>
      <c r="BG75" s="20">
        <f t="shared" si="61"/>
        <v>356.76743992635789</v>
      </c>
      <c r="BH75" s="59">
        <f t="shared" si="62"/>
        <v>650.10077325969121</v>
      </c>
      <c r="BI75" s="59">
        <f ca="1">AVERAGE(OFFSET($BH$3,0,0,'Données projet'!$E$11+1,1))-AVERAGE(OFFSET($H$3,0,0,'Données projet'!$E$11+1,1))</f>
        <v>510.71380643466227</v>
      </c>
      <c r="BJ75" s="59">
        <f t="shared" si="92"/>
        <v>252.40654099948841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33.374140394175292</v>
      </c>
      <c r="BR75" s="21">
        <f>EXP(-LN(2)/2)*BR74+(1-EXP(-LN(2)/2))/(LN(2)/2)*BL75*BO75*VLOOKUP('Données projet'!$B$11,Paramètres!$A$1:$I$89,3,0)*0.475*44/12</f>
        <v>2.9322298484899871</v>
      </c>
      <c r="BS75" s="22">
        <f t="shared" si="63"/>
        <v>36.306370242665281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881.91139085105283</v>
      </c>
      <c r="S76" s="59">
        <f ca="1">AVERAGE(OFFSET($R$3,0,0,'Données projet'!$E$9+1,1))-AVERAGE(OFFSET($H$3,0,0,'Données projet'!$E$9+1,1))</f>
        <v>635.71275911100679</v>
      </c>
      <c r="T76" s="59">
        <f t="shared" si="88"/>
        <v>281.7776857269169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9.65625</v>
      </c>
      <c r="AI76" s="13">
        <f>IF('Données projet'!$A$62&gt;35,AI75+AH76-AQ75,IF(A76&lt;'Données projet'!$A$62,$AF$205^A76,IF(A76='Données projet'!$A$62,'Données projet'!$B$62,AI75+AH76-AQ75)))</f>
        <v>254.44749999999996</v>
      </c>
      <c r="AJ76" s="13">
        <f>AI76*VLOOKUP('Données projet'!$B$10,Paramètres!$A$1:$I$89,3,0)*VLOOKUP('Données projet'!$B$10,Paramètres!$A$1:$I$89,5,0)</f>
        <v>273.88728899999995</v>
      </c>
      <c r="AK76" s="13">
        <f t="shared" si="89"/>
        <v>65.673562524429713</v>
      </c>
      <c r="AL76" s="20">
        <f t="shared" si="58"/>
        <v>591.40181640504818</v>
      </c>
      <c r="AM76" s="59">
        <f t="shared" si="59"/>
        <v>884.73514973838155</v>
      </c>
      <c r="AN76" s="59">
        <f ca="1">AVERAGE(OFFSET($AM$3,0,0,'Données projet'!$E$10+1,1))-AVERAGE(OFFSET($H$3,0,0,'Données projet'!$E$10+1,1))</f>
        <v>502.65044103360322</v>
      </c>
      <c r="AO76" s="59">
        <f t="shared" si="90"/>
        <v>321.65762891855167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17.686706860949776</v>
      </c>
      <c r="AV76" s="21">
        <f>EXP(-LN(2)/25)*AV75+(1-EXP(-LN(2)/25))/(LN(2)/25)*Calculateur!AQ76*Calculateur!AS76*VLOOKUP('Données projet'!$B$10,Paramètres!$A$1:$I$89,3,0)*0.475*44/12</f>
        <v>27.969604851876593</v>
      </c>
      <c r="AW76" s="21">
        <f>EXP(-LN(2)/2)*AW75+(1-EXP(-LN(2)/2))/(LN(2)/2)*AQ76*AT76*VLOOKUP('Données projet'!$B$10,Paramètres!$A$1:$I$89,3,0)*0.475*44/12</f>
        <v>0.57706197676870552</v>
      </c>
      <c r="AX76" s="21">
        <f t="shared" si="60"/>
        <v>46.233373689595069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6.7437500000000021</v>
      </c>
      <c r="BD76" s="12">
        <f>IF('Données projet'!$A$88&gt;35,BD75+BC76-BL75,IF(A76&lt;'Données projet'!$A$88,$BA$205^A76,IF(A76='Données projet'!$A$88,'Données projet'!$B$88,BD75+BC76-BL75)))</f>
        <v>175.54500000000002</v>
      </c>
      <c r="BE76" s="13">
        <f>BD76*VLOOKUP('Données projet'!$B$11,Paramètres!$A$1:$I$89,3,0)*VLOOKUP('Données projet'!$B$11,Paramètres!$A$1:$I$89,5,0)</f>
        <v>169.78712400000001</v>
      </c>
      <c r="BF76" s="13">
        <f t="shared" si="91"/>
        <v>43.042342966500492</v>
      </c>
      <c r="BG76" s="20">
        <f t="shared" si="61"/>
        <v>370.67798829998833</v>
      </c>
      <c r="BH76" s="59">
        <f t="shared" si="62"/>
        <v>664.01132163332159</v>
      </c>
      <c r="BI76" s="59">
        <f ca="1">AVERAGE(OFFSET($BH$3,0,0,'Données projet'!$E$11+1,1))-AVERAGE(OFFSET($H$3,0,0,'Données projet'!$E$11+1,1))</f>
        <v>510.71380643466227</v>
      </c>
      <c r="BJ76" s="59">
        <f t="shared" si="92"/>
        <v>252.40654099948841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32.461522770026804</v>
      </c>
      <c r="BR76" s="21">
        <f>EXP(-LN(2)/2)*BR75+(1-EXP(-LN(2)/2))/(LN(2)/2)*BL76*BO76*VLOOKUP('Données projet'!$B$11,Paramètres!$A$1:$I$89,3,0)*0.475*44/12</f>
        <v>2.073399609864873</v>
      </c>
      <c r="BS76" s="22">
        <f t="shared" si="63"/>
        <v>34.534922379891675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900.49614440676419</v>
      </c>
      <c r="S77" s="59">
        <f ca="1">AVERAGE(OFFSET($R$3,0,0,'Données projet'!$E$9+1,1))-AVERAGE(OFFSET($H$3,0,0,'Données projet'!$E$9+1,1))</f>
        <v>635.71275911100679</v>
      </c>
      <c r="T77" s="59">
        <f t="shared" si="88"/>
        <v>281.7776857269169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9.65625</v>
      </c>
      <c r="AI77" s="13">
        <f>IF('Données projet'!$A$62&gt;35,AI76+AH77-AQ76,IF(A77&lt;'Données projet'!$A$62,$AF$205^A77,IF(A77='Données projet'!$A$62,'Données projet'!$B$62,AI76+AH77-AQ76)))</f>
        <v>264.10374999999999</v>
      </c>
      <c r="AJ77" s="13">
        <f>AI77*VLOOKUP('Données projet'!$B$10,Paramètres!$A$1:$I$89,3,0)*VLOOKUP('Données projet'!$B$10,Paramètres!$A$1:$I$89,5,0)</f>
        <v>284.28127649999999</v>
      </c>
      <c r="AK77" s="13">
        <f t="shared" si="89"/>
        <v>67.870965084671752</v>
      </c>
      <c r="AL77" s="20">
        <f t="shared" si="58"/>
        <v>613.3318207599699</v>
      </c>
      <c r="AM77" s="59">
        <f t="shared" si="59"/>
        <v>906.66515409330327</v>
      </c>
      <c r="AN77" s="59">
        <f ca="1">AVERAGE(OFFSET($AM$3,0,0,'Données projet'!$E$10+1,1))-AVERAGE(OFFSET($H$3,0,0,'Données projet'!$E$10+1,1))</f>
        <v>502.65044103360322</v>
      </c>
      <c r="AO77" s="59">
        <f t="shared" si="90"/>
        <v>321.65762891855167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17.339881327232526</v>
      </c>
      <c r="AV77" s="21">
        <f>EXP(-LN(2)/25)*AV76+(1-EXP(-LN(2)/25))/(LN(2)/25)*Calculateur!AQ77*Calculateur!AS77*VLOOKUP('Données projet'!$B$10,Paramètres!$A$1:$I$89,3,0)*0.475*44/12</f>
        <v>27.204774536344434</v>
      </c>
      <c r="AW77" s="21">
        <f>EXP(-LN(2)/2)*AW76+(1-EXP(-LN(2)/2))/(LN(2)/2)*AQ77*AT77*VLOOKUP('Données projet'!$B$10,Paramètres!$A$1:$I$89,3,0)*0.475*44/12</f>
        <v>0.40804443693806564</v>
      </c>
      <c r="AX77" s="21">
        <f t="shared" si="60"/>
        <v>44.952700300515026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6.7437500000000021</v>
      </c>
      <c r="BD77" s="12">
        <f>IF('Données projet'!$A$88&gt;35,BD76+BC77-BL76,IF(A77&lt;'Données projet'!$A$88,$BA$205^A77,IF(A77='Données projet'!$A$88,'Données projet'!$B$88,BD76+BC77-BL76)))</f>
        <v>182.28875000000002</v>
      </c>
      <c r="BE77" s="13">
        <f>BD77*VLOOKUP('Données projet'!$B$11,Paramètres!$A$1:$I$89,3,0)*VLOOKUP('Données projet'!$B$11,Paramètres!$A$1:$I$89,5,0)</f>
        <v>176.30967900000002</v>
      </c>
      <c r="BF77" s="13">
        <f t="shared" si="91"/>
        <v>44.500170523659108</v>
      </c>
      <c r="BG77" s="20">
        <f t="shared" si="61"/>
        <v>384.57715458703962</v>
      </c>
      <c r="BH77" s="59">
        <f t="shared" si="62"/>
        <v>677.91048792037293</v>
      </c>
      <c r="BI77" s="59">
        <f ca="1">AVERAGE(OFFSET($BH$3,0,0,'Données projet'!$E$11+1,1))-AVERAGE(OFFSET($H$3,0,0,'Données projet'!$E$11+1,1))</f>
        <v>510.71380643466227</v>
      </c>
      <c r="BJ77" s="59">
        <f t="shared" si="92"/>
        <v>252.40654099948841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31.573860722803129</v>
      </c>
      <c r="BR77" s="21">
        <f>EXP(-LN(2)/2)*BR76+(1-EXP(-LN(2)/2))/(LN(2)/2)*BL77*BO77*VLOOKUP('Données projet'!$B$11,Paramètres!$A$1:$I$89,3,0)*0.475*44/12</f>
        <v>1.4661149242449938</v>
      </c>
      <c r="BS77" s="22">
        <f t="shared" si="63"/>
        <v>33.039975647048124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820.61129001067138</v>
      </c>
      <c r="S78" s="59">
        <f ca="1">AVERAGE(OFFSET($R$3,0,0,'Données projet'!$E$9+1,1))-AVERAGE(OFFSET($H$3,0,0,'Données projet'!$E$9+1,1))</f>
        <v>635.71275911100679</v>
      </c>
      <c r="T78" s="59">
        <f t="shared" si="88"/>
        <v>281.7776857269169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273.76</v>
      </c>
      <c r="AG78" s="12">
        <f>VLOOKUP(A78,'Données projet'!$A$61:$I$81,9,0)</f>
        <v>9.65625</v>
      </c>
      <c r="AH78" s="12">
        <f t="array" ref="AH78">INDEX(AG:AG,MIN(IF(ISNUMBER(AG78:AG274),ROW(AG78:AG274),"")))</f>
        <v>9.65625</v>
      </c>
      <c r="AI78" s="13">
        <f>IF('Données projet'!$A$62&gt;35,AI77+AH78-AQ77,IF(A78&lt;'Données projet'!$A$62,$AF$205^A78,IF(A78='Données projet'!$A$62,'Données projet'!$B$62,AI77+AH78-AQ77)))</f>
        <v>273.76</v>
      </c>
      <c r="AJ78" s="13">
        <f>AI78*VLOOKUP('Données projet'!$B$10,Paramètres!$A$1:$I$89,3,0)*VLOOKUP('Données projet'!$B$10,Paramètres!$A$1:$I$89,5,0)</f>
        <v>294.67526399999997</v>
      </c>
      <c r="AK78" s="13">
        <f t="shared" si="89"/>
        <v>70.059033491377406</v>
      </c>
      <c r="AL78" s="20">
        <f t="shared" si="58"/>
        <v>635.24556813081563</v>
      </c>
      <c r="AM78" s="59">
        <f t="shared" si="59"/>
        <v>928.57890146414888</v>
      </c>
      <c r="AN78" s="59">
        <f ca="1">AVERAGE(OFFSET($AM$3,0,0,'Données projet'!$E$10+1,1))-AVERAGE(OFFSET($H$3,0,0,'Données projet'!$E$10+1,1))</f>
        <v>502.65044103360322</v>
      </c>
      <c r="AO78" s="59">
        <f t="shared" si="90"/>
        <v>321.65762891855167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43.519999999999982</v>
      </c>
      <c r="AR78" s="16">
        <f>IF(ISNA(VLOOKUP(A78,'Données projet'!$A$61:$I$81,5,0)),0%,VLOOKUP(A78,'Données projet'!$A$61:$I$81,5,0)*VLOOKUP('Données projet'!$B$10,Paramètres!$A$1:$I$89,7,0))</f>
        <v>0.15049999999999999</v>
      </c>
      <c r="AS78" s="16">
        <f>IF(ISNA(VLOOKUP(A78,'Données projet'!$A$61:$I$81,6,0)),0%,VLOOKUP(A78,'Données projet'!$A$61:$I$81,6,0)*VLOOKUP('Données projet'!$B$10,Paramètres!$A$1:$I$89,7,0))</f>
        <v>8.6000000000000007E-2</v>
      </c>
      <c r="AT78" s="16">
        <f>IF(ISNA(VLOOKUP(A78,'Données projet'!$A$61:$I$81,7,0)),0%,VLOOKUP(A78,'Données projet'!$A$61:$I$81,7,0))</f>
        <v>0.1</v>
      </c>
      <c r="AU78" s="21">
        <f>EXP(-LN(2)/35)*AU77+(1-EXP(-LN(2)/35))/(LN(2)/35)*AQ78*AR78*VLOOKUP('Données projet'!$B$10,Paramètres!$A$1:$I$89,3,0)*0.475*44/12</f>
        <v>24.793601721159515</v>
      </c>
      <c r="AV78" s="21">
        <f>EXP(-LN(2)/25)*AV77+(1-EXP(-LN(2)/25))/(LN(2)/25)*Calculateur!AQ78*Calculateur!AS78*VLOOKUP('Données projet'!$B$10,Paramètres!$A$1:$I$89,3,0)*0.475*44/12</f>
        <v>30.896891658689654</v>
      </c>
      <c r="AW78" s="21">
        <f>EXP(-LN(2)/2)*AW77+(1-EXP(-LN(2)/2))/(LN(2)/2)*AQ78*AT78*VLOOKUP('Données projet'!$B$10,Paramètres!$A$1:$I$89,3,0)*0.475*44/12</f>
        <v>4.7084760264595058</v>
      </c>
      <c r="AX78" s="21">
        <f t="shared" si="60"/>
        <v>60.39896940630868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6.7437500000000021</v>
      </c>
      <c r="BD78" s="12">
        <f>IF('Données projet'!$A$88&gt;35,BD77+BC78-BL77,IF(A78&lt;'Données projet'!$A$88,$BA$205^A78,IF(A78='Données projet'!$A$88,'Données projet'!$B$88,BD77+BC78-BL77)))</f>
        <v>189.03250000000003</v>
      </c>
      <c r="BE78" s="13">
        <f>BD78*VLOOKUP('Données projet'!$B$11,Paramètres!$A$1:$I$89,3,0)*VLOOKUP('Données projet'!$B$11,Paramètres!$A$1:$I$89,5,0)</f>
        <v>182.83223400000003</v>
      </c>
      <c r="BF78" s="13">
        <f t="shared" si="91"/>
        <v>45.951732365807445</v>
      </c>
      <c r="BG78" s="20">
        <f t="shared" si="61"/>
        <v>398.46540808711467</v>
      </c>
      <c r="BH78" s="59">
        <f t="shared" si="62"/>
        <v>691.79874142044798</v>
      </c>
      <c r="BI78" s="59">
        <f ca="1">AVERAGE(OFFSET($BH$3,0,0,'Données projet'!$E$11+1,1))-AVERAGE(OFFSET($H$3,0,0,'Données projet'!$E$11+1,1))</f>
        <v>510.71380643466227</v>
      </c>
      <c r="BJ78" s="59">
        <f t="shared" si="92"/>
        <v>252.40654099948841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30.710471840940905</v>
      </c>
      <c r="BR78" s="21">
        <f>EXP(-LN(2)/2)*BR77+(1-EXP(-LN(2)/2))/(LN(2)/2)*BL78*BO78*VLOOKUP('Données projet'!$B$11,Paramètres!$A$1:$I$89,3,0)*0.475*44/12</f>
        <v>1.0366998049324365</v>
      </c>
      <c r="BS78" s="22">
        <f t="shared" si="63"/>
        <v>31.74717164587334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838.88087361647172</v>
      </c>
      <c r="S79" s="59">
        <f ca="1">AVERAGE(OFFSET($R$3,0,0,'Données projet'!$E$9+1,1))-AVERAGE(OFFSET($H$3,0,0,'Données projet'!$E$9+1,1))</f>
        <v>635.71275911100679</v>
      </c>
      <c r="T79" s="59">
        <f t="shared" si="88"/>
        <v>281.7776857269169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9.4837500000000006</v>
      </c>
      <c r="AI79" s="13">
        <f>IF('Données projet'!$A$62&gt;35,AI78+AH79-AQ78,IF(A79&lt;'Données projet'!$A$62,$AF$205^A79,IF(A79='Données projet'!$A$62,'Données projet'!$B$62,AI78+AH79-AQ78)))</f>
        <v>239.72375</v>
      </c>
      <c r="AJ79" s="13">
        <f>AI79*VLOOKUP('Données projet'!$B$10,Paramètres!$A$1:$I$89,3,0)*VLOOKUP('Données projet'!$B$10,Paramètres!$A$1:$I$89,5,0)</f>
        <v>258.03864449999998</v>
      </c>
      <c r="AK79" s="13">
        <f t="shared" si="89"/>
        <v>62.304112150988615</v>
      </c>
      <c r="AL79" s="20">
        <f t="shared" si="58"/>
        <v>557.9303011671384</v>
      </c>
      <c r="AM79" s="59">
        <f t="shared" si="59"/>
        <v>851.26363450047165</v>
      </c>
      <c r="AN79" s="59">
        <f ca="1">AVERAGE(OFFSET($AM$3,0,0,'Données projet'!$E$10+1,1))-AVERAGE(OFFSET($H$3,0,0,'Données projet'!$E$10+1,1))</f>
        <v>502.65044103360322</v>
      </c>
      <c r="AO79" s="59">
        <f t="shared" si="90"/>
        <v>321.65762891855167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24.307414314011393</v>
      </c>
      <c r="AV79" s="21">
        <f>EXP(-LN(2)/25)*AV78+(1-EXP(-LN(2)/25))/(LN(2)/25)*Calculateur!AQ79*Calculateur!AS79*VLOOKUP('Données projet'!$B$10,Paramètres!$A$1:$I$89,3,0)*0.475*44/12</f>
        <v>30.05201453148587</v>
      </c>
      <c r="AW79" s="21">
        <f>EXP(-LN(2)/2)*AW78+(1-EXP(-LN(2)/2))/(LN(2)/2)*AQ79*AT79*VLOOKUP('Données projet'!$B$10,Paramètres!$A$1:$I$89,3,0)*0.475*44/12</f>
        <v>3.3293953273638066</v>
      </c>
      <c r="AX79" s="21">
        <f t="shared" si="60"/>
        <v>57.688824172861068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6.7437500000000021</v>
      </c>
      <c r="BD79" s="12">
        <f>IF('Données projet'!$A$88&gt;35,BD78+BC79-BL78,IF(A79&lt;'Données projet'!$A$88,$BA$205^A79,IF(A79='Données projet'!$A$88,'Données projet'!$B$88,BD78+BC79-BL78)))</f>
        <v>195.77625000000003</v>
      </c>
      <c r="BE79" s="13">
        <f>BD79*VLOOKUP('Données projet'!$B$11,Paramètres!$A$1:$I$89,3,0)*VLOOKUP('Données projet'!$B$11,Paramètres!$A$1:$I$89,5,0)</f>
        <v>189.35478900000004</v>
      </c>
      <c r="BF79" s="13">
        <f t="shared" si="91"/>
        <v>47.39727763176937</v>
      </c>
      <c r="BG79" s="20">
        <f t="shared" si="61"/>
        <v>412.3431827169984</v>
      </c>
      <c r="BH79" s="59">
        <f t="shared" si="62"/>
        <v>705.67651605033166</v>
      </c>
      <c r="BI79" s="59">
        <f ca="1">AVERAGE(OFFSET($BH$3,0,0,'Données projet'!$E$11+1,1))-AVERAGE(OFFSET($H$3,0,0,'Données projet'!$E$11+1,1))</f>
        <v>510.71380643466227</v>
      </c>
      <c r="BJ79" s="59">
        <f t="shared" si="92"/>
        <v>252.40654099948841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29.870692373456851</v>
      </c>
      <c r="BR79" s="21">
        <f>EXP(-LN(2)/2)*BR78+(1-EXP(-LN(2)/2))/(LN(2)/2)*BL79*BO79*VLOOKUP('Données projet'!$B$11,Paramètres!$A$1:$I$89,3,0)*0.475*44/12</f>
        <v>0.73305746212249689</v>
      </c>
      <c r="BS79" s="22">
        <f t="shared" si="63"/>
        <v>30.603749835579347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857.13762225955929</v>
      </c>
      <c r="S80" s="59">
        <f ca="1">AVERAGE(OFFSET($R$3,0,0,'Données projet'!$E$9+1,1))-AVERAGE(OFFSET($H$3,0,0,'Données projet'!$E$9+1,1))</f>
        <v>635.71275911100679</v>
      </c>
      <c r="T80" s="59">
        <f t="shared" si="88"/>
        <v>281.7776857269169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9.4837500000000006</v>
      </c>
      <c r="AI80" s="13">
        <f>IF('Données projet'!$A$62&gt;35,AI79+AH80-AQ79,IF(A80&lt;'Données projet'!$A$62,$AF$205^A80,IF(A80='Données projet'!$A$62,'Données projet'!$B$62,AI79+AH80-AQ79)))</f>
        <v>249.20749999999998</v>
      </c>
      <c r="AJ80" s="13">
        <f>AI80*VLOOKUP('Données projet'!$B$10,Paramètres!$A$1:$I$89,3,0)*VLOOKUP('Données projet'!$B$10,Paramètres!$A$1:$I$89,5,0)</f>
        <v>268.24695299999996</v>
      </c>
      <c r="AK80" s="13">
        <f t="shared" si="89"/>
        <v>64.477087543228862</v>
      </c>
      <c r="AL80" s="20">
        <f t="shared" si="58"/>
        <v>579.49437061279025</v>
      </c>
      <c r="AM80" s="59">
        <f t="shared" si="59"/>
        <v>872.82770394612362</v>
      </c>
      <c r="AN80" s="59">
        <f ca="1">AVERAGE(OFFSET($AM$3,0,0,'Données projet'!$E$10+1,1))-AVERAGE(OFFSET($H$3,0,0,'Données projet'!$E$10+1,1))</f>
        <v>502.65044103360322</v>
      </c>
      <c r="AO80" s="59">
        <f t="shared" si="90"/>
        <v>321.65762891855167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23.830760745372409</v>
      </c>
      <c r="AV80" s="21">
        <f>EXP(-LN(2)/25)*AV79+(1-EXP(-LN(2)/25))/(LN(2)/25)*Calculateur!AQ80*Calculateur!AS80*VLOOKUP('Données projet'!$B$10,Paramètres!$A$1:$I$89,3,0)*0.475*44/12</f>
        <v>29.23024061375563</v>
      </c>
      <c r="AW80" s="21">
        <f>EXP(-LN(2)/2)*AW79+(1-EXP(-LN(2)/2))/(LN(2)/2)*AQ80*AT80*VLOOKUP('Données projet'!$B$10,Paramètres!$A$1:$I$89,3,0)*0.475*44/12</f>
        <v>2.3542380132297533</v>
      </c>
      <c r="AX80" s="21">
        <f t="shared" si="60"/>
        <v>55.415239372357796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202.52</v>
      </c>
      <c r="BB80" s="12">
        <f>VLOOKUP(A80,'Données projet'!$A$87:$I$107,9,0)</f>
        <v>6.7437500000000021</v>
      </c>
      <c r="BC80" s="12">
        <f t="array" ref="BC80">INDEX(BB:BB,MIN(IF(ISNUMBER(BB80:BB276),ROW(BB80:BB276),"")))</f>
        <v>6.7437500000000021</v>
      </c>
      <c r="BD80" s="12">
        <f>IF('Données projet'!$A$88&gt;35,BD79+BC80-BL79,IF(A80&lt;'Données projet'!$A$88,$BA$205^A80,IF(A80='Données projet'!$A$88,'Données projet'!$B$88,BD79+BC80-BL79)))</f>
        <v>202.52000000000004</v>
      </c>
      <c r="BE80" s="13">
        <f>BD80*VLOOKUP('Données projet'!$B$11,Paramètres!$A$1:$I$89,3,0)*VLOOKUP('Données projet'!$B$11,Paramètres!$A$1:$I$89,5,0)</f>
        <v>195.87734400000005</v>
      </c>
      <c r="BF80" s="13">
        <f t="shared" si="91"/>
        <v>48.8370373231038</v>
      </c>
      <c r="BG80" s="20">
        <f t="shared" si="61"/>
        <v>426.21088080440586</v>
      </c>
      <c r="BH80" s="59">
        <f t="shared" si="62"/>
        <v>719.54421413773912</v>
      </c>
      <c r="BI80" s="59">
        <f ca="1">AVERAGE(OFFSET($BH$3,0,0,'Données projet'!$E$11+1,1))-AVERAGE(OFFSET($H$3,0,0,'Données projet'!$E$11+1,1))</f>
        <v>510.71380643466227</v>
      </c>
      <c r="BJ80" s="59">
        <f t="shared" si="92"/>
        <v>252.40654099948841</v>
      </c>
      <c r="BK80" s="15">
        <f>IF(ISNA(VLOOKUP(A80,'Données projet'!$A$87:$I$107,3,0)),0,VLOOKUP(A80,'Données projet'!$A$87:$I$107,3,0))</f>
        <v>3</v>
      </c>
      <c r="BL80" s="15">
        <f>IF(ISNA(VLOOKUP(A80,'Données projet'!$A$87:$I$107,4,0)),0,VLOOKUP(A80,'Données projet'!$A$87:$I$107,4,0))</f>
        <v>33.950000000000017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0.34400000000000003</v>
      </c>
      <c r="BO80" s="16">
        <f>IF(ISNA(VLOOKUP(A80,'Données projet'!$A$87:$I$107,7,0)),0%,VLOOKUP(A80,'Données projet'!$A$87:$I$107,7,0))</f>
        <v>0.2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41.491811101169567</v>
      </c>
      <c r="BR80" s="21">
        <f>EXP(-LN(2)/2)*BR79+(1-EXP(-LN(2)/2))/(LN(2)/2)*BL80*BO80*VLOOKUP('Données projet'!$B$11,Paramètres!$A$1:$I$89,3,0)*0.475*44/12</f>
        <v>6.7147628864312123</v>
      </c>
      <c r="BS80" s="22">
        <f t="shared" si="63"/>
        <v>48.206573987600777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875.38200976703661</v>
      </c>
      <c r="S81" s="59">
        <f ca="1">AVERAGE(OFFSET($R$3,0,0,'Données projet'!$E$9+1,1))-AVERAGE(OFFSET($H$3,0,0,'Données projet'!$E$9+1,1))</f>
        <v>635.71275911100679</v>
      </c>
      <c r="T81" s="59">
        <f t="shared" si="88"/>
        <v>281.7776857269169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9.4837500000000006</v>
      </c>
      <c r="AI81" s="13">
        <f>IF('Données projet'!$A$62&gt;35,AI80+AH81-AQ80,IF(A81&lt;'Données projet'!$A$62,$AF$205^A81,IF(A81='Données projet'!$A$62,'Données projet'!$B$62,AI80+AH81-AQ80)))</f>
        <v>258.69124999999997</v>
      </c>
      <c r="AJ81" s="13">
        <f>AI81*VLOOKUP('Données projet'!$B$10,Paramètres!$A$1:$I$89,3,0)*VLOOKUP('Données projet'!$B$10,Paramètres!$A$1:$I$89,5,0)</f>
        <v>278.45526149999995</v>
      </c>
      <c r="AK81" s="13">
        <f t="shared" si="89"/>
        <v>66.640456196836567</v>
      </c>
      <c r="AL81" s="20">
        <f t="shared" si="58"/>
        <v>601.0417083219902</v>
      </c>
      <c r="AM81" s="59">
        <f t="shared" si="59"/>
        <v>894.37504165532346</v>
      </c>
      <c r="AN81" s="59">
        <f ca="1">AVERAGE(OFFSET($AM$3,0,0,'Données projet'!$E$10+1,1))-AVERAGE(OFFSET($H$3,0,0,'Données projet'!$E$10+1,1))</f>
        <v>502.65044103360322</v>
      </c>
      <c r="AO81" s="59">
        <f t="shared" si="90"/>
        <v>321.65762891855167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23.363454062484465</v>
      </c>
      <c r="AV81" s="21">
        <f>EXP(-LN(2)/25)*AV80+(1-EXP(-LN(2)/25))/(LN(2)/25)*Calculateur!AQ81*Calculateur!AS81*VLOOKUP('Données projet'!$B$10,Paramètres!$A$1:$I$89,3,0)*0.475*44/12</f>
        <v>28.430938147020935</v>
      </c>
      <c r="AW81" s="21">
        <f>EXP(-LN(2)/2)*AW80+(1-EXP(-LN(2)/2))/(LN(2)/2)*AQ81*AT81*VLOOKUP('Données projet'!$B$10,Paramètres!$A$1:$I$89,3,0)*0.475*44/12</f>
        <v>1.6646976636819037</v>
      </c>
      <c r="AX81" s="21">
        <f t="shared" si="60"/>
        <v>53.45908987318731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6.7444444444444462</v>
      </c>
      <c r="BD81" s="12">
        <f>IF('Données projet'!$A$88&gt;35,BD80+BC81-BL80,IF(A81&lt;'Données projet'!$A$88,$BA$205^A81,IF(A81='Données projet'!$A$88,'Données projet'!$B$88,BD80+BC81-BL80)))</f>
        <v>175.31444444444446</v>
      </c>
      <c r="BE81" s="13">
        <f>BD81*VLOOKUP('Données projet'!$B$11,Paramètres!$A$1:$I$89,3,0)*VLOOKUP('Données projet'!$B$11,Paramètres!$A$1:$I$89,5,0)</f>
        <v>169.5641306666667</v>
      </c>
      <c r="BF81" s="13">
        <f t="shared" si="91"/>
        <v>42.992388773200261</v>
      </c>
      <c r="BG81" s="20">
        <f t="shared" si="61"/>
        <v>370.20260469110161</v>
      </c>
      <c r="BH81" s="59">
        <f t="shared" si="62"/>
        <v>663.53593802443493</v>
      </c>
      <c r="BI81" s="59">
        <f ca="1">AVERAGE(OFFSET($BH$3,0,0,'Données projet'!$E$11+1,1))-AVERAGE(OFFSET($H$3,0,0,'Données projet'!$E$11+1,1))</f>
        <v>510.71380643466227</v>
      </c>
      <c r="BJ81" s="59">
        <f t="shared" si="92"/>
        <v>252.40654099948841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40.357215344648573</v>
      </c>
      <c r="BR81" s="21">
        <f>EXP(-LN(2)/2)*BR80+(1-EXP(-LN(2)/2))/(LN(2)/2)*BL81*BO81*VLOOKUP('Données projet'!$B$11,Paramètres!$A$1:$I$89,3,0)*0.475*44/12</f>
        <v>4.7480543710552663</v>
      </c>
      <c r="BS81" s="22">
        <f t="shared" si="63"/>
        <v>45.105269715703841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893.61447786163762</v>
      </c>
      <c r="S82" s="59">
        <f ca="1">AVERAGE(OFFSET($R$3,0,0,'Données projet'!$E$9+1,1))-AVERAGE(OFFSET($H$3,0,0,'Données projet'!$E$9+1,1))</f>
        <v>635.71275911100679</v>
      </c>
      <c r="T82" s="59">
        <f t="shared" si="88"/>
        <v>281.7776857269169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9.4837500000000006</v>
      </c>
      <c r="AI82" s="13">
        <f>IF('Données projet'!$A$62&gt;35,AI81+AH82-AQ81,IF(A82&lt;'Données projet'!$A$62,$AF$205^A82,IF(A82='Données projet'!$A$62,'Données projet'!$B$62,AI81+AH82-AQ81)))</f>
        <v>268.17499999999995</v>
      </c>
      <c r="AJ82" s="13">
        <f>AI82*VLOOKUP('Données projet'!$B$10,Paramètres!$A$1:$I$89,3,0)*VLOOKUP('Données projet'!$B$10,Paramètres!$A$1:$I$89,5,0)</f>
        <v>288.66356999999994</v>
      </c>
      <c r="AK82" s="13">
        <f t="shared" si="89"/>
        <v>68.794610635457303</v>
      </c>
      <c r="AL82" s="20">
        <f t="shared" si="58"/>
        <v>622.57299794008793</v>
      </c>
      <c r="AM82" s="59">
        <f t="shared" si="59"/>
        <v>915.9063312734213</v>
      </c>
      <c r="AN82" s="59">
        <f ca="1">AVERAGE(OFFSET($AM$3,0,0,'Données projet'!$E$10+1,1))-AVERAGE(OFFSET($H$3,0,0,'Données projet'!$E$10+1,1))</f>
        <v>502.65044103360322</v>
      </c>
      <c r="AO82" s="59">
        <f t="shared" si="90"/>
        <v>321.65762891855167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22.905310978619021</v>
      </c>
      <c r="AV82" s="21">
        <f>EXP(-LN(2)/25)*AV81+(1-EXP(-LN(2)/25))/(LN(2)/25)*Calculateur!AQ82*Calculateur!AS82*VLOOKUP('Données projet'!$B$10,Paramètres!$A$1:$I$89,3,0)*0.475*44/12</f>
        <v>27.653492648272589</v>
      </c>
      <c r="AW82" s="21">
        <f>EXP(-LN(2)/2)*AW81+(1-EXP(-LN(2)/2))/(LN(2)/2)*AQ82*AT82*VLOOKUP('Données projet'!$B$10,Paramètres!$A$1:$I$89,3,0)*0.475*44/12</f>
        <v>1.1771190066148769</v>
      </c>
      <c r="AX82" s="21">
        <f t="shared" si="60"/>
        <v>51.73592263350649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6.7444444444444462</v>
      </c>
      <c r="BD82" s="12">
        <f>IF('Données projet'!$A$88&gt;35,BD81+BC82-BL81,IF(A82&lt;'Données projet'!$A$88,$BA$205^A82,IF(A82='Données projet'!$A$88,'Données projet'!$B$88,BD81+BC82-BL81)))</f>
        <v>182.0588888888889</v>
      </c>
      <c r="BE82" s="13">
        <f>BD82*VLOOKUP('Données projet'!$B$11,Paramètres!$A$1:$I$89,3,0)*VLOOKUP('Données projet'!$B$11,Paramètres!$A$1:$I$89,5,0)</f>
        <v>176.08735733333333</v>
      </c>
      <c r="BF82" s="13">
        <f t="shared" si="91"/>
        <v>44.450585000092076</v>
      </c>
      <c r="BG82" s="20">
        <f t="shared" si="61"/>
        <v>384.10358289738252</v>
      </c>
      <c r="BH82" s="59">
        <f t="shared" si="62"/>
        <v>677.43691623071584</v>
      </c>
      <c r="BI82" s="59">
        <f ca="1">AVERAGE(OFFSET($BH$3,0,0,'Données projet'!$E$11+1,1))-AVERAGE(OFFSET($H$3,0,0,'Données projet'!$E$11+1,1))</f>
        <v>510.71380643466227</v>
      </c>
      <c r="BJ82" s="59">
        <f t="shared" si="92"/>
        <v>252.40654099948841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39.25364516875544</v>
      </c>
      <c r="BR82" s="21">
        <f>EXP(-LN(2)/2)*BR81+(1-EXP(-LN(2)/2))/(LN(2)/2)*BL82*BO82*VLOOKUP('Données projet'!$B$11,Paramètres!$A$1:$I$89,3,0)*0.475*44/12</f>
        <v>3.3573814432156071</v>
      </c>
      <c r="BS82" s="22">
        <f t="shared" si="63"/>
        <v>42.611026611971049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911.83543926588413</v>
      </c>
      <c r="S83" s="59">
        <f ca="1">AVERAGE(OFFSET($R$3,0,0,'Données projet'!$E$9+1,1))-AVERAGE(OFFSET($H$3,0,0,'Données projet'!$E$9+1,1))</f>
        <v>635.71275911100679</v>
      </c>
      <c r="T83" s="59">
        <f t="shared" si="88"/>
        <v>281.7776857269169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9.4837500000000006</v>
      </c>
      <c r="AI83" s="13">
        <f>IF('Données projet'!$A$62&gt;35,AI82+AH83-AQ82,IF(A83&lt;'Données projet'!$A$62,$AF$205^A83,IF(A83='Données projet'!$A$62,'Données projet'!$B$62,AI82+AH83-AQ82)))</f>
        <v>277.65874999999994</v>
      </c>
      <c r="AJ83" s="13">
        <f>AI83*VLOOKUP('Données projet'!$B$10,Paramètres!$A$1:$I$89,3,0)*VLOOKUP('Données projet'!$B$10,Paramètres!$A$1:$I$89,5,0)</f>
        <v>298.87187849999992</v>
      </c>
      <c r="AK83" s="13">
        <f t="shared" si="89"/>
        <v>70.939914046272307</v>
      </c>
      <c r="AL83" s="20">
        <f t="shared" si="58"/>
        <v>644.08887201809068</v>
      </c>
      <c r="AM83" s="59">
        <f t="shared" si="59"/>
        <v>937.42220535142405</v>
      </c>
      <c r="AN83" s="59">
        <f ca="1">AVERAGE(OFFSET($AM$3,0,0,'Données projet'!$E$10+1,1))-AVERAGE(OFFSET($H$3,0,0,'Données projet'!$E$10+1,1))</f>
        <v>502.65044103360322</v>
      </c>
      <c r="AO83" s="59">
        <f t="shared" si="90"/>
        <v>321.65762891855167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22.45615180118849</v>
      </c>
      <c r="AV83" s="21">
        <f>EXP(-LN(2)/25)*AV82+(1-EXP(-LN(2)/25))/(LN(2)/25)*Calculateur!AQ83*Calculateur!AS83*VLOOKUP('Données projet'!$B$10,Paramètres!$A$1:$I$89,3,0)*0.475*44/12</f>
        <v>26.897306437571601</v>
      </c>
      <c r="AW83" s="21">
        <f>EXP(-LN(2)/2)*AW82+(1-EXP(-LN(2)/2))/(LN(2)/2)*AQ83*AT83*VLOOKUP('Données projet'!$B$10,Paramètres!$A$1:$I$89,3,0)*0.475*44/12</f>
        <v>0.83234883184095199</v>
      </c>
      <c r="AX83" s="21">
        <f t="shared" si="60"/>
        <v>50.185807070601044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6.7444444444444462</v>
      </c>
      <c r="BD83" s="12">
        <f>IF('Données projet'!$A$88&gt;35,BD82+BC83-BL82,IF(A83&lt;'Données projet'!$A$88,$BA$205^A83,IF(A83='Données projet'!$A$88,'Données projet'!$B$88,BD82+BC83-BL82)))</f>
        <v>188.80333333333334</v>
      </c>
      <c r="BE83" s="13">
        <f>BD83*VLOOKUP('Données projet'!$B$11,Paramètres!$A$1:$I$89,3,0)*VLOOKUP('Données projet'!$B$11,Paramètres!$A$1:$I$89,5,0)</f>
        <v>182.61058400000002</v>
      </c>
      <c r="BF83" s="13">
        <f t="shared" si="91"/>
        <v>45.9025053826808</v>
      </c>
      <c r="BG83" s="20">
        <f t="shared" si="61"/>
        <v>397.99363067483574</v>
      </c>
      <c r="BH83" s="59">
        <f t="shared" si="62"/>
        <v>691.32696400816906</v>
      </c>
      <c r="BI83" s="59">
        <f ca="1">AVERAGE(OFFSET($BH$3,0,0,'Données projet'!$E$11+1,1))-AVERAGE(OFFSET($H$3,0,0,'Données projet'!$E$11+1,1))</f>
        <v>510.71380643466227</v>
      </c>
      <c r="BJ83" s="59">
        <f t="shared" si="92"/>
        <v>252.40654099948841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38.180252177356337</v>
      </c>
      <c r="BR83" s="21">
        <f>EXP(-LN(2)/2)*BR82+(1-EXP(-LN(2)/2))/(LN(2)/2)*BL83*BO83*VLOOKUP('Données projet'!$B$11,Paramètres!$A$1:$I$89,3,0)*0.475*44/12</f>
        <v>2.3740271855276336</v>
      </c>
      <c r="BS83" s="22">
        <f t="shared" si="63"/>
        <v>40.554279362883968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930.04528042166839</v>
      </c>
      <c r="S84" s="59">
        <f ca="1">AVERAGE(OFFSET($R$3,0,0,'Données projet'!$E$9+1,1))-AVERAGE(OFFSET($H$3,0,0,'Données projet'!$E$9+1,1))</f>
        <v>635.71275911100679</v>
      </c>
      <c r="T84" s="59">
        <f t="shared" si="88"/>
        <v>281.7776857269169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9.4837500000000006</v>
      </c>
      <c r="AI84" s="13">
        <f>IF('Données projet'!$A$62&gt;35,AI83+AH84-AQ83,IF(A84&lt;'Données projet'!$A$62,$AF$205^A84,IF(A84='Données projet'!$A$62,'Données projet'!$B$62,AI83+AH84-AQ83)))</f>
        <v>287.14249999999993</v>
      </c>
      <c r="AJ84" s="13">
        <f>AI84*VLOOKUP('Données projet'!$B$10,Paramètres!$A$1:$I$89,3,0)*VLOOKUP('Données projet'!$B$10,Paramètres!$A$1:$I$89,5,0)</f>
        <v>309.08018699999991</v>
      </c>
      <c r="AK84" s="13">
        <f t="shared" si="89"/>
        <v>73.076703398977713</v>
      </c>
      <c r="AL84" s="20">
        <f t="shared" si="58"/>
        <v>665.58991744488594</v>
      </c>
      <c r="AM84" s="59">
        <f t="shared" si="59"/>
        <v>958.9232507782192</v>
      </c>
      <c r="AN84" s="59">
        <f ca="1">AVERAGE(OFFSET($AM$3,0,0,'Données projet'!$E$10+1,1))-AVERAGE(OFFSET($H$3,0,0,'Données projet'!$E$10+1,1))</f>
        <v>502.65044103360322</v>
      </c>
      <c r="AO84" s="59">
        <f t="shared" si="90"/>
        <v>321.65762891855167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22.015800361267324</v>
      </c>
      <c r="AV84" s="21">
        <f>EXP(-LN(2)/25)*AV83+(1-EXP(-LN(2)/25))/(LN(2)/25)*Calculateur!AQ84*Calculateur!AS84*VLOOKUP('Données projet'!$B$10,Paramètres!$A$1:$I$89,3,0)*0.475*44/12</f>
        <v>26.161798178568333</v>
      </c>
      <c r="AW84" s="21">
        <f>EXP(-LN(2)/2)*AW83+(1-EXP(-LN(2)/2))/(LN(2)/2)*AQ84*AT84*VLOOKUP('Données projet'!$B$10,Paramètres!$A$1:$I$89,3,0)*0.475*44/12</f>
        <v>0.58855950330743856</v>
      </c>
      <c r="AX84" s="21">
        <f t="shared" si="60"/>
        <v>48.766158043143093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6.7444444444444462</v>
      </c>
      <c r="BD84" s="12">
        <f>IF('Données projet'!$A$88&gt;35,BD83+BC84-BL83,IF(A84&lt;'Données projet'!$A$88,$BA$205^A84,IF(A84='Données projet'!$A$88,'Données projet'!$B$88,BD83+BC84-BL83)))</f>
        <v>195.54777777777778</v>
      </c>
      <c r="BE84" s="13">
        <f>BD84*VLOOKUP('Données projet'!$B$11,Paramètres!$A$1:$I$89,3,0)*VLOOKUP('Données projet'!$B$11,Paramètres!$A$1:$I$89,5,0)</f>
        <v>189.13381066666668</v>
      </c>
      <c r="BF84" s="13">
        <f t="shared" si="91"/>
        <v>47.348399790775353</v>
      </c>
      <c r="BG84" s="20">
        <f t="shared" si="61"/>
        <v>411.87318321337824</v>
      </c>
      <c r="BH84" s="59">
        <f t="shared" si="62"/>
        <v>705.20651654671155</v>
      </c>
      <c r="BI84" s="59">
        <f ca="1">AVERAGE(OFFSET($BH$3,0,0,'Données projet'!$E$11+1,1))-AVERAGE(OFFSET($H$3,0,0,'Données projet'!$E$11+1,1))</f>
        <v>510.71380643466227</v>
      </c>
      <c r="BJ84" s="59">
        <f t="shared" si="92"/>
        <v>252.40654099948841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37.136211173754326</v>
      </c>
      <c r="BR84" s="21">
        <f>EXP(-LN(2)/2)*BR83+(1-EXP(-LN(2)/2))/(LN(2)/2)*BL84*BO84*VLOOKUP('Données projet'!$B$11,Paramètres!$A$1:$I$89,3,0)*0.475*44/12</f>
        <v>1.6786907216078037</v>
      </c>
      <c r="BS84" s="22">
        <f t="shared" si="63"/>
        <v>38.814901895362127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948.24436388276013</v>
      </c>
      <c r="S85" s="59">
        <f ca="1">AVERAGE(OFFSET($R$3,0,0,'Données projet'!$E$9+1,1))-AVERAGE(OFFSET($H$3,0,0,'Données projet'!$E$9+1,1))</f>
        <v>635.71275911100679</v>
      </c>
      <c r="T85" s="59">
        <f t="shared" si="88"/>
        <v>281.7776857269169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9.4837500000000006</v>
      </c>
      <c r="AI85" s="13">
        <f>IF('Données projet'!$A$62&gt;35,AI84+AH85-AQ84,IF(A85&lt;'Données projet'!$A$62,$AF$205^A85,IF(A85='Données projet'!$A$62,'Données projet'!$B$62,AI84+AH85-AQ84)))</f>
        <v>296.62624999999991</v>
      </c>
      <c r="AJ85" s="13">
        <f>AI85*VLOOKUP('Données projet'!$B$10,Paramètres!$A$1:$I$89,3,0)*VLOOKUP('Données projet'!$B$10,Paramètres!$A$1:$I$89,5,0)</f>
        <v>319.2884954999999</v>
      </c>
      <c r="AK85" s="13">
        <f t="shared" si="89"/>
        <v>75.205292141133469</v>
      </c>
      <c r="AL85" s="20">
        <f t="shared" si="58"/>
        <v>687.07668014164062</v>
      </c>
      <c r="AM85" s="59">
        <f t="shared" si="59"/>
        <v>980.41001347497399</v>
      </c>
      <c r="AN85" s="59">
        <f ca="1">AVERAGE(OFFSET($AM$3,0,0,'Données projet'!$E$10+1,1))-AVERAGE(OFFSET($H$3,0,0,'Données projet'!$E$10+1,1))</f>
        <v>502.65044103360322</v>
      </c>
      <c r="AO85" s="59">
        <f t="shared" si="90"/>
        <v>321.65762891855167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21.584083944495156</v>
      </c>
      <c r="AV85" s="21">
        <f>EXP(-LN(2)/25)*AV84+(1-EXP(-LN(2)/25))/(LN(2)/25)*Calculateur!AQ85*Calculateur!AS85*VLOOKUP('Données projet'!$B$10,Paramètres!$A$1:$I$89,3,0)*0.475*44/12</f>
        <v>25.446402431586208</v>
      </c>
      <c r="AW85" s="21">
        <f>EXP(-LN(2)/2)*AW84+(1-EXP(-LN(2)/2))/(LN(2)/2)*AQ85*AT85*VLOOKUP('Données projet'!$B$10,Paramètres!$A$1:$I$89,3,0)*0.475*44/12</f>
        <v>0.4161744159204761</v>
      </c>
      <c r="AX85" s="21">
        <f t="shared" si="60"/>
        <v>47.446660792001836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6.7444444444444462</v>
      </c>
      <c r="BD85" s="12">
        <f>IF('Données projet'!$A$88&gt;35,BD84+BC85-BL84,IF(A85&lt;'Données projet'!$A$88,$BA$205^A85,IF(A85='Données projet'!$A$88,'Données projet'!$B$88,BD84+BC85-BL84)))</f>
        <v>202.29222222222222</v>
      </c>
      <c r="BE85" s="13">
        <f>BD85*VLOOKUP('Données projet'!$B$11,Paramètres!$A$1:$I$89,3,0)*VLOOKUP('Données projet'!$B$11,Paramètres!$A$1:$I$89,5,0)</f>
        <v>195.65703733333334</v>
      </c>
      <c r="BF85" s="13">
        <f t="shared" si="91"/>
        <v>48.788499880593612</v>
      </c>
      <c r="BG85" s="20">
        <f t="shared" si="61"/>
        <v>425.74264398092276</v>
      </c>
      <c r="BH85" s="59">
        <f t="shared" si="62"/>
        <v>719.07597731425608</v>
      </c>
      <c r="BI85" s="59">
        <f ca="1">AVERAGE(OFFSET($BH$3,0,0,'Données projet'!$E$11+1,1))-AVERAGE(OFFSET($H$3,0,0,'Données projet'!$E$11+1,1))</f>
        <v>510.71380643466227</v>
      </c>
      <c r="BJ85" s="59">
        <f t="shared" si="92"/>
        <v>252.40654099948841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36.120719526299546</v>
      </c>
      <c r="BR85" s="21">
        <f>EXP(-LN(2)/2)*BR84+(1-EXP(-LN(2)/2))/(LN(2)/2)*BL85*BO85*VLOOKUP('Données projet'!$B$11,Paramètres!$A$1:$I$89,3,0)*0.475*44/12</f>
        <v>1.187013592763817</v>
      </c>
      <c r="BS85" s="22">
        <f t="shared" si="63"/>
        <v>37.307733119063364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966.4330304277446</v>
      </c>
      <c r="S86" s="59">
        <f ca="1">AVERAGE(OFFSET($R$3,0,0,'Données projet'!$E$9+1,1))-AVERAGE(OFFSET($H$3,0,0,'Données projet'!$E$9+1,1))</f>
        <v>635.71275911100679</v>
      </c>
      <c r="T86" s="59">
        <f t="shared" si="88"/>
        <v>281.7776857269169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306.11</v>
      </c>
      <c r="AG86" s="12">
        <f>VLOOKUP(A86,'Données projet'!$A$61:$I$81,9,0)</f>
        <v>9.4837500000000006</v>
      </c>
      <c r="AH86" s="12">
        <f t="array" ref="AH86">INDEX(AG:AG,MIN(IF(ISNUMBER(AG86:AG282),ROW(AG86:AG282),"")))</f>
        <v>9.4837500000000006</v>
      </c>
      <c r="AI86" s="13">
        <f>IF('Données projet'!$A$62&gt;35,AI85+AH86-AQ85,IF(A86&lt;'Données projet'!$A$62,$AF$205^A86,IF(A86='Données projet'!$A$62,'Données projet'!$B$62,AI85+AH86-AQ85)))</f>
        <v>306.1099999999999</v>
      </c>
      <c r="AJ86" s="13">
        <f>AI86*VLOOKUP('Données projet'!$B$10,Paramètres!$A$1:$I$89,3,0)*VLOOKUP('Données projet'!$B$10,Paramètres!$A$1:$I$89,5,0)</f>
        <v>329.49680399999988</v>
      </c>
      <c r="AK86" s="13">
        <f t="shared" si="89"/>
        <v>77.325972539126184</v>
      </c>
      <c r="AL86" s="20">
        <f t="shared" si="58"/>
        <v>708.54966913897795</v>
      </c>
      <c r="AM86" s="59">
        <f t="shared" si="59"/>
        <v>1001.8830024723113</v>
      </c>
      <c r="AN86" s="59">
        <f ca="1">AVERAGE(OFFSET($AM$3,0,0,'Données projet'!$E$10+1,1))-AVERAGE(OFFSET($H$3,0,0,'Données projet'!$E$10+1,1))</f>
        <v>502.65044103360322</v>
      </c>
      <c r="AO86" s="59">
        <f t="shared" si="90"/>
        <v>321.65762891855167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49.980000000000018</v>
      </c>
      <c r="AR86" s="16">
        <f>IF(ISNA(VLOOKUP(A86,'Données projet'!$A$61:$I$81,5,0)),0%,VLOOKUP(A86,'Données projet'!$A$61:$I$81,5,0)*VLOOKUP('Données projet'!$B$10,Paramètres!$A$1:$I$89,7,0))</f>
        <v>0.15049999999999999</v>
      </c>
      <c r="AS86" s="16">
        <f>IF(ISNA(VLOOKUP(A86,'Données projet'!$A$61:$I$81,6,0)),0%,VLOOKUP(A86,'Données projet'!$A$61:$I$81,6,0)*VLOOKUP('Données projet'!$B$10,Paramètres!$A$1:$I$89,7,0))</f>
        <v>8.6000000000000007E-2</v>
      </c>
      <c r="AT86" s="16">
        <f>IF(ISNA(VLOOKUP(A86,'Données projet'!$A$61:$I$81,7,0)),0%,VLOOKUP(A86,'Données projet'!$A$61:$I$81,7,0))</f>
        <v>0.1</v>
      </c>
      <c r="AU86" s="21">
        <f>EXP(-LN(2)/35)*AU85+(1-EXP(-LN(2)/35))/(LN(2)/35)*AQ86*AR86*VLOOKUP('Données projet'!$B$10,Paramètres!$A$1:$I$89,3,0)*0.475*44/12</f>
        <v>30.111462120984861</v>
      </c>
      <c r="AV86" s="21">
        <f>EXP(-LN(2)/25)*AV85+(1-EXP(-LN(2)/25))/(LN(2)/25)*Calculateur!AQ86*Calculateur!AS86*VLOOKUP('Données projet'!$B$10,Paramètres!$A$1:$I$89,3,0)*0.475*44/12</f>
        <v>29.845075996768024</v>
      </c>
      <c r="AW86" s="21">
        <f>EXP(-LN(2)/2)*AW85+(1-EXP(-LN(2)/2))/(LN(2)/2)*AQ86*AT86*VLOOKUP('Données projet'!$B$10,Paramètres!$A$1:$I$89,3,0)*0.475*44/12</f>
        <v>5.3703103813181592</v>
      </c>
      <c r="AX86" s="21">
        <f t="shared" si="60"/>
        <v>65.326848499071048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6.7444444444444462</v>
      </c>
      <c r="BD86" s="12">
        <f>IF('Données projet'!$A$88&gt;35,BD85+BC86-BL85,IF(A86&lt;'Données projet'!$A$88,$BA$205^A86,IF(A86='Données projet'!$A$88,'Données projet'!$B$88,BD85+BC86-BL85)))</f>
        <v>209.03666666666666</v>
      </c>
      <c r="BE86" s="13">
        <f>BD86*VLOOKUP('Données projet'!$B$11,Paramètres!$A$1:$I$89,3,0)*VLOOKUP('Données projet'!$B$11,Paramètres!$A$1:$I$89,5,0)</f>
        <v>202.18026399999999</v>
      </c>
      <c r="BF86" s="13">
        <f t="shared" si="91"/>
        <v>50.223020984939033</v>
      </c>
      <c r="BG86" s="20">
        <f t="shared" si="61"/>
        <v>439.60238801543551</v>
      </c>
      <c r="BH86" s="59">
        <f t="shared" si="62"/>
        <v>732.93572134876877</v>
      </c>
      <c r="BI86" s="59">
        <f ca="1">AVERAGE(OFFSET($BH$3,0,0,'Données projet'!$E$11+1,1))-AVERAGE(OFFSET($H$3,0,0,'Données projet'!$E$11+1,1))</f>
        <v>510.71380643466227</v>
      </c>
      <c r="BJ86" s="59">
        <f t="shared" si="92"/>
        <v>252.40654099948841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35.1329965513468</v>
      </c>
      <c r="BR86" s="21">
        <f>EXP(-LN(2)/2)*BR85+(1-EXP(-LN(2)/2))/(LN(2)/2)*BL86*BO86*VLOOKUP('Données projet'!$B$11,Paramètres!$A$1:$I$89,3,0)*0.475*44/12</f>
        <v>0.8393453608039021</v>
      </c>
      <c r="BS86" s="22">
        <f t="shared" si="63"/>
        <v>35.972341912150704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984.61160093288458</v>
      </c>
      <c r="S87" s="59">
        <f ca="1">AVERAGE(OFFSET($R$3,0,0,'Données projet'!$E$9+1,1))-AVERAGE(OFFSET($H$3,0,0,'Données projet'!$E$9+1,1))</f>
        <v>635.71275911100679</v>
      </c>
      <c r="T87" s="59">
        <f t="shared" si="88"/>
        <v>281.7776857269169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9.2740000000000009</v>
      </c>
      <c r="AI87" s="13">
        <f>IF('Données projet'!$A$62&gt;35,AI86+AH87-AQ86,IF(A87&lt;'Données projet'!$A$62,$AF$205^A87,IF(A87='Données projet'!$A$62,'Données projet'!$B$62,AI86+AH87-AQ86)))</f>
        <v>265.40399999999988</v>
      </c>
      <c r="AJ87" s="13">
        <f>AI87*VLOOKUP('Données projet'!$B$10,Paramètres!$A$1:$I$89,3,0)*VLOOKUP('Données projet'!$B$10,Paramètres!$A$1:$I$89,5,0)</f>
        <v>285.68086559999989</v>
      </c>
      <c r="AK87" s="13">
        <f t="shared" si="89"/>
        <v>68.166132081271343</v>
      </c>
      <c r="AL87" s="20">
        <f t="shared" si="58"/>
        <v>616.28352096154731</v>
      </c>
      <c r="AM87" s="59">
        <f t="shared" si="59"/>
        <v>909.61685429488057</v>
      </c>
      <c r="AN87" s="59">
        <f ca="1">AVERAGE(OFFSET($AM$3,0,0,'Données projet'!$E$10+1,1))-AVERAGE(OFFSET($H$3,0,0,'Données projet'!$E$10+1,1))</f>
        <v>502.65044103360322</v>
      </c>
      <c r="AO87" s="59">
        <f t="shared" si="90"/>
        <v>321.65762891855167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29.520994714970733</v>
      </c>
      <c r="AV87" s="21">
        <f>EXP(-LN(2)/25)*AV86+(1-EXP(-LN(2)/25))/(LN(2)/25)*Calculateur!AQ87*Calculateur!AS87*VLOOKUP('Données projet'!$B$10,Paramètres!$A$1:$I$89,3,0)*0.475*44/12</f>
        <v>29.028960824152069</v>
      </c>
      <c r="AW87" s="21">
        <f>EXP(-LN(2)/2)*AW86+(1-EXP(-LN(2)/2))/(LN(2)/2)*AQ87*AT87*VLOOKUP('Données projet'!$B$10,Paramètres!$A$1:$I$89,3,0)*0.475*44/12</f>
        <v>3.7973828877065845</v>
      </c>
      <c r="AX87" s="21">
        <f t="shared" si="60"/>
        <v>62.347338426829388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6.7444444444444462</v>
      </c>
      <c r="BD87" s="12">
        <f>IF('Données projet'!$A$88&gt;35,BD86+BC87-BL86,IF(A87&lt;'Données projet'!$A$88,$BA$205^A87,IF(A87='Données projet'!$A$88,'Données projet'!$B$88,BD86+BC87-BL86)))</f>
        <v>215.7811111111111</v>
      </c>
      <c r="BE87" s="13">
        <f>BD87*VLOOKUP('Données projet'!$B$11,Paramètres!$A$1:$I$89,3,0)*VLOOKUP('Données projet'!$B$11,Paramètres!$A$1:$I$89,5,0)</f>
        <v>208.70349066666665</v>
      </c>
      <c r="BF87" s="13">
        <f t="shared" si="91"/>
        <v>51.652163752582879</v>
      </c>
      <c r="BG87" s="20">
        <f t="shared" si="61"/>
        <v>453.45276478019287</v>
      </c>
      <c r="BH87" s="59">
        <f t="shared" si="62"/>
        <v>746.78609811352612</v>
      </c>
      <c r="BI87" s="59">
        <f ca="1">AVERAGE(OFFSET($BH$3,0,0,'Données projet'!$E$11+1,1))-AVERAGE(OFFSET($H$3,0,0,'Données projet'!$E$11+1,1))</f>
        <v>510.71380643466227</v>
      </c>
      <c r="BJ87" s="59">
        <f t="shared" si="92"/>
        <v>252.40654099948841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34.172282913086228</v>
      </c>
      <c r="BR87" s="21">
        <f>EXP(-LN(2)/2)*BR86+(1-EXP(-LN(2)/2))/(LN(2)/2)*BL87*BO87*VLOOKUP('Données projet'!$B$11,Paramètres!$A$1:$I$89,3,0)*0.475*44/12</f>
        <v>0.59350679638190862</v>
      </c>
      <c r="BS87" s="22">
        <f t="shared" si="63"/>
        <v>34.765789709468137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874.93306786901985</v>
      </c>
      <c r="S88" s="59">
        <f ca="1">AVERAGE(OFFSET($R$3,0,0,'Données projet'!$E$9+1,1))-AVERAGE(OFFSET($H$3,0,0,'Données projet'!$E$9+1,1))</f>
        <v>635.71275911100679</v>
      </c>
      <c r="T88" s="59">
        <f t="shared" si="88"/>
        <v>281.7776857269169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9.2740000000000009</v>
      </c>
      <c r="AI88" s="13">
        <f>IF('Données projet'!$A$62&gt;35,AI87+AH88-AQ87,IF(A88&lt;'Données projet'!$A$62,$AF$205^A88,IF(A88='Données projet'!$A$62,'Données projet'!$B$62,AI87+AH88-AQ87)))</f>
        <v>274.67799999999988</v>
      </c>
      <c r="AJ88" s="13">
        <f>AI88*VLOOKUP('Données projet'!$B$10,Paramètres!$A$1:$I$89,3,0)*VLOOKUP('Données projet'!$B$10,Paramètres!$A$1:$I$89,5,0)</f>
        <v>295.66339919999984</v>
      </c>
      <c r="AK88" s="13">
        <f t="shared" si="89"/>
        <v>70.266576389697462</v>
      </c>
      <c r="AL88" s="20">
        <f t="shared" si="58"/>
        <v>637.3280408187228</v>
      </c>
      <c r="AM88" s="59">
        <f t="shared" si="59"/>
        <v>930.66137415205617</v>
      </c>
      <c r="AN88" s="59">
        <f ca="1">AVERAGE(OFFSET($AM$3,0,0,'Données projet'!$E$10+1,1))-AVERAGE(OFFSET($H$3,0,0,'Données projet'!$E$10+1,1))</f>
        <v>502.65044103360322</v>
      </c>
      <c r="AO88" s="59">
        <f t="shared" si="90"/>
        <v>321.65762891855167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28.942106014638984</v>
      </c>
      <c r="AV88" s="21">
        <f>EXP(-LN(2)/25)*AV87+(1-EXP(-LN(2)/25))/(LN(2)/25)*Calculateur!AQ88*Calculateur!AS88*VLOOKUP('Données projet'!$B$10,Paramètres!$A$1:$I$89,3,0)*0.475*44/12</f>
        <v>28.235162363848929</v>
      </c>
      <c r="AW88" s="21">
        <f>EXP(-LN(2)/2)*AW87+(1-EXP(-LN(2)/2))/(LN(2)/2)*AQ88*AT88*VLOOKUP('Données projet'!$B$10,Paramètres!$A$1:$I$89,3,0)*0.475*44/12</f>
        <v>2.68515519065908</v>
      </c>
      <c r="AX88" s="21">
        <f t="shared" si="60"/>
        <v>59.862423569146991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6.7444444444444462</v>
      </c>
      <c r="BD88" s="12">
        <f>IF('Données projet'!$A$88&gt;35,BD87+BC88-BL87,IF(A88&lt;'Données projet'!$A$88,$BA$205^A88,IF(A88='Données projet'!$A$88,'Données projet'!$B$88,BD87+BC88-BL87)))</f>
        <v>222.52555555555554</v>
      </c>
      <c r="BE88" s="13">
        <f>BD88*VLOOKUP('Données projet'!$B$11,Paramètres!$A$1:$I$89,3,0)*VLOOKUP('Données projet'!$B$11,Paramètres!$A$1:$I$89,5,0)</f>
        <v>215.22671733333331</v>
      </c>
      <c r="BF88" s="13">
        <f t="shared" si="91"/>
        <v>53.076115576927016</v>
      </c>
      <c r="BG88" s="20">
        <f t="shared" si="61"/>
        <v>467.29410065203678</v>
      </c>
      <c r="BH88" s="59">
        <f t="shared" si="62"/>
        <v>760.62743398537009</v>
      </c>
      <c r="BI88" s="59">
        <f ca="1">AVERAGE(OFFSET($BH$3,0,0,'Données projet'!$E$11+1,1))-AVERAGE(OFFSET($H$3,0,0,'Données projet'!$E$11+1,1))</f>
        <v>510.71380643466227</v>
      </c>
      <c r="BJ88" s="59">
        <f t="shared" si="92"/>
        <v>252.40654099948841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33.237840039785631</v>
      </c>
      <c r="BR88" s="21">
        <f>EXP(-LN(2)/2)*BR87+(1-EXP(-LN(2)/2))/(LN(2)/2)*BL88*BO88*VLOOKUP('Données projet'!$B$11,Paramètres!$A$1:$I$89,3,0)*0.475*44/12</f>
        <v>0.4196726804019511</v>
      </c>
      <c r="BS88" s="22">
        <f t="shared" si="63"/>
        <v>33.657512720187583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892.45178252232927</v>
      </c>
      <c r="S89" s="59">
        <f ca="1">AVERAGE(OFFSET($R$3,0,0,'Données projet'!$E$9+1,1))-AVERAGE(OFFSET($H$3,0,0,'Données projet'!$E$9+1,1))</f>
        <v>635.71275911100679</v>
      </c>
      <c r="T89" s="59">
        <f t="shared" si="88"/>
        <v>281.7776857269169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9.2740000000000009</v>
      </c>
      <c r="AI89" s="13">
        <f>IF('Données projet'!$A$62&gt;35,AI88+AH89-AQ88,IF(A89&lt;'Données projet'!$A$62,$AF$205^A89,IF(A89='Données projet'!$A$62,'Données projet'!$B$62,AI88+AH89-AQ88)))</f>
        <v>283.95199999999988</v>
      </c>
      <c r="AJ89" s="13">
        <f>AI89*VLOOKUP('Données projet'!$B$10,Paramètres!$A$1:$I$89,3,0)*VLOOKUP('Données projet'!$B$10,Paramètres!$A$1:$I$89,5,0)</f>
        <v>305.64593279999985</v>
      </c>
      <c r="AK89" s="13">
        <f t="shared" si="89"/>
        <v>72.358780428424367</v>
      </c>
      <c r="AL89" s="20">
        <f t="shared" si="58"/>
        <v>658.35820887283887</v>
      </c>
      <c r="AM89" s="59">
        <f t="shared" si="59"/>
        <v>951.69154220617224</v>
      </c>
      <c r="AN89" s="59">
        <f ca="1">AVERAGE(OFFSET($AM$3,0,0,'Données projet'!$E$10+1,1))-AVERAGE(OFFSET($H$3,0,0,'Données projet'!$E$10+1,1))</f>
        <v>502.65044103360322</v>
      </c>
      <c r="AO89" s="59">
        <f t="shared" si="90"/>
        <v>321.65762891855167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28.374568968633501</v>
      </c>
      <c r="AV89" s="21">
        <f>EXP(-LN(2)/25)*AV88+(1-EXP(-LN(2)/25))/(LN(2)/25)*Calculateur!AQ89*Calculateur!AS89*VLOOKUP('Données projet'!$B$10,Paramètres!$A$1:$I$89,3,0)*0.475*44/12</f>
        <v>27.463070364186823</v>
      </c>
      <c r="AW89" s="21">
        <f>EXP(-LN(2)/2)*AW88+(1-EXP(-LN(2)/2))/(LN(2)/2)*AQ89*AT89*VLOOKUP('Données projet'!$B$10,Paramètres!$A$1:$I$89,3,0)*0.475*44/12</f>
        <v>1.8986914438532925</v>
      </c>
      <c r="AX89" s="21">
        <f t="shared" si="60"/>
        <v>57.736330776673618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>
        <f>VLOOKUP(A89,'Données projet'!$A$87:$I$107,2,0)</f>
        <v>229.27</v>
      </c>
      <c r="BB89" s="12">
        <f>VLOOKUP(A89,'Données projet'!$A$87:$I$107,9,0)</f>
        <v>6.7444444444444462</v>
      </c>
      <c r="BC89" s="12">
        <f t="array" ref="BC89">INDEX(BB:BB,MIN(IF(ISNUMBER(BB89:BB285),ROW(BB89:BB285),"")))</f>
        <v>6.7444444444444462</v>
      </c>
      <c r="BD89" s="12">
        <f>IF('Données projet'!$A$88&gt;35,BD88+BC89-BL88,IF(A89&lt;'Données projet'!$A$88,$BA$205^A89,IF(A89='Données projet'!$A$88,'Données projet'!$B$88,BD88+BC89-BL88)))</f>
        <v>229.26999999999998</v>
      </c>
      <c r="BE89" s="13">
        <f>BD89*VLOOKUP('Données projet'!$B$11,Paramètres!$A$1:$I$89,3,0)*VLOOKUP('Données projet'!$B$11,Paramètres!$A$1:$I$89,5,0)</f>
        <v>221.74994399999997</v>
      </c>
      <c r="BF89" s="13">
        <f t="shared" si="91"/>
        <v>54.495051846596574</v>
      </c>
      <c r="BG89" s="20">
        <f t="shared" si="61"/>
        <v>481.12670109948903</v>
      </c>
      <c r="BH89" s="59">
        <f t="shared" si="62"/>
        <v>774.46003443282234</v>
      </c>
      <c r="BI89" s="59">
        <f ca="1">AVERAGE(OFFSET($BH$3,0,0,'Données projet'!$E$11+1,1))-AVERAGE(OFFSET($H$3,0,0,'Données projet'!$E$11+1,1))</f>
        <v>510.71380643466227</v>
      </c>
      <c r="BJ89" s="59">
        <f t="shared" si="92"/>
        <v>252.40654099948841</v>
      </c>
      <c r="BK89" s="15">
        <f>IF(ISNA(VLOOKUP(A89,'Données projet'!$A$87:$I$107,3,0)),0,VLOOKUP(A89,'Données projet'!$A$87:$I$107,3,0))</f>
        <v>4</v>
      </c>
      <c r="BL89" s="15">
        <f>IF(ISNA(VLOOKUP(A89,'Données projet'!$A$87:$I$107,4,0)),0,VLOOKUP(A89,'Données projet'!$A$87:$I$107,4,0))</f>
        <v>37.54000000000002</v>
      </c>
      <c r="BM89" s="16">
        <f>IF(ISNA(VLOOKUP(A89,'Données projet'!$A$87:$I$107,5,0)),0%,VLOOKUP(A89,'Données projet'!$A$87:$I$107,5,0)*VLOOKUP('Données projet'!$B$11,Paramètres!$A$1:$I$89,7,0))</f>
        <v>0.15049999999999999</v>
      </c>
      <c r="BN89" s="16">
        <f>IF(ISNA(VLOOKUP(A89,'Données projet'!$A$87:$I$107,6,0)),0%,VLOOKUP(A89,'Données projet'!$A$87:$I$107,6,0)*VLOOKUP('Données projet'!$B$11,Paramètres!$A$1:$I$89,7,0))</f>
        <v>8.6000000000000007E-2</v>
      </c>
      <c r="BO89" s="16">
        <f>IF(ISNA(VLOOKUP(A89,'Données projet'!$A$87:$I$107,7,0)),0%,VLOOKUP(A89,'Données projet'!$A$87:$I$107,7,0))</f>
        <v>0.1</v>
      </c>
      <c r="BP89" s="21">
        <f>EXP(-LN(2)/35)*BP88+(1-EXP(-LN(2)/35))/(LN(2)/35)*BL89*BM89*VLOOKUP('Données projet'!$B$11,Paramètres!$A$1:$I$89,3,0)*0.475*44/12</f>
        <v>6.0407959551073747</v>
      </c>
      <c r="BQ89" s="21">
        <f>EXP(-LN(2)/25)*BQ88+(1-EXP(-LN(2)/25))/(LN(2)/25)*Calculateur!BL89*Calculateur!BN89*VLOOKUP('Données projet'!$B$11,Paramètres!$A$1:$I$89,3,0)*0.475*44/12</f>
        <v>35.767241578686168</v>
      </c>
      <c r="BR89" s="21">
        <f>EXP(-LN(2)/2)*BR88+(1-EXP(-LN(2)/2))/(LN(2)/2)*BL89*BO89*VLOOKUP('Données projet'!$B$11,Paramètres!$A$1:$I$89,3,0)*0.475*44/12</f>
        <v>3.7225758343919244</v>
      </c>
      <c r="BS89" s="22">
        <f t="shared" si="63"/>
        <v>45.53061336818547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909.95985096711888</v>
      </c>
      <c r="S90" s="59">
        <f ca="1">AVERAGE(OFFSET($R$3,0,0,'Données projet'!$E$9+1,1))-AVERAGE(OFFSET($H$3,0,0,'Données projet'!$E$9+1,1))</f>
        <v>635.71275911100679</v>
      </c>
      <c r="T90" s="59">
        <f t="shared" si="88"/>
        <v>281.7776857269169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9.2740000000000009</v>
      </c>
      <c r="AI90" s="13">
        <f>IF('Données projet'!$A$62&gt;35,AI89+AH90-AQ89,IF(A90&lt;'Données projet'!$A$62,$AF$205^A90,IF(A90='Données projet'!$A$62,'Données projet'!$B$62,AI89+AH90-AQ89)))</f>
        <v>293.22599999999989</v>
      </c>
      <c r="AJ90" s="13">
        <f>AI90*VLOOKUP('Données projet'!$B$10,Paramètres!$A$1:$I$89,3,0)*VLOOKUP('Données projet'!$B$10,Paramètres!$A$1:$I$89,5,0)</f>
        <v>315.62846639999987</v>
      </c>
      <c r="AK90" s="13">
        <f t="shared" si="89"/>
        <v>74.443044193100945</v>
      </c>
      <c r="AL90" s="20">
        <f t="shared" si="58"/>
        <v>679.37454761631727</v>
      </c>
      <c r="AM90" s="59">
        <f t="shared" si="59"/>
        <v>972.70788094965064</v>
      </c>
      <c r="AN90" s="59">
        <f ca="1">AVERAGE(OFFSET($AM$3,0,0,'Données projet'!$E$10+1,1))-AVERAGE(OFFSET($H$3,0,0,'Données projet'!$E$10+1,1))</f>
        <v>502.65044103360322</v>
      </c>
      <c r="AO90" s="59">
        <f t="shared" si="90"/>
        <v>321.65762891855167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27.818160977936767</v>
      </c>
      <c r="AV90" s="21">
        <f>EXP(-LN(2)/25)*AV89+(1-EXP(-LN(2)/25))/(LN(2)/25)*Calculateur!AQ90*Calculateur!AS90*VLOOKUP('Données projet'!$B$10,Paramètres!$A$1:$I$89,3,0)*0.475*44/12</f>
        <v>26.712091260858031</v>
      </c>
      <c r="AW90" s="21">
        <f>EXP(-LN(2)/2)*AW89+(1-EXP(-LN(2)/2))/(LN(2)/2)*AQ90*AT90*VLOOKUP('Données projet'!$B$10,Paramètres!$A$1:$I$89,3,0)*0.475*44/12</f>
        <v>1.3425775953295402</v>
      </c>
      <c r="AX90" s="21">
        <f t="shared" si="60"/>
        <v>55.872829834124339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6.7600000000000007</v>
      </c>
      <c r="BD90" s="12">
        <f>IF('Données projet'!$A$88&gt;35,BD89+BC90-BL89,IF(A90&lt;'Données projet'!$A$88,$BA$205^A90,IF(A90='Données projet'!$A$88,'Données projet'!$B$88,BD89+BC90-BL89)))</f>
        <v>198.48999999999995</v>
      </c>
      <c r="BE90" s="13">
        <f>BD90*VLOOKUP('Données projet'!$B$11,Paramètres!$A$1:$I$89,3,0)*VLOOKUP('Données projet'!$B$11,Paramètres!$A$1:$I$89,5,0)</f>
        <v>191.97952799999996</v>
      </c>
      <c r="BF90" s="13">
        <f t="shared" si="91"/>
        <v>47.977334038454906</v>
      </c>
      <c r="BG90" s="20">
        <f t="shared" si="61"/>
        <v>417.92486805030893</v>
      </c>
      <c r="BH90" s="59">
        <f t="shared" si="62"/>
        <v>711.25820138364224</v>
      </c>
      <c r="BI90" s="59">
        <f ca="1">AVERAGE(OFFSET($BH$3,0,0,'Données projet'!$E$11+1,1))-AVERAGE(OFFSET($H$3,0,0,'Données projet'!$E$11+1,1))</f>
        <v>510.71380643466227</v>
      </c>
      <c r="BJ90" s="59">
        <f t="shared" si="92"/>
        <v>252.40654099948841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5.9223396309494349</v>
      </c>
      <c r="BQ90" s="21">
        <f>EXP(-LN(2)/25)*BQ89+(1-EXP(-LN(2)/25))/(LN(2)/25)*Calculateur!BL90*Calculateur!BN90*VLOOKUP('Données projet'!$B$11,Paramètres!$A$1:$I$89,3,0)*0.475*44/12</f>
        <v>34.789184476799505</v>
      </c>
      <c r="BR90" s="21">
        <f>EXP(-LN(2)/2)*BR89+(1-EXP(-LN(2)/2))/(LN(2)/2)*BL90*BO90*VLOOKUP('Données projet'!$B$11,Paramètres!$A$1:$I$89,3,0)*0.475*44/12</f>
        <v>2.6322586159797003</v>
      </c>
      <c r="BS90" s="22">
        <f t="shared" si="63"/>
        <v>43.343782723728644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927.45761782336695</v>
      </c>
      <c r="S91" s="59">
        <f ca="1">AVERAGE(OFFSET($R$3,0,0,'Données projet'!$E$9+1,1))-AVERAGE(OFFSET($H$3,0,0,'Données projet'!$E$9+1,1))</f>
        <v>635.71275911100679</v>
      </c>
      <c r="T91" s="59">
        <f t="shared" si="88"/>
        <v>281.7776857269169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9.2740000000000009</v>
      </c>
      <c r="AI91" s="13">
        <f>IF('Données projet'!$A$62&gt;35,AI90+AH91-AQ90,IF(A91&lt;'Données projet'!$A$62,$AF$205^A91,IF(A91='Données projet'!$A$62,'Données projet'!$B$62,AI90+AH91-AQ90)))</f>
        <v>302.49999999999989</v>
      </c>
      <c r="AJ91" s="13">
        <f>AI91*VLOOKUP('Données projet'!$B$10,Paramètres!$A$1:$I$89,3,0)*VLOOKUP('Données projet'!$B$10,Paramètres!$A$1:$I$89,5,0)</f>
        <v>325.61099999999988</v>
      </c>
      <c r="AK91" s="13">
        <f t="shared" si="89"/>
        <v>76.519647625515432</v>
      </c>
      <c r="AL91" s="20">
        <f t="shared" si="58"/>
        <v>700.3775446144391</v>
      </c>
      <c r="AM91" s="59">
        <f t="shared" si="59"/>
        <v>993.71087794777236</v>
      </c>
      <c r="AN91" s="59">
        <f ca="1">AVERAGE(OFFSET($AM$3,0,0,'Données projet'!$E$10+1,1))-AVERAGE(OFFSET($H$3,0,0,'Données projet'!$E$10+1,1))</f>
        <v>502.65044103360322</v>
      </c>
      <c r="AO91" s="59">
        <f t="shared" si="90"/>
        <v>321.65762891855167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27.272663808562232</v>
      </c>
      <c r="AV91" s="21">
        <f>EXP(-LN(2)/25)*AV90+(1-EXP(-LN(2)/25))/(LN(2)/25)*Calculateur!AQ91*Calculateur!AS91*VLOOKUP('Données projet'!$B$10,Paramètres!$A$1:$I$89,3,0)*0.475*44/12</f>
        <v>25.981647720602041</v>
      </c>
      <c r="AW91" s="21">
        <f>EXP(-LN(2)/2)*AW90+(1-EXP(-LN(2)/2))/(LN(2)/2)*AQ91*AT91*VLOOKUP('Données projet'!$B$10,Paramètres!$A$1:$I$89,3,0)*0.475*44/12</f>
        <v>0.94934572192664646</v>
      </c>
      <c r="AX91" s="21">
        <f t="shared" si="60"/>
        <v>54.203657251090917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6.7600000000000007</v>
      </c>
      <c r="BD91" s="12">
        <f>IF('Données projet'!$A$88&gt;35,BD90+BC91-BL90,IF(A91&lt;'Données projet'!$A$88,$BA$205^A91,IF(A91='Données projet'!$A$88,'Données projet'!$B$88,BD90+BC91-BL90)))</f>
        <v>205.24999999999994</v>
      </c>
      <c r="BE91" s="13">
        <f>BD91*VLOOKUP('Données projet'!$B$11,Paramètres!$A$1:$I$89,3,0)*VLOOKUP('Données projet'!$B$11,Paramètres!$A$1:$I$89,5,0)</f>
        <v>198.51779999999997</v>
      </c>
      <c r="BF91" s="13">
        <f t="shared" si="91"/>
        <v>49.418284138701907</v>
      </c>
      <c r="BG91" s="20">
        <f t="shared" si="61"/>
        <v>431.82201320823901</v>
      </c>
      <c r="BH91" s="59">
        <f t="shared" si="62"/>
        <v>725.15534654157227</v>
      </c>
      <c r="BI91" s="59">
        <f ca="1">AVERAGE(OFFSET($BH$3,0,0,'Données projet'!$E$11+1,1))-AVERAGE(OFFSET($H$3,0,0,'Données projet'!$E$11+1,1))</f>
        <v>510.71380643466227</v>
      </c>
      <c r="BJ91" s="59">
        <f t="shared" si="92"/>
        <v>252.40654099948841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5.8062061630570092</v>
      </c>
      <c r="BQ91" s="21">
        <f>EXP(-LN(2)/25)*BQ90+(1-EXP(-LN(2)/25))/(LN(2)/25)*Calculateur!BL91*Calculateur!BN91*VLOOKUP('Données projet'!$B$11,Paramètres!$A$1:$I$89,3,0)*0.475*44/12</f>
        <v>33.837872397797724</v>
      </c>
      <c r="BR91" s="21">
        <f>EXP(-LN(2)/2)*BR90+(1-EXP(-LN(2)/2))/(LN(2)/2)*BL91*BO91*VLOOKUP('Données projet'!$B$11,Paramètres!$A$1:$I$89,3,0)*0.475*44/12</f>
        <v>1.8612879171959624</v>
      </c>
      <c r="BS91" s="22">
        <f t="shared" si="63"/>
        <v>41.505366478050696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944.94540715665789</v>
      </c>
      <c r="S92" s="59">
        <f ca="1">AVERAGE(OFFSET($R$3,0,0,'Données projet'!$E$9+1,1))-AVERAGE(OFFSET($H$3,0,0,'Données projet'!$E$9+1,1))</f>
        <v>635.71275911100679</v>
      </c>
      <c r="T92" s="59">
        <f t="shared" si="88"/>
        <v>281.7776857269169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9.2740000000000009</v>
      </c>
      <c r="AI92" s="13">
        <f>IF('Données projet'!$A$62&gt;35,AI91+AH92-AQ91,IF(A92&lt;'Données projet'!$A$62,$AF$205^A92,IF(A92='Données projet'!$A$62,'Données projet'!$B$62,AI91+AH92-AQ91)))</f>
        <v>311.77399999999989</v>
      </c>
      <c r="AJ92" s="13">
        <f>AI92*VLOOKUP('Données projet'!$B$10,Paramètres!$A$1:$I$89,3,0)*VLOOKUP('Données projet'!$B$10,Paramètres!$A$1:$I$89,5,0)</f>
        <v>335.59353359999983</v>
      </c>
      <c r="AK92" s="13">
        <f t="shared" si="89"/>
        <v>78.588852527390316</v>
      </c>
      <c r="AL92" s="20">
        <f t="shared" si="58"/>
        <v>721.36765583853776</v>
      </c>
      <c r="AM92" s="59">
        <f t="shared" si="59"/>
        <v>1014.700989171871</v>
      </c>
      <c r="AN92" s="59">
        <f ca="1">AVERAGE(OFFSET($AM$3,0,0,'Données projet'!$E$10+1,1))-AVERAGE(OFFSET($H$3,0,0,'Données projet'!$E$10+1,1))</f>
        <v>502.65044103360322</v>
      </c>
      <c r="AO92" s="59">
        <f t="shared" si="90"/>
        <v>321.65762891855167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26.73786350595871</v>
      </c>
      <c r="AV92" s="21">
        <f>EXP(-LN(2)/25)*AV91+(1-EXP(-LN(2)/25))/(LN(2)/25)*Calculateur!AQ92*Calculateur!AS92*VLOOKUP('Données projet'!$B$10,Paramètres!$A$1:$I$89,3,0)*0.475*44/12</f>
        <v>25.271178197366705</v>
      </c>
      <c r="AW92" s="21">
        <f>EXP(-LN(2)/2)*AW91+(1-EXP(-LN(2)/2))/(LN(2)/2)*AQ92*AT92*VLOOKUP('Données projet'!$B$10,Paramètres!$A$1:$I$89,3,0)*0.475*44/12</f>
        <v>0.67128879766477023</v>
      </c>
      <c r="AX92" s="21">
        <f t="shared" si="60"/>
        <v>52.680330500990188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6.7600000000000007</v>
      </c>
      <c r="BD92" s="12">
        <f>IF('Données projet'!$A$88&gt;35,BD91+BC92-BL91,IF(A92&lt;'Données projet'!$A$88,$BA$205^A92,IF(A92='Données projet'!$A$88,'Données projet'!$B$88,BD91+BC92-BL91)))</f>
        <v>212.00999999999993</v>
      </c>
      <c r="BE92" s="13">
        <f>BD92*VLOOKUP('Données projet'!$B$11,Paramètres!$A$1:$I$89,3,0)*VLOOKUP('Données projet'!$B$11,Paramètres!$A$1:$I$89,5,0)</f>
        <v>205.05607199999992</v>
      </c>
      <c r="BF92" s="13">
        <f t="shared" si="91"/>
        <v>50.853719611219461</v>
      </c>
      <c r="BG92" s="20">
        <f t="shared" si="61"/>
        <v>445.70955372287375</v>
      </c>
      <c r="BH92" s="59">
        <f t="shared" si="62"/>
        <v>739.04288705620706</v>
      </c>
      <c r="BI92" s="59">
        <f ca="1">AVERAGE(OFFSET($BH$3,0,0,'Données projet'!$E$11+1,1))-AVERAGE(OFFSET($H$3,0,0,'Données projet'!$E$11+1,1))</f>
        <v>510.71380643466227</v>
      </c>
      <c r="BJ92" s="59">
        <f t="shared" si="92"/>
        <v>252.40654099948841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5.6923500016355328</v>
      </c>
      <c r="BQ92" s="21">
        <f>EXP(-LN(2)/25)*BQ91+(1-EXP(-LN(2)/25))/(LN(2)/25)*Calculateur!BL92*Calculateur!BN92*VLOOKUP('Données projet'!$B$11,Paramètres!$A$1:$I$89,3,0)*0.475*44/12</f>
        <v>32.912573997623575</v>
      </c>
      <c r="BR92" s="21">
        <f>EXP(-LN(2)/2)*BR91+(1-EXP(-LN(2)/2))/(LN(2)/2)*BL92*BO92*VLOOKUP('Données projet'!$B$11,Paramètres!$A$1:$I$89,3,0)*0.475*44/12</f>
        <v>1.3161293079898502</v>
      </c>
      <c r="BS92" s="22">
        <f t="shared" si="63"/>
        <v>39.921053307248954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962.42352423410739</v>
      </c>
      <c r="S93" s="59">
        <f ca="1">AVERAGE(OFFSET($R$3,0,0,'Données projet'!$E$9+1,1))-AVERAGE(OFFSET($H$3,0,0,'Données projet'!$E$9+1,1))</f>
        <v>635.71275911100679</v>
      </c>
      <c r="T93" s="59">
        <f t="shared" si="88"/>
        <v>281.7776857269169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9.2740000000000009</v>
      </c>
      <c r="AI93" s="13">
        <f>IF('Données projet'!$A$62&gt;35,AI92+AH93-AQ92,IF(A93&lt;'Données projet'!$A$62,$AF$205^A93,IF(A93='Données projet'!$A$62,'Données projet'!$B$62,AI92+AH93-AQ92)))</f>
        <v>321.04799999999989</v>
      </c>
      <c r="AJ93" s="13">
        <f>AI93*VLOOKUP('Données projet'!$B$10,Paramètres!$A$1:$I$89,3,0)*VLOOKUP('Données projet'!$B$10,Paramètres!$A$1:$I$89,5,0)</f>
        <v>345.57606719999984</v>
      </c>
      <c r="AK93" s="13">
        <f t="shared" si="89"/>
        <v>80.650904240067121</v>
      </c>
      <c r="AL93" s="20">
        <f t="shared" si="58"/>
        <v>742.34530859144991</v>
      </c>
      <c r="AM93" s="59">
        <f t="shared" si="59"/>
        <v>1035.6786419247833</v>
      </c>
      <c r="AN93" s="59">
        <f ca="1">AVERAGE(OFFSET($AM$3,0,0,'Données projet'!$E$10+1,1))-AVERAGE(OFFSET($H$3,0,0,'Données projet'!$E$10+1,1))</f>
        <v>502.65044103360322</v>
      </c>
      <c r="AO93" s="59">
        <f t="shared" si="90"/>
        <v>321.65762891855167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26.213550311093268</v>
      </c>
      <c r="AV93" s="21">
        <f>EXP(-LN(2)/25)*AV92+(1-EXP(-LN(2)/25))/(LN(2)/25)*Calculateur!AQ93*Calculateur!AS93*VLOOKUP('Données projet'!$B$10,Paramètres!$A$1:$I$89,3,0)*0.475*44/12</f>
        <v>24.580136500606208</v>
      </c>
      <c r="AW93" s="21">
        <f>EXP(-LN(2)/2)*AW92+(1-EXP(-LN(2)/2))/(LN(2)/2)*AQ93*AT93*VLOOKUP('Données projet'!$B$10,Paramètres!$A$1:$I$89,3,0)*0.475*44/12</f>
        <v>0.47467286096332328</v>
      </c>
      <c r="AX93" s="21">
        <f t="shared" si="60"/>
        <v>51.268359672662797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6.7600000000000007</v>
      </c>
      <c r="BD93" s="12">
        <f>IF('Données projet'!$A$88&gt;35,BD92+BC93-BL92,IF(A93&lt;'Données projet'!$A$88,$BA$205^A93,IF(A93='Données projet'!$A$88,'Données projet'!$B$88,BD92+BC93-BL92)))</f>
        <v>218.76999999999992</v>
      </c>
      <c r="BE93" s="13">
        <f>BD93*VLOOKUP('Données projet'!$B$11,Paramètres!$A$1:$I$89,3,0)*VLOOKUP('Données projet'!$B$11,Paramètres!$A$1:$I$89,5,0)</f>
        <v>211.59434399999995</v>
      </c>
      <c r="BF93" s="13">
        <f t="shared" si="91"/>
        <v>52.283836462333554</v>
      </c>
      <c r="BG93" s="20">
        <f t="shared" si="61"/>
        <v>459.58783097189752</v>
      </c>
      <c r="BH93" s="59">
        <f t="shared" si="62"/>
        <v>752.92116430523083</v>
      </c>
      <c r="BI93" s="59">
        <f ca="1">AVERAGE(OFFSET($BH$3,0,0,'Données projet'!$E$11+1,1))-AVERAGE(OFFSET($H$3,0,0,'Données projet'!$E$11+1,1))</f>
        <v>510.71380643466227</v>
      </c>
      <c r="BJ93" s="59">
        <f t="shared" si="92"/>
        <v>252.40654099948841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5.58072649009413</v>
      </c>
      <c r="BQ93" s="21">
        <f>EXP(-LN(2)/25)*BQ92+(1-EXP(-LN(2)/25))/(LN(2)/25)*Calculateur!BL93*Calculateur!BN93*VLOOKUP('Données projet'!$B$11,Paramètres!$A$1:$I$89,3,0)*0.475*44/12</f>
        <v>32.012577930861518</v>
      </c>
      <c r="BR93" s="21">
        <f>EXP(-LN(2)/2)*BR92+(1-EXP(-LN(2)/2))/(LN(2)/2)*BL93*BO93*VLOOKUP('Données projet'!$B$11,Paramètres!$A$1:$I$89,3,0)*0.475*44/12</f>
        <v>0.93064395859798121</v>
      </c>
      <c r="BS93" s="22">
        <f t="shared" si="63"/>
        <v>38.52394837955363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979.89225708741196</v>
      </c>
      <c r="S94" s="59">
        <f ca="1">AVERAGE(OFFSET($R$3,0,0,'Données projet'!$E$9+1,1))-AVERAGE(OFFSET($H$3,0,0,'Données projet'!$E$9+1,1))</f>
        <v>635.71275911100679</v>
      </c>
      <c r="T94" s="59">
        <f t="shared" si="88"/>
        <v>281.7776857269169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9.2740000000000009</v>
      </c>
      <c r="AI94" s="13">
        <f>IF('Données projet'!$A$62&gt;35,AI93+AH94-AQ93,IF(A94&lt;'Données projet'!$A$62,$AF$205^A94,IF(A94='Données projet'!$A$62,'Données projet'!$B$62,AI93+AH94-AQ93)))</f>
        <v>330.32199999999989</v>
      </c>
      <c r="AJ94" s="13">
        <f>AI94*VLOOKUP('Données projet'!$B$10,Paramètres!$A$1:$I$89,3,0)*VLOOKUP('Données projet'!$B$10,Paramètres!$A$1:$I$89,5,0)</f>
        <v>355.55860079999985</v>
      </c>
      <c r="AK94" s="13">
        <f t="shared" si="89"/>
        <v>82.706033124655704</v>
      </c>
      <c r="AL94" s="20">
        <f t="shared" si="58"/>
        <v>763.31090408544162</v>
      </c>
      <c r="AM94" s="59">
        <f t="shared" si="59"/>
        <v>1056.644237418775</v>
      </c>
      <c r="AN94" s="59">
        <f ca="1">AVERAGE(OFFSET($AM$3,0,0,'Données projet'!$E$10+1,1))-AVERAGE(OFFSET($H$3,0,0,'Données projet'!$E$10+1,1))</f>
        <v>502.65044103360322</v>
      </c>
      <c r="AO94" s="59">
        <f t="shared" si="90"/>
        <v>321.65762891855167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25.699518578179667</v>
      </c>
      <c r="AV94" s="21">
        <f>EXP(-LN(2)/25)*AV93+(1-EXP(-LN(2)/25))/(LN(2)/25)*Calculateur!AQ94*Calculateur!AS94*VLOOKUP('Données projet'!$B$10,Paramètres!$A$1:$I$89,3,0)*0.475*44/12</f>
        <v>23.907991375383933</v>
      </c>
      <c r="AW94" s="21">
        <f>EXP(-LN(2)/2)*AW93+(1-EXP(-LN(2)/2))/(LN(2)/2)*AQ94*AT94*VLOOKUP('Données projet'!$B$10,Paramètres!$A$1:$I$89,3,0)*0.475*44/12</f>
        <v>0.33564439883238517</v>
      </c>
      <c r="AX94" s="21">
        <f t="shared" si="60"/>
        <v>49.943154352395986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6.7600000000000007</v>
      </c>
      <c r="BD94" s="12">
        <f>IF('Données projet'!$A$88&gt;35,BD93+BC94-BL93,IF(A94&lt;'Données projet'!$A$88,$BA$205^A94,IF(A94='Données projet'!$A$88,'Données projet'!$B$88,BD93+BC94-BL93)))</f>
        <v>225.52999999999992</v>
      </c>
      <c r="BE94" s="13">
        <f>BD94*VLOOKUP('Données projet'!$B$11,Paramètres!$A$1:$I$89,3,0)*VLOOKUP('Données projet'!$B$11,Paramètres!$A$1:$I$89,5,0)</f>
        <v>218.1326159999999</v>
      </c>
      <c r="BF94" s="13">
        <f t="shared" si="91"/>
        <v>53.708817897023764</v>
      </c>
      <c r="BG94" s="20">
        <f t="shared" si="61"/>
        <v>473.4571640373162</v>
      </c>
      <c r="BH94" s="59">
        <f t="shared" si="62"/>
        <v>766.79049737064952</v>
      </c>
      <c r="BI94" s="59">
        <f ca="1">AVERAGE(OFFSET($BH$3,0,0,'Données projet'!$E$11+1,1))-AVERAGE(OFFSET($H$3,0,0,'Données projet'!$E$11+1,1))</f>
        <v>510.71380643466227</v>
      </c>
      <c r="BJ94" s="59">
        <f t="shared" si="92"/>
        <v>252.40654099948841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5.4712918475304351</v>
      </c>
      <c r="BQ94" s="21">
        <f>EXP(-LN(2)/25)*BQ93+(1-EXP(-LN(2)/25))/(LN(2)/25)*Calculateur!BL94*Calculateur!BN94*VLOOKUP('Données projet'!$B$11,Paramètres!$A$1:$I$89,3,0)*0.475*44/12</f>
        <v>31.137192303873803</v>
      </c>
      <c r="BR94" s="21">
        <f>EXP(-LN(2)/2)*BR93+(1-EXP(-LN(2)/2))/(LN(2)/2)*BL94*BO94*VLOOKUP('Données projet'!$B$11,Paramètres!$A$1:$I$89,3,0)*0.475*44/12</f>
        <v>0.65806465399492509</v>
      </c>
      <c r="BS94" s="22">
        <f t="shared" si="63"/>
        <v>37.266548805399168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997.35187790867371</v>
      </c>
      <c r="S95" s="59">
        <f ca="1">AVERAGE(OFFSET($R$3,0,0,'Données projet'!$E$9+1,1))-AVERAGE(OFFSET($H$3,0,0,'Données projet'!$E$9+1,1))</f>
        <v>635.71275911100679</v>
      </c>
      <c r="T95" s="59">
        <f t="shared" si="88"/>
        <v>281.7776857269169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9.2740000000000009</v>
      </c>
      <c r="AI95" s="13">
        <f>IF('Données projet'!$A$62&gt;35,AI94+AH95-AQ94,IF(A95&lt;'Données projet'!$A$62,$AF$205^A95,IF(A95='Données projet'!$A$62,'Données projet'!$B$62,AI94+AH95-AQ94)))</f>
        <v>339.59599999999989</v>
      </c>
      <c r="AJ95" s="13">
        <f>AI95*VLOOKUP('Données projet'!$B$10,Paramètres!$A$1:$I$89,3,0)*VLOOKUP('Données projet'!$B$10,Paramètres!$A$1:$I$89,5,0)</f>
        <v>365.54113439999986</v>
      </c>
      <c r="AK95" s="13">
        <f t="shared" si="89"/>
        <v>84.754455871286439</v>
      </c>
      <c r="AL95" s="20">
        <f t="shared" si="58"/>
        <v>784.2648197224903</v>
      </c>
      <c r="AM95" s="59">
        <f t="shared" si="59"/>
        <v>1077.5981530558236</v>
      </c>
      <c r="AN95" s="59">
        <f ca="1">AVERAGE(OFFSET($AM$3,0,0,'Données projet'!$E$10+1,1))-AVERAGE(OFFSET($H$3,0,0,'Données projet'!$E$10+1,1))</f>
        <v>502.65044103360322</v>
      </c>
      <c r="AO95" s="59">
        <f t="shared" si="90"/>
        <v>321.65762891855167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25.195566694020105</v>
      </c>
      <c r="AV95" s="21">
        <f>EXP(-LN(2)/25)*AV94+(1-EXP(-LN(2)/25))/(LN(2)/25)*Calculateur!AQ95*Calculateur!AS95*VLOOKUP('Données projet'!$B$10,Paramètres!$A$1:$I$89,3,0)*0.475*44/12</f>
        <v>23.254226093957435</v>
      </c>
      <c r="AW95" s="21">
        <f>EXP(-LN(2)/2)*AW94+(1-EXP(-LN(2)/2))/(LN(2)/2)*AQ95*AT95*VLOOKUP('Données projet'!$B$10,Paramètres!$A$1:$I$89,3,0)*0.475*44/12</f>
        <v>0.2373364304816617</v>
      </c>
      <c r="AX95" s="21">
        <f t="shared" si="60"/>
        <v>48.687129218459205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6.7600000000000007</v>
      </c>
      <c r="BD95" s="12">
        <f>IF('Données projet'!$A$88&gt;35,BD94+BC95-BL94,IF(A95&lt;'Données projet'!$A$88,$BA$205^A95,IF(A95='Données projet'!$A$88,'Données projet'!$B$88,BD94+BC95-BL94)))</f>
        <v>232.28999999999991</v>
      </c>
      <c r="BE95" s="13">
        <f>BD95*VLOOKUP('Données projet'!$B$11,Paramètres!$A$1:$I$89,3,0)*VLOOKUP('Données projet'!$B$11,Paramètres!$A$1:$I$89,5,0)</f>
        <v>224.67088799999993</v>
      </c>
      <c r="BF95" s="13">
        <f t="shared" si="91"/>
        <v>55.128835513346814</v>
      </c>
      <c r="BG95" s="20">
        <f t="shared" si="61"/>
        <v>487.31785178574552</v>
      </c>
      <c r="BH95" s="59">
        <f t="shared" si="62"/>
        <v>780.65118511907883</v>
      </c>
      <c r="BI95" s="59">
        <f ca="1">AVERAGE(OFFSET($BH$3,0,0,'Données projet'!$E$11+1,1))-AVERAGE(OFFSET($H$3,0,0,'Données projet'!$E$11+1,1))</f>
        <v>510.71380643466227</v>
      </c>
      <c r="BJ95" s="59">
        <f t="shared" si="92"/>
        <v>252.40654099948841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5.3640031515588733</v>
      </c>
      <c r="BQ95" s="21">
        <f>EXP(-LN(2)/25)*BQ94+(1-EXP(-LN(2)/25))/(LN(2)/25)*Calculateur!BL95*Calculateur!BN95*VLOOKUP('Données projet'!$B$11,Paramètres!$A$1:$I$89,3,0)*0.475*44/12</f>
        <v>30.285744142890596</v>
      </c>
      <c r="BR95" s="21">
        <f>EXP(-LN(2)/2)*BR94+(1-EXP(-LN(2)/2))/(LN(2)/2)*BL95*BO95*VLOOKUP('Données projet'!$B$11,Paramètres!$A$1:$I$89,3,0)*0.475*44/12</f>
        <v>0.46532197929899061</v>
      </c>
      <c r="BS95" s="22">
        <f t="shared" si="63"/>
        <v>36.11506927374846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1014.8026443006772</v>
      </c>
      <c r="S96" s="59">
        <f ca="1">AVERAGE(OFFSET($R$3,0,0,'Données projet'!$E$9+1,1))-AVERAGE(OFFSET($H$3,0,0,'Données projet'!$E$9+1,1))</f>
        <v>635.71275911100679</v>
      </c>
      <c r="T96" s="59">
        <f t="shared" si="88"/>
        <v>281.7776857269169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348.87</v>
      </c>
      <c r="AG96" s="12">
        <f>VLOOKUP(A96,'Données projet'!$A$61:$I$81,9,0)</f>
        <v>9.2740000000000009</v>
      </c>
      <c r="AH96" s="12">
        <f t="array" ref="AH96">INDEX(AG:AG,MIN(IF(ISNUMBER(AG96:AG292),ROW(AG96:AG292),"")))</f>
        <v>9.2740000000000009</v>
      </c>
      <c r="AI96" s="13">
        <f>IF('Données projet'!$A$62&gt;35,AI95+AH96-AQ95,IF(A96&lt;'Données projet'!$A$62,$AF$205^A96,IF(A96='Données projet'!$A$62,'Données projet'!$B$62,AI95+AH96-AQ95)))</f>
        <v>348.86999999999989</v>
      </c>
      <c r="AJ96" s="13">
        <f>AI96*VLOOKUP('Données projet'!$B$10,Paramètres!$A$1:$I$89,3,0)*VLOOKUP('Données projet'!$B$10,Paramètres!$A$1:$I$89,5,0)</f>
        <v>375.52366799999987</v>
      </c>
      <c r="AK96" s="13">
        <f t="shared" si="89"/>
        <v>86.796376661322839</v>
      </c>
      <c r="AL96" s="20">
        <f t="shared" si="58"/>
        <v>805.2074111184703</v>
      </c>
      <c r="AM96" s="59">
        <f t="shared" si="59"/>
        <v>1098.5407444518037</v>
      </c>
      <c r="AN96" s="59">
        <f ca="1">AVERAGE(OFFSET($AM$3,0,0,'Données projet'!$E$10+1,1))-AVERAGE(OFFSET($H$3,0,0,'Données projet'!$E$10+1,1))</f>
        <v>502.65044103360322</v>
      </c>
      <c r="AO96" s="59">
        <f t="shared" si="90"/>
        <v>321.65762891855167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67.45999999999998</v>
      </c>
      <c r="AR96" s="16">
        <f>IF(ISNA(VLOOKUP(A96,'Données projet'!$A$61:$I$81,5,0)),0%,VLOOKUP(A96,'Données projet'!$A$61:$I$81,5,0)*VLOOKUP('Données projet'!$B$10,Paramètres!$A$1:$I$89,7,0))</f>
        <v>0.215</v>
      </c>
      <c r="AS96" s="16">
        <f>IF(ISNA(VLOOKUP(A96,'Données projet'!$A$61:$I$81,6,0)),0%,VLOOKUP(A96,'Données projet'!$A$61:$I$81,6,0)*VLOOKUP('Données projet'!$B$10,Paramètres!$A$1:$I$89,7,0))</f>
        <v>8.6000000000000007E-2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41.960098309037448</v>
      </c>
      <c r="AV96" s="21">
        <f>EXP(-LN(2)/25)*AV95+(1-EXP(-LN(2)/25))/(LN(2)/25)*Calculateur!AQ96*Calculateur!AS96*VLOOKUP('Données projet'!$B$10,Paramètres!$A$1:$I$89,3,0)*0.475*44/12</f>
        <v>29.494597106814883</v>
      </c>
      <c r="AW96" s="21">
        <f>EXP(-LN(2)/2)*AW95+(1-EXP(-LN(2)/2))/(LN(2)/2)*AQ96*AT96*VLOOKUP('Données projet'!$B$10,Paramètres!$A$1:$I$89,3,0)*0.475*44/12</f>
        <v>0.16782219941619261</v>
      </c>
      <c r="AX96" s="21">
        <f t="shared" si="60"/>
        <v>71.622517615268521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6.7600000000000007</v>
      </c>
      <c r="BD96" s="12">
        <f>IF('Données projet'!$A$88&gt;35,BD95+BC96-BL95,IF(A96&lt;'Données projet'!$A$88,$BA$205^A96,IF(A96='Données projet'!$A$88,'Données projet'!$B$88,BD95+BC96-BL95)))</f>
        <v>239.0499999999999</v>
      </c>
      <c r="BE96" s="13">
        <f>BD96*VLOOKUP('Données projet'!$B$11,Paramètres!$A$1:$I$89,3,0)*VLOOKUP('Données projet'!$B$11,Paramètres!$A$1:$I$89,5,0)</f>
        <v>231.20915999999988</v>
      </c>
      <c r="BF96" s="13">
        <f t="shared" si="91"/>
        <v>56.544050353913839</v>
      </c>
      <c r="BG96" s="20">
        <f t="shared" si="61"/>
        <v>501.17017469973308</v>
      </c>
      <c r="BH96" s="59">
        <f t="shared" si="62"/>
        <v>794.5035080330664</v>
      </c>
      <c r="BI96" s="59">
        <f ca="1">AVERAGE(OFFSET($BH$3,0,0,'Données projet'!$E$11+1,1))-AVERAGE(OFFSET($H$3,0,0,'Données projet'!$E$11+1,1))</f>
        <v>510.71380643466227</v>
      </c>
      <c r="BJ96" s="59">
        <f t="shared" si="92"/>
        <v>252.40654099948841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5.2588183214756707</v>
      </c>
      <c r="BQ96" s="21">
        <f>EXP(-LN(2)/25)*BQ95+(1-EXP(-LN(2)/25))/(LN(2)/25)*Calculateur!BL96*Calculateur!BN96*VLOOKUP('Données projet'!$B$11,Paramètres!$A$1:$I$89,3,0)*0.475*44/12</f>
        <v>29.457578876645186</v>
      </c>
      <c r="BR96" s="21">
        <f>EXP(-LN(2)/2)*BR95+(1-EXP(-LN(2)/2))/(LN(2)/2)*BL96*BO96*VLOOKUP('Données projet'!$B$11,Paramètres!$A$1:$I$89,3,0)*0.475*44/12</f>
        <v>0.32903232699746254</v>
      </c>
      <c r="BS96" s="22">
        <f t="shared" si="63"/>
        <v>35.045429525118323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1032.2448004000205</v>
      </c>
      <c r="S97" s="59">
        <f ca="1">AVERAGE(OFFSET($R$3,0,0,'Données projet'!$E$9+1,1))-AVERAGE(OFFSET($H$3,0,0,'Données projet'!$E$9+1,1))</f>
        <v>635.71275911100679</v>
      </c>
      <c r="T97" s="59">
        <f t="shared" si="88"/>
        <v>281.7776857269169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8.9989999999999952</v>
      </c>
      <c r="AI97" s="13">
        <f>IF('Données projet'!$A$62&gt;35,AI96+AH97-AQ96,IF(A97&lt;'Données projet'!$A$62,$AF$205^A97,IF(A97='Données projet'!$A$62,'Données projet'!$B$62,AI96+AH97-AQ96)))</f>
        <v>290.40899999999993</v>
      </c>
      <c r="AJ97" s="13">
        <f>AI97*VLOOKUP('Données projet'!$B$10,Paramètres!$A$1:$I$89,3,0)*VLOOKUP('Données projet'!$B$10,Paramètres!$A$1:$I$89,5,0)</f>
        <v>312.59624759999991</v>
      </c>
      <c r="AK97" s="13">
        <f t="shared" si="89"/>
        <v>73.810766542684433</v>
      </c>
      <c r="AL97" s="20">
        <f t="shared" si="58"/>
        <v>672.99221629850854</v>
      </c>
      <c r="AM97" s="59">
        <f t="shared" si="59"/>
        <v>966.3255496318418</v>
      </c>
      <c r="AN97" s="59">
        <f ca="1">AVERAGE(OFFSET($AM$3,0,0,'Données projet'!$E$10+1,1))-AVERAGE(OFFSET($H$3,0,0,'Données projet'!$E$10+1,1))</f>
        <v>502.65044103360322</v>
      </c>
      <c r="AO97" s="59">
        <f t="shared" si="90"/>
        <v>321.65762891855167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41.137286374330081</v>
      </c>
      <c r="AV97" s="21">
        <f>EXP(-LN(2)/25)*AV96+(1-EXP(-LN(2)/25))/(LN(2)/25)*Calculateur!AQ97*Calculateur!AS97*VLOOKUP('Données projet'!$B$10,Paramètres!$A$1:$I$89,3,0)*0.475*44/12</f>
        <v>28.688065797875581</v>
      </c>
      <c r="AW97" s="21">
        <f>EXP(-LN(2)/2)*AW96+(1-EXP(-LN(2)/2))/(LN(2)/2)*AQ97*AT97*VLOOKUP('Données projet'!$B$10,Paramètres!$A$1:$I$89,3,0)*0.475*44/12</f>
        <v>0.11866821524083086</v>
      </c>
      <c r="AX97" s="21">
        <f t="shared" si="60"/>
        <v>69.9440203874465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6.7600000000000007</v>
      </c>
      <c r="BD97" s="12">
        <f>IF('Données projet'!$A$88&gt;35,BD96+BC97-BL96,IF(A97&lt;'Données projet'!$A$88,$BA$205^A97,IF(A97='Données projet'!$A$88,'Données projet'!$B$88,BD96+BC97-BL96)))</f>
        <v>245.80999999999989</v>
      </c>
      <c r="BE97" s="13">
        <f>BD97*VLOOKUP('Données projet'!$B$11,Paramètres!$A$1:$I$89,3,0)*VLOOKUP('Données projet'!$B$11,Paramètres!$A$1:$I$89,5,0)</f>
        <v>237.74743199999992</v>
      </c>
      <c r="BF97" s="13">
        <f t="shared" si="91"/>
        <v>57.954613835088161</v>
      </c>
      <c r="BG97" s="20">
        <f t="shared" si="61"/>
        <v>515.01439649611177</v>
      </c>
      <c r="BH97" s="59">
        <f t="shared" si="62"/>
        <v>808.34772982944514</v>
      </c>
      <c r="BI97" s="59">
        <f ca="1">AVERAGE(OFFSET($BH$3,0,0,'Données projet'!$E$11+1,1))-AVERAGE(OFFSET($H$3,0,0,'Données projet'!$E$11+1,1))</f>
        <v>510.71380643466227</v>
      </c>
      <c r="BJ97" s="59">
        <f t="shared" si="92"/>
        <v>252.40654099948841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5.1556961017539882</v>
      </c>
      <c r="BQ97" s="21">
        <f>EXP(-LN(2)/25)*BQ96+(1-EXP(-LN(2)/25))/(LN(2)/25)*Calculateur!BL97*Calculateur!BN97*VLOOKUP('Données projet'!$B$11,Paramètres!$A$1:$I$89,3,0)*0.475*44/12</f>
        <v>28.652059833156578</v>
      </c>
      <c r="BR97" s="21">
        <f>EXP(-LN(2)/2)*BR96+(1-EXP(-LN(2)/2))/(LN(2)/2)*BL97*BO97*VLOOKUP('Données projet'!$B$11,Paramètres!$A$1:$I$89,3,0)*0.475*44/12</f>
        <v>0.2326609896494953</v>
      </c>
      <c r="BS97" s="22">
        <f t="shared" si="63"/>
        <v>34.040416924560063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921.03042005872226</v>
      </c>
      <c r="S98" s="59">
        <f ca="1">AVERAGE(OFFSET($R$3,0,0,'Données projet'!$E$9+1,1))-AVERAGE(OFFSET($H$3,0,0,'Données projet'!$E$9+1,1))</f>
        <v>635.71275911100679</v>
      </c>
      <c r="T98" s="59">
        <f t="shared" si="88"/>
        <v>281.7776857269169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8.9989999999999952</v>
      </c>
      <c r="AI98" s="13">
        <f>IF('Données projet'!$A$62&gt;35,AI97+AH98-AQ97,IF(A98&lt;'Données projet'!$A$62,$AF$205^A98,IF(A98='Données projet'!$A$62,'Données projet'!$B$62,AI97+AH98-AQ97)))</f>
        <v>299.4079999999999</v>
      </c>
      <c r="AJ98" s="13">
        <f>AI98*VLOOKUP('Données projet'!$B$10,Paramètres!$A$1:$I$89,3,0)*VLOOKUP('Données projet'!$B$10,Paramètres!$A$1:$I$89,5,0)</f>
        <v>322.2827711999999</v>
      </c>
      <c r="AK98" s="13">
        <f t="shared" si="89"/>
        <v>75.828131927775956</v>
      </c>
      <c r="AL98" s="20">
        <f t="shared" si="58"/>
        <v>693.37648961420962</v>
      </c>
      <c r="AM98" s="59">
        <f t="shared" si="59"/>
        <v>986.70982294754299</v>
      </c>
      <c r="AN98" s="59">
        <f ca="1">AVERAGE(OFFSET($AM$3,0,0,'Données projet'!$E$10+1,1))-AVERAGE(OFFSET($H$3,0,0,'Données projet'!$E$10+1,1))</f>
        <v>502.65044103360322</v>
      </c>
      <c r="AO98" s="59">
        <f t="shared" si="90"/>
        <v>321.65762891855167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40.330609279796597</v>
      </c>
      <c r="AV98" s="21">
        <f>EXP(-LN(2)/25)*AV97+(1-EXP(-LN(2)/25))/(LN(2)/25)*Calculateur!AQ98*Calculateur!AS98*VLOOKUP('Données projet'!$B$10,Paramètres!$A$1:$I$89,3,0)*0.475*44/12</f>
        <v>27.903589129992859</v>
      </c>
      <c r="AW98" s="21">
        <f>EXP(-LN(2)/2)*AW97+(1-EXP(-LN(2)/2))/(LN(2)/2)*AQ98*AT98*VLOOKUP('Données projet'!$B$10,Paramètres!$A$1:$I$89,3,0)*0.475*44/12</f>
        <v>8.3911099708096321E-2</v>
      </c>
      <c r="AX98" s="21">
        <f t="shared" si="60"/>
        <v>68.318109509497546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252.57</v>
      </c>
      <c r="BB98" s="12">
        <f>VLOOKUP(A98,'Données projet'!$A$87:$I$107,9,0)</f>
        <v>6.7600000000000007</v>
      </c>
      <c r="BC98" s="12">
        <f t="array" ref="BC98">INDEX(BB:BB,MIN(IF(ISNUMBER(BB98:BB294),ROW(BB98:BB294),"")))</f>
        <v>6.7600000000000007</v>
      </c>
      <c r="BD98" s="12">
        <f>IF('Données projet'!$A$88&gt;35,BD97+BC98-BL97,IF(A98&lt;'Données projet'!$A$88,$BA$205^A98,IF(A98='Données projet'!$A$88,'Données projet'!$B$88,BD97+BC98-BL97)))</f>
        <v>252.56999999999988</v>
      </c>
      <c r="BE98" s="13">
        <f>BD98*VLOOKUP('Données projet'!$B$11,Paramètres!$A$1:$I$89,3,0)*VLOOKUP('Données projet'!$B$11,Paramètres!$A$1:$I$89,5,0)</f>
        <v>244.28570399999987</v>
      </c>
      <c r="BF98" s="13">
        <f t="shared" si="91"/>
        <v>59.360668571092589</v>
      </c>
      <c r="BG98" s="20">
        <f t="shared" si="61"/>
        <v>528.85076556131935</v>
      </c>
      <c r="BH98" s="59">
        <f t="shared" si="62"/>
        <v>822.18409889465261</v>
      </c>
      <c r="BI98" s="59">
        <f ca="1">AVERAGE(OFFSET($BH$3,0,0,'Données projet'!$E$11+1,1))-AVERAGE(OFFSET($H$3,0,0,'Données projet'!$E$11+1,1))</f>
        <v>510.71380643466227</v>
      </c>
      <c r="BJ98" s="59">
        <f t="shared" si="92"/>
        <v>252.40654099948841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42.199999999999989</v>
      </c>
      <c r="BM98" s="16">
        <f>IF(ISNA(VLOOKUP(A98,'Données projet'!$A$87:$I$107,5,0)),0%,VLOOKUP(A98,'Données projet'!$A$87:$I$107,5,0)*VLOOKUP('Données projet'!$B$11,Paramètres!$A$1:$I$89,7,0))</f>
        <v>0.15049999999999999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0.1</v>
      </c>
      <c r="BP98" s="21">
        <f>EXP(-LN(2)/35)*BP97+(1-EXP(-LN(2)/35))/(LN(2)/35)*BL98*BM98*VLOOKUP('Données projet'!$B$11,Paramètres!$A$1:$I$89,3,0)*0.475*44/12</f>
        <v>11.845261717294008</v>
      </c>
      <c r="BQ98" s="21">
        <f>EXP(-LN(2)/25)*BQ97+(1-EXP(-LN(2)/25))/(LN(2)/25)*Calculateur!BL98*Calculateur!BN98*VLOOKUP('Données projet'!$B$11,Paramètres!$A$1:$I$89,3,0)*0.475*44/12</f>
        <v>31.733669597836226</v>
      </c>
      <c r="BR98" s="21">
        <f>EXP(-LN(2)/2)*BR97+(1-EXP(-LN(2)/2))/(LN(2)/2)*BL98*BO98*VLOOKUP('Données projet'!$B$11,Paramètres!$A$1:$I$89,3,0)*0.475*44/12</f>
        <v>4.0156005217214492</v>
      </c>
      <c r="BS98" s="22">
        <f t="shared" si="63"/>
        <v>47.594531836851687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938.08148045240114</v>
      </c>
      <c r="S99" s="59">
        <f ca="1">AVERAGE(OFFSET($R$3,0,0,'Données projet'!$E$9+1,1))-AVERAGE(OFFSET($H$3,0,0,'Données projet'!$E$9+1,1))</f>
        <v>635.71275911100679</v>
      </c>
      <c r="T99" s="59">
        <f t="shared" si="88"/>
        <v>281.7776857269169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8.9989999999999952</v>
      </c>
      <c r="AI99" s="13">
        <f>IF('Données projet'!$A$62&gt;35,AI98+AH99-AQ98,IF(A99&lt;'Données projet'!$A$62,$AF$205^A99,IF(A99='Données projet'!$A$62,'Données projet'!$B$62,AI98+AH99-AQ98)))</f>
        <v>308.40699999999993</v>
      </c>
      <c r="AJ99" s="13">
        <f>AI99*VLOOKUP('Données projet'!$B$10,Paramètres!$A$1:$I$89,3,0)*VLOOKUP('Données projet'!$B$10,Paramètres!$A$1:$I$89,5,0)</f>
        <v>331.96929479999989</v>
      </c>
      <c r="AK99" s="13">
        <f t="shared" si="89"/>
        <v>77.838450738855911</v>
      </c>
      <c r="AL99" s="20">
        <f t="shared" si="58"/>
        <v>713.74849014684048</v>
      </c>
      <c r="AM99" s="59">
        <f t="shared" si="59"/>
        <v>1007.0818234801739</v>
      </c>
      <c r="AN99" s="59">
        <f ca="1">AVERAGE(OFFSET($AM$3,0,0,'Données projet'!$E$10+1,1))-AVERAGE(OFFSET($H$3,0,0,'Données projet'!$E$10+1,1))</f>
        <v>502.65044103360322</v>
      </c>
      <c r="AO99" s="59">
        <f t="shared" si="90"/>
        <v>321.65762891855167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39.539750631062475</v>
      </c>
      <c r="AV99" s="21">
        <f>EXP(-LN(2)/25)*AV98+(1-EXP(-LN(2)/25))/(LN(2)/25)*Calculateur!AQ99*Calculateur!AS99*VLOOKUP('Données projet'!$B$10,Paramètres!$A$1:$I$89,3,0)*0.475*44/12</f>
        <v>27.140564017847225</v>
      </c>
      <c r="AW99" s="21">
        <f>EXP(-LN(2)/2)*AW98+(1-EXP(-LN(2)/2))/(LN(2)/2)*AQ99*AT99*VLOOKUP('Données projet'!$B$10,Paramètres!$A$1:$I$89,3,0)*0.475*44/12</f>
        <v>5.9334107620415438E-2</v>
      </c>
      <c r="AX99" s="21">
        <f t="shared" si="60"/>
        <v>66.739648756530116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6.7777777777777777</v>
      </c>
      <c r="BD99" s="12">
        <f>IF('Données projet'!$A$88&gt;35,BD98+BC99-BL98,IF(A99&lt;'Données projet'!$A$88,$BA$205^A99,IF(A99='Données projet'!$A$88,'Données projet'!$B$88,BD98+BC99-BL98)))</f>
        <v>217.14777777777766</v>
      </c>
      <c r="BE99" s="13">
        <f>BD99*VLOOKUP('Données projet'!$B$11,Paramètres!$A$1:$I$89,3,0)*VLOOKUP('Données projet'!$B$11,Paramètres!$A$1:$I$89,5,0)</f>
        <v>210.02533066666655</v>
      </c>
      <c r="BF99" s="13">
        <f t="shared" si="91"/>
        <v>51.941121047420019</v>
      </c>
      <c r="BG99" s="20">
        <f t="shared" si="61"/>
        <v>456.25823673536746</v>
      </c>
      <c r="BH99" s="59">
        <f t="shared" si="62"/>
        <v>749.59157006870078</v>
      </c>
      <c r="BI99" s="59">
        <f ca="1">AVERAGE(OFFSET($BH$3,0,0,'Données projet'!$E$11+1,1))-AVERAGE(OFFSET($H$3,0,0,'Données projet'!$E$11+1,1))</f>
        <v>510.71380643466227</v>
      </c>
      <c r="BJ99" s="59">
        <f t="shared" si="92"/>
        <v>252.40654099948841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11.612983359914121</v>
      </c>
      <c r="BQ99" s="21">
        <f>EXP(-LN(2)/25)*BQ98+(1-EXP(-LN(2)/25))/(LN(2)/25)*Calculateur!BL99*Calculateur!BN99*VLOOKUP('Données projet'!$B$11,Paramètres!$A$1:$I$89,3,0)*0.475*44/12</f>
        <v>30.865910733882238</v>
      </c>
      <c r="BR99" s="21">
        <f>EXP(-LN(2)/2)*BR98+(1-EXP(-LN(2)/2))/(LN(2)/2)*BL99*BO99*VLOOKUP('Données projet'!$B$11,Paramètres!$A$1:$I$89,3,0)*0.475*44/12</f>
        <v>2.8394583594454752</v>
      </c>
      <c r="BS99" s="22">
        <f t="shared" si="63"/>
        <v>45.318352453241829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955.12323782530461</v>
      </c>
      <c r="S100" s="59">
        <f ca="1">AVERAGE(OFFSET($R$3,0,0,'Données projet'!$E$9+1,1))-AVERAGE(OFFSET($H$3,0,0,'Données projet'!$E$9+1,1))</f>
        <v>635.71275911100679</v>
      </c>
      <c r="T100" s="59">
        <f t="shared" si="88"/>
        <v>281.7776857269169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8.9989999999999952</v>
      </c>
      <c r="AI100" s="13">
        <f>IF('Données projet'!$A$62&gt;35,AI99+AH100-AQ99,IF(A100&lt;'Données projet'!$A$62,$AF$205^A100,IF(A100='Données projet'!$A$62,'Données projet'!$B$62,AI99+AH100-AQ99)))</f>
        <v>317.40599999999995</v>
      </c>
      <c r="AJ100" s="13">
        <f>AI100*VLOOKUP('Données projet'!$B$10,Paramètres!$A$1:$I$89,3,0)*VLOOKUP('Données projet'!$B$10,Paramètres!$A$1:$I$89,5,0)</f>
        <v>341.65581839999993</v>
      </c>
      <c r="AK100" s="13">
        <f t="shared" si="89"/>
        <v>79.841952197500291</v>
      </c>
      <c r="AL100" s="20">
        <f t="shared" si="58"/>
        <v>734.10861712397957</v>
      </c>
      <c r="AM100" s="59">
        <f t="shared" si="59"/>
        <v>1027.4419504573129</v>
      </c>
      <c r="AN100" s="59">
        <f ca="1">AVERAGE(OFFSET($AM$3,0,0,'Données projet'!$E$10+1,1))-AVERAGE(OFFSET($H$3,0,0,'Données projet'!$E$10+1,1))</f>
        <v>502.65044103360322</v>
      </c>
      <c r="AO100" s="59">
        <f t="shared" si="90"/>
        <v>321.65762891855167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38.764400238053881</v>
      </c>
      <c r="AV100" s="21">
        <f>EXP(-LN(2)/25)*AV99+(1-EXP(-LN(2)/25))/(LN(2)/25)*Calculateur!AQ100*Calculateur!AS100*VLOOKUP('Données projet'!$B$10,Paramètres!$A$1:$I$89,3,0)*0.475*44/12</f>
        <v>26.398403867518962</v>
      </c>
      <c r="AW100" s="21">
        <f>EXP(-LN(2)/2)*AW99+(1-EXP(-LN(2)/2))/(LN(2)/2)*AQ100*AT100*VLOOKUP('Données projet'!$B$10,Paramètres!$A$1:$I$89,3,0)*0.475*44/12</f>
        <v>4.1955549854048167E-2</v>
      </c>
      <c r="AX100" s="21">
        <f t="shared" si="60"/>
        <v>65.204759655426898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6.7777777777777777</v>
      </c>
      <c r="BD100" s="12">
        <f>IF('Données projet'!$A$88&gt;35,BD99+BC100-BL99,IF(A100&lt;'Données projet'!$A$88,$BA$205^A100,IF(A100='Données projet'!$A$88,'Données projet'!$B$88,BD99+BC100-BL99)))</f>
        <v>223.92555555555543</v>
      </c>
      <c r="BE100" s="13">
        <f>BD100*VLOOKUP('Données projet'!$B$11,Paramètres!$A$1:$I$89,3,0)*VLOOKUP('Données projet'!$B$11,Paramètres!$A$1:$I$89,5,0)</f>
        <v>216.58079733333321</v>
      </c>
      <c r="BF100" s="13">
        <f t="shared" si="91"/>
        <v>53.371062792617998</v>
      </c>
      <c r="BG100" s="20">
        <f t="shared" si="61"/>
        <v>470.16615638603167</v>
      </c>
      <c r="BH100" s="59">
        <f t="shared" si="62"/>
        <v>763.49948971936499</v>
      </c>
      <c r="BI100" s="59">
        <f ca="1">AVERAGE(OFFSET($BH$3,0,0,'Données projet'!$E$11+1,1))-AVERAGE(OFFSET($H$3,0,0,'Données projet'!$E$11+1,1))</f>
        <v>510.71380643466227</v>
      </c>
      <c r="BJ100" s="59">
        <f t="shared" si="92"/>
        <v>252.40654099948841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11.385259839446645</v>
      </c>
      <c r="BQ100" s="21">
        <f>EXP(-LN(2)/25)*BQ99+(1-EXP(-LN(2)/25))/(LN(2)/25)*Calculateur!BL100*Calculateur!BN100*VLOOKUP('Données projet'!$B$11,Paramètres!$A$1:$I$89,3,0)*0.475*44/12</f>
        <v>30.021880781696527</v>
      </c>
      <c r="BR100" s="21">
        <f>EXP(-LN(2)/2)*BR99+(1-EXP(-LN(2)/2))/(LN(2)/2)*BL100*BO100*VLOOKUP('Données projet'!$B$11,Paramètres!$A$1:$I$89,3,0)*0.475*44/12</f>
        <v>2.0078002608607251</v>
      </c>
      <c r="BS100" s="22">
        <f t="shared" si="63"/>
        <v>43.414940882003897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972.1559652885428</v>
      </c>
      <c r="S101" s="59">
        <f ca="1">AVERAGE(OFFSET($R$3,0,0,'Données projet'!$E$9+1,1))-AVERAGE(OFFSET($H$3,0,0,'Données projet'!$E$9+1,1))</f>
        <v>635.71275911100679</v>
      </c>
      <c r="T101" s="59">
        <f t="shared" si="88"/>
        <v>281.7776857269169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8.9989999999999952</v>
      </c>
      <c r="AI101" s="13">
        <f>IF('Données projet'!$A$62&gt;35,AI100+AH101-AQ100,IF(A101&lt;'Données projet'!$A$62,$AF$205^A101,IF(A101='Données projet'!$A$62,'Données projet'!$B$62,AI100+AH101-AQ100)))</f>
        <v>326.40499999999997</v>
      </c>
      <c r="AJ101" s="13">
        <f>AI101*VLOOKUP('Données projet'!$B$10,Paramètres!$A$1:$I$89,3,0)*VLOOKUP('Données projet'!$B$10,Paramètres!$A$1:$I$89,5,0)</f>
        <v>351.34234199999997</v>
      </c>
      <c r="AK101" s="13">
        <f t="shared" si="89"/>
        <v>81.838851788282241</v>
      </c>
      <c r="AL101" s="20">
        <f t="shared" si="58"/>
        <v>754.45724584792481</v>
      </c>
      <c r="AM101" s="59">
        <f t="shared" si="59"/>
        <v>1047.7905791812582</v>
      </c>
      <c r="AN101" s="59">
        <f ca="1">AVERAGE(OFFSET($AM$3,0,0,'Données projet'!$E$10+1,1))-AVERAGE(OFFSET($H$3,0,0,'Données projet'!$E$10+1,1))</f>
        <v>502.65044103360322</v>
      </c>
      <c r="AO101" s="59">
        <f t="shared" si="90"/>
        <v>321.65762891855167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38.004253993335141</v>
      </c>
      <c r="AV101" s="21">
        <f>EXP(-LN(2)/25)*AV100+(1-EXP(-LN(2)/25))/(LN(2)/25)*Calculateur!AQ101*Calculateur!AS101*VLOOKUP('Données projet'!$B$10,Paramètres!$A$1:$I$89,3,0)*0.475*44/12</f>
        <v>25.67653812552993</v>
      </c>
      <c r="AW101" s="21">
        <f>EXP(-LN(2)/2)*AW100+(1-EXP(-LN(2)/2))/(LN(2)/2)*AQ101*AT101*VLOOKUP('Données projet'!$B$10,Paramètres!$A$1:$I$89,3,0)*0.475*44/12</f>
        <v>2.9667053810207726E-2</v>
      </c>
      <c r="AX101" s="21">
        <f t="shared" si="60"/>
        <v>63.710459172675279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6.7777777777777777</v>
      </c>
      <c r="BD101" s="12">
        <f>IF('Données projet'!$A$88&gt;35,BD100+BC101-BL100,IF(A101&lt;'Données projet'!$A$88,$BA$205^A101,IF(A101='Données projet'!$A$88,'Données projet'!$B$88,BD100+BC101-BL100)))</f>
        <v>230.70333333333321</v>
      </c>
      <c r="BE101" s="13">
        <f>BD101*VLOOKUP('Données projet'!$B$11,Paramètres!$A$1:$I$89,3,0)*VLOOKUP('Données projet'!$B$11,Paramètres!$A$1:$I$89,5,0)</f>
        <v>223.13626399999987</v>
      </c>
      <c r="BF101" s="13">
        <f t="shared" si="91"/>
        <v>54.795974627594028</v>
      </c>
      <c r="BG101" s="20">
        <f t="shared" si="61"/>
        <v>484.06531560972599</v>
      </c>
      <c r="BH101" s="59">
        <f t="shared" si="62"/>
        <v>777.39864894305924</v>
      </c>
      <c r="BI101" s="59">
        <f ca="1">AVERAGE(OFFSET($BH$3,0,0,'Données projet'!$E$11+1,1))-AVERAGE(OFFSET($H$3,0,0,'Données projet'!$E$11+1,1))</f>
        <v>510.71380643466227</v>
      </c>
      <c r="BJ101" s="59">
        <f t="shared" si="92"/>
        <v>252.40654099948841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11.162001838317904</v>
      </c>
      <c r="BQ101" s="21">
        <f>EXP(-LN(2)/25)*BQ100+(1-EXP(-LN(2)/25))/(LN(2)/25)*Calculateur!BL101*Calculateur!BN101*VLOOKUP('Données projet'!$B$11,Paramètres!$A$1:$I$89,3,0)*0.475*44/12</f>
        <v>29.20093087293894</v>
      </c>
      <c r="BR101" s="21">
        <f>EXP(-LN(2)/2)*BR100+(1-EXP(-LN(2)/2))/(LN(2)/2)*BL101*BO101*VLOOKUP('Données projet'!$B$11,Paramètres!$A$1:$I$89,3,0)*0.475*44/12</f>
        <v>1.4197291797227378</v>
      </c>
      <c r="BS101" s="22">
        <f t="shared" si="63"/>
        <v>41.782661890979583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989.17992114153458</v>
      </c>
      <c r="S102" s="59">
        <f ca="1">AVERAGE(OFFSET($R$3,0,0,'Données projet'!$E$9+1,1))-AVERAGE(OFFSET($H$3,0,0,'Données projet'!$E$9+1,1))</f>
        <v>635.71275911100679</v>
      </c>
      <c r="T102" s="59">
        <f t="shared" si="88"/>
        <v>281.7776857269169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8.9989999999999952</v>
      </c>
      <c r="AI102" s="13">
        <f>IF('Données projet'!$A$62&gt;35,AI101+AH102-AQ101,IF(A102&lt;'Données projet'!$A$62,$AF$205^A102,IF(A102='Données projet'!$A$62,'Données projet'!$B$62,AI101+AH102-AQ101)))</f>
        <v>335.404</v>
      </c>
      <c r="AJ102" s="13">
        <f>AI102*VLOOKUP('Données projet'!$B$10,Paramètres!$A$1:$I$89,3,0)*VLOOKUP('Données projet'!$B$10,Paramètres!$A$1:$I$89,5,0)</f>
        <v>361.02886559999996</v>
      </c>
      <c r="AK102" s="13">
        <f t="shared" si="89"/>
        <v>83.829352437758416</v>
      </c>
      <c r="AL102" s="20">
        <f t="shared" si="58"/>
        <v>774.79472974909584</v>
      </c>
      <c r="AM102" s="59">
        <f t="shared" si="59"/>
        <v>1068.1280630824292</v>
      </c>
      <c r="AN102" s="59">
        <f ca="1">AVERAGE(OFFSET($AM$3,0,0,'Données projet'!$E$10+1,1))-AVERAGE(OFFSET($H$3,0,0,'Données projet'!$E$10+1,1))</f>
        <v>502.65044103360322</v>
      </c>
      <c r="AO102" s="59">
        <f t="shared" si="90"/>
        <v>321.65762891855167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37.259013752831912</v>
      </c>
      <c r="AV102" s="21">
        <f>EXP(-LN(2)/25)*AV101+(1-EXP(-LN(2)/25))/(LN(2)/25)*Calculateur!AQ102*Calculateur!AS102*VLOOKUP('Données projet'!$B$10,Paramètres!$A$1:$I$89,3,0)*0.475*44/12</f>
        <v>24.97441184021686</v>
      </c>
      <c r="AW102" s="21">
        <f>EXP(-LN(2)/2)*AW101+(1-EXP(-LN(2)/2))/(LN(2)/2)*AQ102*AT102*VLOOKUP('Données projet'!$B$10,Paramètres!$A$1:$I$89,3,0)*0.475*44/12</f>
        <v>2.0977774927024087E-2</v>
      </c>
      <c r="AX102" s="21">
        <f t="shared" si="60"/>
        <v>62.254403367975797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6.7777777777777777</v>
      </c>
      <c r="BD102" s="12">
        <f>IF('Données projet'!$A$88&gt;35,BD101+BC102-BL101,IF(A102&lt;'Données projet'!$A$88,$BA$205^A102,IF(A102='Données projet'!$A$88,'Données projet'!$B$88,BD101+BC102-BL101)))</f>
        <v>237.48111111111098</v>
      </c>
      <c r="BE102" s="13">
        <f>BD102*VLOOKUP('Données projet'!$B$11,Paramètres!$A$1:$I$89,3,0)*VLOOKUP('Données projet'!$B$11,Paramètres!$A$1:$I$89,5,0)</f>
        <v>229.69173066666653</v>
      </c>
      <c r="BF102" s="13">
        <f t="shared" si="91"/>
        <v>56.216021291878434</v>
      </c>
      <c r="BG102" s="20">
        <f t="shared" si="61"/>
        <v>497.95600132779902</v>
      </c>
      <c r="BH102" s="59">
        <f t="shared" si="62"/>
        <v>791.28933466113233</v>
      </c>
      <c r="BI102" s="59">
        <f ca="1">AVERAGE(OFFSET($BH$3,0,0,'Données projet'!$E$11+1,1))-AVERAGE(OFFSET($H$3,0,0,'Données projet'!$E$11+1,1))</f>
        <v>510.71380643466227</v>
      </c>
      <c r="BJ102" s="59">
        <f t="shared" si="92"/>
        <v>252.40654099948841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10.943121790417363</v>
      </c>
      <c r="BQ102" s="21">
        <f>EXP(-LN(2)/25)*BQ101+(1-EXP(-LN(2)/25))/(LN(2)/25)*Calculateur!BL102*Calculateur!BN102*VLOOKUP('Données projet'!$B$11,Paramètres!$A$1:$I$89,3,0)*0.475*44/12</f>
        <v>28.40242988260821</v>
      </c>
      <c r="BR102" s="21">
        <f>EXP(-LN(2)/2)*BR101+(1-EXP(-LN(2)/2))/(LN(2)/2)*BL102*BO102*VLOOKUP('Données projet'!$B$11,Paramètres!$A$1:$I$89,3,0)*0.475*44/12</f>
        <v>1.0039001304303627</v>
      </c>
      <c r="BS102" s="22">
        <f t="shared" si="63"/>
        <v>40.349451803455935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1006.1953500254065</v>
      </c>
      <c r="S103" s="59">
        <f ca="1">AVERAGE(OFFSET($R$3,0,0,'Données projet'!$E$9+1,1))-AVERAGE(OFFSET($H$3,0,0,'Données projet'!$E$9+1,1))</f>
        <v>635.71275911100679</v>
      </c>
      <c r="T103" s="59">
        <f t="shared" si="88"/>
        <v>281.7776857269169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8.9989999999999952</v>
      </c>
      <c r="AI103" s="13">
        <f>IF('Données projet'!$A$62&gt;35,AI102+AH103-AQ102,IF(A103&lt;'Données projet'!$A$62,$AF$205^A103,IF(A103='Données projet'!$A$62,'Données projet'!$B$62,AI102+AH103-AQ102)))</f>
        <v>344.40300000000002</v>
      </c>
      <c r="AJ103" s="13">
        <f>AI103*VLOOKUP('Données projet'!$B$10,Paramètres!$A$1:$I$89,3,0)*VLOOKUP('Données projet'!$B$10,Paramètres!$A$1:$I$89,5,0)</f>
        <v>370.7153892</v>
      </c>
      <c r="AK103" s="13">
        <f t="shared" si="89"/>
        <v>85.81364556336672</v>
      </c>
      <c r="AL103" s="20">
        <f t="shared" si="58"/>
        <v>795.1214022128637</v>
      </c>
      <c r="AM103" s="59">
        <f t="shared" si="59"/>
        <v>1088.4547355461971</v>
      </c>
      <c r="AN103" s="59">
        <f ca="1">AVERAGE(OFFSET($AM$3,0,0,'Données projet'!$E$10+1,1))-AVERAGE(OFFSET($H$3,0,0,'Données projet'!$E$10+1,1))</f>
        <v>502.65044103360322</v>
      </c>
      <c r="AO103" s="59">
        <f t="shared" si="90"/>
        <v>321.65762891855167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36.528387218893286</v>
      </c>
      <c r="AV103" s="21">
        <f>EXP(-LN(2)/25)*AV102+(1-EXP(-LN(2)/25))/(LN(2)/25)*Calculateur!AQ103*Calculateur!AS103*VLOOKUP('Données projet'!$B$10,Paramètres!$A$1:$I$89,3,0)*0.475*44/12</f>
        <v>24.291485235098889</v>
      </c>
      <c r="AW103" s="21">
        <f>EXP(-LN(2)/2)*AW102+(1-EXP(-LN(2)/2))/(LN(2)/2)*AQ103*AT103*VLOOKUP('Données projet'!$B$10,Paramètres!$A$1:$I$89,3,0)*0.475*44/12</f>
        <v>1.4833526905103865E-2</v>
      </c>
      <c r="AX103" s="21">
        <f t="shared" si="60"/>
        <v>60.834705980897283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6.7777777777777777</v>
      </c>
      <c r="BD103" s="12">
        <f>IF('Données projet'!$A$88&gt;35,BD102+BC103-BL102,IF(A103&lt;'Données projet'!$A$88,$BA$205^A103,IF(A103='Données projet'!$A$88,'Données projet'!$B$88,BD102+BC103-BL102)))</f>
        <v>244.25888888888875</v>
      </c>
      <c r="BE103" s="13">
        <f>BD103*VLOOKUP('Données projet'!$B$11,Paramètres!$A$1:$I$89,3,0)*VLOOKUP('Données projet'!$B$11,Paramètres!$A$1:$I$89,5,0)</f>
        <v>236.24719733333319</v>
      </c>
      <c r="BF103" s="13">
        <f t="shared" si="91"/>
        <v>57.631357586724938</v>
      </c>
      <c r="BG103" s="20">
        <f t="shared" si="61"/>
        <v>511.83848315243455</v>
      </c>
      <c r="BH103" s="59">
        <f t="shared" si="62"/>
        <v>805.17181648576786</v>
      </c>
      <c r="BI103" s="59">
        <f ca="1">AVERAGE(OFFSET($BH$3,0,0,'Données projet'!$E$11+1,1))-AVERAGE(OFFSET($H$3,0,0,'Données projet'!$E$11+1,1))</f>
        <v>510.71380643466227</v>
      </c>
      <c r="BJ103" s="59">
        <f t="shared" si="92"/>
        <v>252.40654099948841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10.728533846752505</v>
      </c>
      <c r="BQ103" s="21">
        <f>EXP(-LN(2)/25)*BQ102+(1-EXP(-LN(2)/25))/(LN(2)/25)*Calculateur!BL103*Calculateur!BN103*VLOOKUP('Données projet'!$B$11,Paramètres!$A$1:$I$89,3,0)*0.475*44/12</f>
        <v>27.625763943849417</v>
      </c>
      <c r="BR103" s="21">
        <f>EXP(-LN(2)/2)*BR102+(1-EXP(-LN(2)/2))/(LN(2)/2)*BL103*BO103*VLOOKUP('Données projet'!$B$11,Paramètres!$A$1:$I$89,3,0)*0.475*44/12</f>
        <v>0.70986458986136913</v>
      </c>
      <c r="BS103" s="22">
        <f t="shared" si="63"/>
        <v>39.064162380463287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1023.2024839606354</v>
      </c>
      <c r="S104" s="59">
        <f ca="1">AVERAGE(OFFSET($R$3,0,0,'Données projet'!$E$9+1,1))-AVERAGE(OFFSET($H$3,0,0,'Données projet'!$E$9+1,1))</f>
        <v>635.71275911100679</v>
      </c>
      <c r="T104" s="59">
        <f t="shared" si="88"/>
        <v>281.7776857269169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8.9989999999999952</v>
      </c>
      <c r="AI104" s="13">
        <f>IF('Données projet'!$A$62&gt;35,AI103+AH104-AQ103,IF(A104&lt;'Données projet'!$A$62,$AF$205^A104,IF(A104='Données projet'!$A$62,'Données projet'!$B$62,AI103+AH104-AQ103)))</f>
        <v>353.40200000000004</v>
      </c>
      <c r="AJ104" s="13">
        <f>AI104*VLOOKUP('Données projet'!$B$10,Paramètres!$A$1:$I$89,3,0)*VLOOKUP('Données projet'!$B$10,Paramètres!$A$1:$I$89,5,0)</f>
        <v>380.40191280000005</v>
      </c>
      <c r="AK104" s="13">
        <f t="shared" si="89"/>
        <v>87.791912009612105</v>
      </c>
      <c r="AL104" s="20">
        <f t="shared" si="58"/>
        <v>815.43757821007432</v>
      </c>
      <c r="AM104" s="59">
        <f t="shared" si="59"/>
        <v>1108.7709115434077</v>
      </c>
      <c r="AN104" s="59">
        <f ca="1">AVERAGE(OFFSET($AM$3,0,0,'Données projet'!$E$10+1,1))-AVERAGE(OFFSET($H$3,0,0,'Données projet'!$E$10+1,1))</f>
        <v>502.65044103360322</v>
      </c>
      <c r="AO104" s="59">
        <f t="shared" si="90"/>
        <v>321.65762891855167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35.812087825647012</v>
      </c>
      <c r="AV104" s="21">
        <f>EXP(-LN(2)/25)*AV103+(1-EXP(-LN(2)/25))/(LN(2)/25)*Calculateur!AQ104*Calculateur!AS104*VLOOKUP('Données projet'!$B$10,Paramètres!$A$1:$I$89,3,0)*0.475*44/12</f>
        <v>23.62723329391142</v>
      </c>
      <c r="AW104" s="21">
        <f>EXP(-LN(2)/2)*AW103+(1-EXP(-LN(2)/2))/(LN(2)/2)*AQ104*AT104*VLOOKUP('Données projet'!$B$10,Paramètres!$A$1:$I$89,3,0)*0.475*44/12</f>
        <v>1.0488887463512045E-2</v>
      </c>
      <c r="AX104" s="21">
        <f t="shared" si="60"/>
        <v>59.449810007021938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6.7777777777777777</v>
      </c>
      <c r="BD104" s="12">
        <f>IF('Données projet'!$A$88&gt;35,BD103+BC104-BL103,IF(A104&lt;'Données projet'!$A$88,$BA$205^A104,IF(A104='Données projet'!$A$88,'Données projet'!$B$88,BD103+BC104-BL103)))</f>
        <v>251.03666666666652</v>
      </c>
      <c r="BE104" s="13">
        <f>BD104*VLOOKUP('Données projet'!$B$11,Paramètres!$A$1:$I$89,3,0)*VLOOKUP('Données projet'!$B$11,Paramètres!$A$1:$I$89,5,0)</f>
        <v>242.80266399999985</v>
      </c>
      <c r="BF104" s="13">
        <f t="shared" si="91"/>
        <v>59.04212923358233</v>
      </c>
      <c r="BG104" s="20">
        <f t="shared" si="61"/>
        <v>525.71301488182235</v>
      </c>
      <c r="BH104" s="59">
        <f t="shared" si="62"/>
        <v>819.0463482151556</v>
      </c>
      <c r="BI104" s="59">
        <f ca="1">AVERAGE(OFFSET($BH$3,0,0,'Données projet'!$E$11+1,1))-AVERAGE(OFFSET($H$3,0,0,'Données projet'!$E$11+1,1))</f>
        <v>510.71380643466227</v>
      </c>
      <c r="BJ104" s="59">
        <f t="shared" si="92"/>
        <v>252.40654099948841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10.518153841777192</v>
      </c>
      <c r="BQ104" s="21">
        <f>EXP(-LN(2)/25)*BQ103+(1-EXP(-LN(2)/25))/(LN(2)/25)*Calculateur!BL104*Calculateur!BN104*VLOOKUP('Données projet'!$B$11,Paramètres!$A$1:$I$89,3,0)*0.475*44/12</f>
        <v>26.870335976029068</v>
      </c>
      <c r="BR104" s="21">
        <f>EXP(-LN(2)/2)*BR103+(1-EXP(-LN(2)/2))/(LN(2)/2)*BL104*BO104*VLOOKUP('Données projet'!$B$11,Paramètres!$A$1:$I$89,3,0)*0.475*44/12</f>
        <v>0.50195006521518148</v>
      </c>
      <c r="BS104" s="22">
        <f t="shared" si="63"/>
        <v>37.890439883021443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1040.2015432830319</v>
      </c>
      <c r="S105" s="59">
        <f ca="1">AVERAGE(OFFSET($R$3,0,0,'Données projet'!$E$9+1,1))-AVERAGE(OFFSET($H$3,0,0,'Données projet'!$E$9+1,1))</f>
        <v>635.71275911100679</v>
      </c>
      <c r="T105" s="59">
        <f t="shared" si="88"/>
        <v>281.7776857269169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8.9989999999999952</v>
      </c>
      <c r="AI105" s="13">
        <f>IF('Données projet'!$A$62&gt;35,AI104+AH105-AQ104,IF(A105&lt;'Données projet'!$A$62,$AF$205^A105,IF(A105='Données projet'!$A$62,'Données projet'!$B$62,AI104+AH105-AQ104)))</f>
        <v>362.40100000000007</v>
      </c>
      <c r="AJ105" s="13">
        <f>AI105*VLOOKUP('Données projet'!$B$10,Paramètres!$A$1:$I$89,3,0)*VLOOKUP('Données projet'!$B$10,Paramètres!$A$1:$I$89,5,0)</f>
        <v>390.08843640000003</v>
      </c>
      <c r="AK105" s="13">
        <f t="shared" si="89"/>
        <v>89.764322886212696</v>
      </c>
      <c r="AL105" s="20">
        <f t="shared" si="58"/>
        <v>835.74355575682057</v>
      </c>
      <c r="AM105" s="59">
        <f t="shared" si="59"/>
        <v>1129.0768890901538</v>
      </c>
      <c r="AN105" s="59">
        <f ca="1">AVERAGE(OFFSET($AM$3,0,0,'Données projet'!$E$10+1,1))-AVERAGE(OFFSET($H$3,0,0,'Données projet'!$E$10+1,1))</f>
        <v>502.65044103360322</v>
      </c>
      <c r="AO105" s="59">
        <f t="shared" si="90"/>
        <v>321.65762891855167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35.109834626602812</v>
      </c>
      <c r="AV105" s="21">
        <f>EXP(-LN(2)/25)*AV104+(1-EXP(-LN(2)/25))/(LN(2)/25)*Calculateur!AQ105*Calculateur!AS105*VLOOKUP('Données projet'!$B$10,Paramètres!$A$1:$I$89,3,0)*0.475*44/12</f>
        <v>22.981145356987213</v>
      </c>
      <c r="AW105" s="21">
        <f>EXP(-LN(2)/2)*AW104+(1-EXP(-LN(2)/2))/(LN(2)/2)*AQ105*AT105*VLOOKUP('Données projet'!$B$10,Paramètres!$A$1:$I$89,3,0)*0.475*44/12</f>
        <v>7.4167634525519341E-3</v>
      </c>
      <c r="AX105" s="21">
        <f t="shared" si="60"/>
        <v>58.098396747042578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6.7777777777777777</v>
      </c>
      <c r="BD105" s="12">
        <f>IF('Données projet'!$A$88&gt;35,BD104+BC105-BL104,IF(A105&lt;'Données projet'!$A$88,$BA$205^A105,IF(A105='Données projet'!$A$88,'Données projet'!$B$88,BD104+BC105-BL104)))</f>
        <v>257.81444444444429</v>
      </c>
      <c r="BE105" s="13">
        <f>BD105*VLOOKUP('Données projet'!$B$11,Paramètres!$A$1:$I$89,3,0)*VLOOKUP('Données projet'!$B$11,Paramètres!$A$1:$I$89,5,0)</f>
        <v>249.35813066666651</v>
      </c>
      <c r="BF105" s="13">
        <f t="shared" si="91"/>
        <v>60.44847363724665</v>
      </c>
      <c r="BG105" s="20">
        <f t="shared" si="61"/>
        <v>539.57983582931536</v>
      </c>
      <c r="BH105" s="59">
        <f t="shared" si="62"/>
        <v>832.91316916264873</v>
      </c>
      <c r="BI105" s="59">
        <f ca="1">AVERAGE(OFFSET($BH$3,0,0,'Données projet'!$E$11+1,1))-AVERAGE(OFFSET($H$3,0,0,'Données projet'!$E$11+1,1))</f>
        <v>510.71380643466227</v>
      </c>
      <c r="BJ105" s="59">
        <f t="shared" si="92"/>
        <v>252.40654099948841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10.311899260380313</v>
      </c>
      <c r="BQ105" s="21">
        <f>EXP(-LN(2)/25)*BQ104+(1-EXP(-LN(2)/25))/(LN(2)/25)*Calculateur!BL105*Calculateur!BN105*VLOOKUP('Données projet'!$B$11,Paramètres!$A$1:$I$89,3,0)*0.475*44/12</f>
        <v>26.135565225714998</v>
      </c>
      <c r="BR105" s="21">
        <f>EXP(-LN(2)/2)*BR104+(1-EXP(-LN(2)/2))/(LN(2)/2)*BL105*BO105*VLOOKUP('Données projet'!$B$11,Paramètres!$A$1:$I$89,3,0)*0.475*44/12</f>
        <v>0.35493229493068462</v>
      </c>
      <c r="BS105" s="22">
        <f t="shared" si="63"/>
        <v>36.802396781025998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1057.1927374901622</v>
      </c>
      <c r="S106" s="59">
        <f ca="1">AVERAGE(OFFSET($R$3,0,0,'Données projet'!$E$9+1,1))-AVERAGE(OFFSET($H$3,0,0,'Données projet'!$E$9+1,1))</f>
        <v>635.71275911100679</v>
      </c>
      <c r="T106" s="59">
        <f t="shared" si="88"/>
        <v>281.7776857269169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371.4</v>
      </c>
      <c r="AG106" s="12">
        <f>VLOOKUP(A106,'Données projet'!$A$61:$I$81,9,0)</f>
        <v>8.9989999999999952</v>
      </c>
      <c r="AH106" s="12">
        <f t="array" ref="AH106">INDEX(AG:AG,MIN(IF(ISNUMBER(AG106:AG302),ROW(AG106:AG302),"")))</f>
        <v>8.9989999999999952</v>
      </c>
      <c r="AI106" s="13">
        <f>IF('Données projet'!$A$62&gt;35,AI105+AH106-AQ105,IF(A106&lt;'Données projet'!$A$62,$AF$205^A106,IF(A106='Données projet'!$A$62,'Données projet'!$B$62,AI105+AH106-AQ105)))</f>
        <v>371.40000000000009</v>
      </c>
      <c r="AJ106" s="13">
        <f>AI106*VLOOKUP('Données projet'!$B$10,Paramètres!$A$1:$I$89,3,0)*VLOOKUP('Données projet'!$B$10,Paramètres!$A$1:$I$89,5,0)</f>
        <v>399.77496000000002</v>
      </c>
      <c r="AK106" s="13">
        <f t="shared" si="89"/>
        <v>91.731040320653179</v>
      </c>
      <c r="AL106" s="20">
        <f t="shared" si="58"/>
        <v>856.03961722513759</v>
      </c>
      <c r="AM106" s="59">
        <f t="shared" si="59"/>
        <v>1149.3729505584708</v>
      </c>
      <c r="AN106" s="59">
        <f ca="1">AVERAGE(OFFSET($AM$3,0,0,'Données projet'!$E$10+1,1))-AVERAGE(OFFSET($H$3,0,0,'Données projet'!$E$10+1,1))</f>
        <v>502.65044103360322</v>
      </c>
      <c r="AO106" s="59">
        <f t="shared" si="90"/>
        <v>321.65762891855167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67.759999999999991</v>
      </c>
      <c r="AR106" s="16">
        <f>IF(ISNA(VLOOKUP(A106,'Données projet'!$A$61:$I$81,5,0)),0%,VLOOKUP(A106,'Données projet'!$A$61:$I$81,5,0)*VLOOKUP('Données projet'!$B$10,Paramètres!$A$1:$I$89,7,0))</f>
        <v>0.215</v>
      </c>
      <c r="AS106" s="16">
        <f>IF(ISNA(VLOOKUP(A106,'Données projet'!$A$61:$I$81,6,0)),0%,VLOOKUP(A106,'Données projet'!$A$61:$I$81,6,0)*VLOOKUP('Données projet'!$B$10,Paramètres!$A$1:$I$89,7,0))</f>
        <v>8.6000000000000007E-2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51.75670387098468</v>
      </c>
      <c r="AV106" s="21">
        <f>EXP(-LN(2)/25)*AV105+(1-EXP(-LN(2)/25))/(LN(2)/25)*Calculateur!AQ106*Calculateur!AS106*VLOOKUP('Données projet'!$B$10,Paramètres!$A$1:$I$89,3,0)*0.475*44/12</f>
        <v>29.259563049333803</v>
      </c>
      <c r="AW106" s="21">
        <f>EXP(-LN(2)/2)*AW105+(1-EXP(-LN(2)/2))/(LN(2)/2)*AQ106*AT106*VLOOKUP('Données projet'!$B$10,Paramètres!$A$1:$I$89,3,0)*0.475*44/12</f>
        <v>5.2444437317560235E-3</v>
      </c>
      <c r="AX106" s="21">
        <f t="shared" si="60"/>
        <v>81.021511364050241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6.7777777777777777</v>
      </c>
      <c r="BD106" s="12">
        <f>IF('Données projet'!$A$88&gt;35,BD105+BC106-BL105,IF(A106&lt;'Données projet'!$A$88,$BA$205^A106,IF(A106='Données projet'!$A$88,'Données projet'!$B$88,BD105+BC106-BL105)))</f>
        <v>264.59222222222206</v>
      </c>
      <c r="BE106" s="13">
        <f>BD106*VLOOKUP('Données projet'!$B$11,Paramètres!$A$1:$I$89,3,0)*VLOOKUP('Données projet'!$B$11,Paramètres!$A$1:$I$89,5,0)</f>
        <v>255.91359733333317</v>
      </c>
      <c r="BF106" s="13">
        <f t="shared" si="91"/>
        <v>61.850520566504819</v>
      </c>
      <c r="BG106" s="20">
        <f t="shared" si="61"/>
        <v>553.43917200888438</v>
      </c>
      <c r="BH106" s="59">
        <f t="shared" si="62"/>
        <v>846.77250534221776</v>
      </c>
      <c r="BI106" s="59">
        <f ca="1">AVERAGE(OFFSET($BH$3,0,0,'Données projet'!$E$11+1,1))-AVERAGE(OFFSET($H$3,0,0,'Données projet'!$E$11+1,1))</f>
        <v>510.71380643466227</v>
      </c>
      <c r="BJ106" s="59">
        <f t="shared" si="92"/>
        <v>252.40654099948841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10.109689205521754</v>
      </c>
      <c r="BQ106" s="21">
        <f>EXP(-LN(2)/25)*BQ105+(1-EXP(-LN(2)/25))/(LN(2)/25)*Calculateur!BL106*Calculateur!BN106*VLOOKUP('Données projet'!$B$11,Paramètres!$A$1:$I$89,3,0)*0.475*44/12</f>
        <v>25.420886820208182</v>
      </c>
      <c r="BR106" s="21">
        <f>EXP(-LN(2)/2)*BR105+(1-EXP(-LN(2)/2))/(LN(2)/2)*BL106*BO106*VLOOKUP('Données projet'!$B$11,Paramètres!$A$1:$I$89,3,0)*0.475*44/12</f>
        <v>0.2509750326075908</v>
      </c>
      <c r="BS106" s="22">
        <f t="shared" si="63"/>
        <v>35.781551058337527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1074.176266008609</v>
      </c>
      <c r="S107" s="59">
        <f ca="1">AVERAGE(OFFSET($R$3,0,0,'Données projet'!$E$9+1,1))-AVERAGE(OFFSET($H$3,0,0,'Données projet'!$E$9+1,1))</f>
        <v>635.71275911100679</v>
      </c>
      <c r="T107" s="59">
        <f t="shared" si="88"/>
        <v>281.7776857269169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8.7540000000000013</v>
      </c>
      <c r="AI107" s="13">
        <f>IF('Données projet'!$A$62&gt;35,AI106+AH107-AQ106,IF(A107&lt;'Données projet'!$A$62,$AF$205^A107,IF(A107='Données projet'!$A$62,'Données projet'!$B$62,AI106+AH107-AQ106)))</f>
        <v>312.39400000000012</v>
      </c>
      <c r="AJ107" s="13">
        <f>AI107*VLOOKUP('Données projet'!$B$10,Paramètres!$A$1:$I$89,3,0)*VLOOKUP('Données projet'!$B$10,Paramètres!$A$1:$I$89,5,0)</f>
        <v>336.26090160000012</v>
      </c>
      <c r="AK107" s="13">
        <f t="shared" si="89"/>
        <v>78.726928534467632</v>
      </c>
      <c r="AL107" s="20">
        <f t="shared" si="58"/>
        <v>722.77047081753142</v>
      </c>
      <c r="AM107" s="59">
        <f t="shared" si="59"/>
        <v>1016.1038041508648</v>
      </c>
      <c r="AN107" s="59">
        <f ca="1">AVERAGE(OFFSET($AM$3,0,0,'Données projet'!$E$10+1,1))-AVERAGE(OFFSET($H$3,0,0,'Données projet'!$E$10+1,1))</f>
        <v>502.65044103360322</v>
      </c>
      <c r="AO107" s="59">
        <f t="shared" si="90"/>
        <v>321.65762891855167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50.741786476546906</v>
      </c>
      <c r="AV107" s="21">
        <f>EXP(-LN(2)/25)*AV106+(1-EXP(-LN(2)/25))/(LN(2)/25)*Calculateur!AQ107*Calculateur!AS107*VLOOKUP('Données projet'!$B$10,Paramètres!$A$1:$I$89,3,0)*0.475*44/12</f>
        <v>28.459458759056222</v>
      </c>
      <c r="AW107" s="21">
        <f>EXP(-LN(2)/2)*AW106+(1-EXP(-LN(2)/2))/(LN(2)/2)*AQ107*AT107*VLOOKUP('Données projet'!$B$10,Paramètres!$A$1:$I$89,3,0)*0.475*44/12</f>
        <v>3.7083817262759675E-3</v>
      </c>
      <c r="AX107" s="21">
        <f t="shared" si="60"/>
        <v>79.204953617329394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271.37</v>
      </c>
      <c r="BB107" s="12">
        <f>VLOOKUP(A107,'Données projet'!$A$87:$I$107,9,0)</f>
        <v>6.7777777777777777</v>
      </c>
      <c r="BC107" s="12">
        <f t="array" ref="BC107">INDEX(BB:BB,MIN(IF(ISNUMBER(BB107:BB303),ROW(BB107:BB303),"")))</f>
        <v>6.7777777777777777</v>
      </c>
      <c r="BD107" s="12">
        <f>IF('Données projet'!$A$88&gt;35,BD106+BC107-BL106,IF(A107&lt;'Données projet'!$A$88,$BA$205^A107,IF(A107='Données projet'!$A$88,'Données projet'!$B$88,BD106+BC107-BL106)))</f>
        <v>271.36999999999983</v>
      </c>
      <c r="BE107" s="13">
        <f>BD107*VLOOKUP('Données projet'!$B$11,Paramètres!$A$1:$I$89,3,0)*VLOOKUP('Données projet'!$B$11,Paramètres!$A$1:$I$89,5,0)</f>
        <v>262.46906399999983</v>
      </c>
      <c r="BF107" s="13">
        <f t="shared" si="91"/>
        <v>63.248392763074122</v>
      </c>
      <c r="BG107" s="20">
        <f t="shared" si="61"/>
        <v>567.29123719568713</v>
      </c>
      <c r="BH107" s="59">
        <f t="shared" si="62"/>
        <v>860.6245705290205</v>
      </c>
      <c r="BI107" s="59">
        <f ca="1">AVERAGE(OFFSET($BH$3,0,0,'Données projet'!$E$11+1,1))-AVERAGE(OFFSET($H$3,0,0,'Données projet'!$E$11+1,1))</f>
        <v>510.71380643466227</v>
      </c>
      <c r="BJ107" s="59">
        <f t="shared" si="92"/>
        <v>252.40654099948841</v>
      </c>
      <c r="BK107" s="15">
        <f>IF(ISNA(VLOOKUP(A107,'Données projet'!$A$87:$I$107,3,0)),0,VLOOKUP(A107,'Données projet'!$A$87:$I$107,3,0))</f>
        <v>6</v>
      </c>
      <c r="BL107" s="15">
        <f>IF(ISNA(VLOOKUP(A107,'Données projet'!$A$87:$I$107,4,0)),0,VLOOKUP(A107,'Données projet'!$A$87:$I$107,4,0))</f>
        <v>39.400000000000006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16.251544543147411</v>
      </c>
      <c r="BQ107" s="21">
        <f>EXP(-LN(2)/25)*BQ106+(1-EXP(-LN(2)/25))/(LN(2)/25)*Calculateur!BL107*Calculateur!BN107*VLOOKUP('Données projet'!$B$11,Paramètres!$A$1:$I$89,3,0)*0.475*44/12</f>
        <v>28.334400925558327</v>
      </c>
      <c r="BR107" s="21">
        <f>EXP(-LN(2)/2)*BR106+(1-EXP(-LN(2)/2))/(LN(2)/2)*BL107*BO107*VLOOKUP('Données projet'!$B$11,Paramètres!$A$1:$I$89,3,0)*0.475*44/12</f>
        <v>3.7730283207822897</v>
      </c>
      <c r="BS107" s="22">
        <f t="shared" si="63"/>
        <v>48.358973789488026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965.31308488743571</v>
      </c>
      <c r="S108" s="59">
        <f ca="1">AVERAGE(OFFSET($R$3,0,0,'Données projet'!$E$9+1,1))-AVERAGE(OFFSET($H$3,0,0,'Données projet'!$E$9+1,1))</f>
        <v>635.71275911100679</v>
      </c>
      <c r="T108" s="59">
        <f t="shared" si="88"/>
        <v>281.7776857269169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8.7540000000000013</v>
      </c>
      <c r="AI108" s="13">
        <f>IF('Données projet'!$A$62&gt;35,AI107+AH108-AQ107,IF(A108&lt;'Données projet'!$A$62,$AF$205^A108,IF(A108='Données projet'!$A$62,'Données projet'!$B$62,AI107+AH108-AQ107)))</f>
        <v>321.14800000000014</v>
      </c>
      <c r="AJ108" s="13">
        <f>AI108*VLOOKUP('Données projet'!$B$10,Paramètres!$A$1:$I$89,3,0)*VLOOKUP('Données projet'!$B$10,Paramètres!$A$1:$I$89,5,0)</f>
        <v>345.68370720000013</v>
      </c>
      <c r="AK108" s="13">
        <f t="shared" si="89"/>
        <v>80.673100873364589</v>
      </c>
      <c r="AL108" s="20">
        <f t="shared" si="58"/>
        <v>742.57144072777692</v>
      </c>
      <c r="AM108" s="59">
        <f t="shared" si="59"/>
        <v>1035.9047740611102</v>
      </c>
      <c r="AN108" s="59">
        <f ca="1">AVERAGE(OFFSET($AM$3,0,0,'Données projet'!$E$10+1,1))-AVERAGE(OFFSET($H$3,0,0,'Données projet'!$E$10+1,1))</f>
        <v>502.65044103360322</v>
      </c>
      <c r="AO108" s="59">
        <f t="shared" si="90"/>
        <v>321.65762891855167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49.746770993175566</v>
      </c>
      <c r="AV108" s="21">
        <f>EXP(-LN(2)/25)*AV107+(1-EXP(-LN(2)/25))/(LN(2)/25)*Calculateur!AQ108*Calculateur!AS108*VLOOKUP('Données projet'!$B$10,Paramètres!$A$1:$I$89,3,0)*0.475*44/12</f>
        <v>27.681233362671939</v>
      </c>
      <c r="AW108" s="21">
        <f>EXP(-LN(2)/2)*AW107+(1-EXP(-LN(2)/2))/(LN(2)/2)*AQ108*AT108*VLOOKUP('Données projet'!$B$10,Paramètres!$A$1:$I$89,3,0)*0.475*44/12</f>
        <v>2.6222218658780122E-3</v>
      </c>
      <c r="AX108" s="21">
        <f t="shared" si="60"/>
        <v>77.430626577713383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6.8811111111111085</v>
      </c>
      <c r="BD108" s="12">
        <f>IF('Données projet'!$A$88&gt;35,BD107+BC108-BL107,IF(A108&lt;'Données projet'!$A$88,$BA$205^A108,IF(A108='Données projet'!$A$88,'Données projet'!$B$88,BD107+BC108-BL107)))</f>
        <v>238.85111111111095</v>
      </c>
      <c r="BE108" s="13">
        <f>BD108*VLOOKUP('Données projet'!$B$11,Paramètres!$A$1:$I$89,3,0)*VLOOKUP('Données projet'!$B$11,Paramètres!$A$1:$I$89,5,0)</f>
        <v>231.0167946666665</v>
      </c>
      <c r="BF108" s="13">
        <f t="shared" si="91"/>
        <v>56.50247983642894</v>
      </c>
      <c r="BG108" s="20">
        <f t="shared" si="61"/>
        <v>500.76273642622454</v>
      </c>
      <c r="BH108" s="59">
        <f t="shared" si="62"/>
        <v>794.09606975955785</v>
      </c>
      <c r="BI108" s="59">
        <f ca="1">AVERAGE(OFFSET($BH$3,0,0,'Données projet'!$E$11+1,1))-AVERAGE(OFFSET($H$3,0,0,'Données projet'!$E$11+1,1))</f>
        <v>510.71380643466227</v>
      </c>
      <c r="BJ108" s="59">
        <f t="shared" si="92"/>
        <v>252.40654099948841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15.932861667119687</v>
      </c>
      <c r="BQ108" s="21">
        <f>EXP(-LN(2)/25)*BQ107+(1-EXP(-LN(2)/25))/(LN(2)/25)*Calculateur!BL108*Calculateur!BN108*VLOOKUP('Données projet'!$B$11,Paramètres!$A$1:$I$89,3,0)*0.475*44/12</f>
        <v>27.55959524220755</v>
      </c>
      <c r="BR108" s="21">
        <f>EXP(-LN(2)/2)*BR107+(1-EXP(-LN(2)/2))/(LN(2)/2)*BL108*BO108*VLOOKUP('Données projet'!$B$11,Paramètres!$A$1:$I$89,3,0)*0.475*44/12</f>
        <v>2.6679339112340497</v>
      </c>
      <c r="BS108" s="22">
        <f t="shared" si="63"/>
        <v>46.16039082056129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982.15587342047434</v>
      </c>
      <c r="S109" s="59">
        <f ca="1">AVERAGE(OFFSET($R$3,0,0,'Données projet'!$E$9+1,1))-AVERAGE(OFFSET($H$3,0,0,'Données projet'!$E$9+1,1))</f>
        <v>635.71275911100679</v>
      </c>
      <c r="T109" s="59">
        <f t="shared" si="88"/>
        <v>281.7776857269169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8.7540000000000013</v>
      </c>
      <c r="AI109" s="13">
        <f>IF('Données projet'!$A$62&gt;35,AI108+AH109-AQ108,IF(A109&lt;'Données projet'!$A$62,$AF$205^A109,IF(A109='Données projet'!$A$62,'Données projet'!$B$62,AI108+AH109-AQ108)))</f>
        <v>329.90200000000016</v>
      </c>
      <c r="AJ109" s="13">
        <f>AI109*VLOOKUP('Données projet'!$B$10,Paramètres!$A$1:$I$89,3,0)*VLOOKUP('Données projet'!$B$10,Paramètres!$A$1:$I$89,5,0)</f>
        <v>355.10651280000019</v>
      </c>
      <c r="AK109" s="13">
        <f t="shared" si="89"/>
        <v>82.613107210689279</v>
      </c>
      <c r="AL109" s="20">
        <f t="shared" si="58"/>
        <v>762.36167151861753</v>
      </c>
      <c r="AM109" s="59">
        <f t="shared" si="59"/>
        <v>1055.6950048519509</v>
      </c>
      <c r="AN109" s="59">
        <f ca="1">AVERAGE(OFFSET($AM$3,0,0,'Données projet'!$E$10+1,1))-AVERAGE(OFFSET($H$3,0,0,'Données projet'!$E$10+1,1))</f>
        <v>502.65044103360322</v>
      </c>
      <c r="AO109" s="59">
        <f t="shared" si="90"/>
        <v>321.65762891855167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48.771267156533625</v>
      </c>
      <c r="AV109" s="21">
        <f>EXP(-LN(2)/25)*AV108+(1-EXP(-LN(2)/25))/(LN(2)/25)*Calculateur!AQ109*Calculateur!AS109*VLOOKUP('Données projet'!$B$10,Paramètres!$A$1:$I$89,3,0)*0.475*44/12</f>
        <v>26.92428858067688</v>
      </c>
      <c r="AW109" s="21">
        <f>EXP(-LN(2)/2)*AW108+(1-EXP(-LN(2)/2))/(LN(2)/2)*AQ109*AT109*VLOOKUP('Données projet'!$B$10,Paramètres!$A$1:$I$89,3,0)*0.475*44/12</f>
        <v>1.854190863137984E-3</v>
      </c>
      <c r="AX109" s="21">
        <f t="shared" si="60"/>
        <v>75.69740992807364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6.8811111111111085</v>
      </c>
      <c r="BD109" s="12">
        <f>IF('Données projet'!$A$88&gt;35,BD108+BC109-BL108,IF(A109&lt;'Données projet'!$A$88,$BA$205^A109,IF(A109='Données projet'!$A$88,'Données projet'!$B$88,BD108+BC109-BL108)))</f>
        <v>245.73222222222205</v>
      </c>
      <c r="BE109" s="13">
        <f>BD109*VLOOKUP('Données projet'!$B$11,Paramètres!$A$1:$I$89,3,0)*VLOOKUP('Données projet'!$B$11,Paramètres!$A$1:$I$89,5,0)</f>
        <v>237.67220533333315</v>
      </c>
      <c r="BF109" s="13">
        <f t="shared" si="91"/>
        <v>57.938410377158242</v>
      </c>
      <c r="BG109" s="20">
        <f t="shared" si="61"/>
        <v>514.8551556957724</v>
      </c>
      <c r="BH109" s="59">
        <f t="shared" si="62"/>
        <v>808.18848902910577</v>
      </c>
      <c r="BI109" s="59">
        <f ca="1">AVERAGE(OFFSET($BH$3,0,0,'Données projet'!$E$11+1,1))-AVERAGE(OFFSET($H$3,0,0,'Données projet'!$E$11+1,1))</f>
        <v>510.71380643466227</v>
      </c>
      <c r="BJ109" s="59">
        <f t="shared" si="92"/>
        <v>252.40654099948841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15.620427967913505</v>
      </c>
      <c r="BQ109" s="21">
        <f>EXP(-LN(2)/25)*BQ108+(1-EXP(-LN(2)/25))/(LN(2)/25)*Calculateur!BL109*Calculateur!BN109*VLOOKUP('Données projet'!$B$11,Paramètres!$A$1:$I$89,3,0)*0.475*44/12</f>
        <v>26.805976661013258</v>
      </c>
      <c r="BR109" s="21">
        <f>EXP(-LN(2)/2)*BR108+(1-EXP(-LN(2)/2))/(LN(2)/2)*BL109*BO109*VLOOKUP('Données projet'!$B$11,Paramètres!$A$1:$I$89,3,0)*0.475*44/12</f>
        <v>1.8865141603911453</v>
      </c>
      <c r="BS109" s="22">
        <f t="shared" si="63"/>
        <v>44.312918789317905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998.9902217765482</v>
      </c>
      <c r="S110" s="59">
        <f ca="1">AVERAGE(OFFSET($R$3,0,0,'Données projet'!$E$9+1,1))-AVERAGE(OFFSET($H$3,0,0,'Données projet'!$E$9+1,1))</f>
        <v>635.71275911100679</v>
      </c>
      <c r="T110" s="59">
        <f t="shared" si="88"/>
        <v>281.7776857269169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8.7540000000000013</v>
      </c>
      <c r="AI110" s="13">
        <f>IF('Données projet'!$A$62&gt;35,AI109+AH110-AQ109,IF(A110&lt;'Données projet'!$A$62,$AF$205^A110,IF(A110='Données projet'!$A$62,'Données projet'!$B$62,AI109+AH110-AQ109)))</f>
        <v>338.65600000000018</v>
      </c>
      <c r="AJ110" s="13">
        <f>AI110*VLOOKUP('Données projet'!$B$10,Paramètres!$A$1:$I$89,3,0)*VLOOKUP('Données projet'!$B$10,Paramètres!$A$1:$I$89,5,0)</f>
        <v>364.52931840000019</v>
      </c>
      <c r="AK110" s="13">
        <f t="shared" si="89"/>
        <v>84.54712996865311</v>
      </c>
      <c r="AL110" s="20">
        <f t="shared" si="58"/>
        <v>782.14148090873778</v>
      </c>
      <c r="AM110" s="59">
        <f t="shared" si="59"/>
        <v>1075.474814242071</v>
      </c>
      <c r="AN110" s="59">
        <f ca="1">AVERAGE(OFFSET($AM$3,0,0,'Données projet'!$E$10+1,1))-AVERAGE(OFFSET($H$3,0,0,'Données projet'!$E$10+1,1))</f>
        <v>502.65044103360322</v>
      </c>
      <c r="AO110" s="59">
        <f t="shared" si="90"/>
        <v>321.65762891855167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47.814892355129643</v>
      </c>
      <c r="AV110" s="21">
        <f>EXP(-LN(2)/25)*AV109+(1-EXP(-LN(2)/25))/(LN(2)/25)*Calculateur!AQ110*Calculateur!AS110*VLOOKUP('Données projet'!$B$10,Paramètres!$A$1:$I$89,3,0)*0.475*44/12</f>
        <v>26.188042493551471</v>
      </c>
      <c r="AW110" s="21">
        <f>EXP(-LN(2)/2)*AW109+(1-EXP(-LN(2)/2))/(LN(2)/2)*AQ110*AT110*VLOOKUP('Données projet'!$B$10,Paramètres!$A$1:$I$89,3,0)*0.475*44/12</f>
        <v>1.3111109329390063E-3</v>
      </c>
      <c r="AX110" s="21">
        <f t="shared" si="60"/>
        <v>74.004245959614067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6.8811111111111085</v>
      </c>
      <c r="BD110" s="12">
        <f>IF('Données projet'!$A$88&gt;35,BD109+BC110-BL109,IF(A110&lt;'Données projet'!$A$88,$BA$205^A110,IF(A110='Données projet'!$A$88,'Données projet'!$B$88,BD109+BC110-BL109)))</f>
        <v>252.61333333333314</v>
      </c>
      <c r="BE110" s="13">
        <f>BD110*VLOOKUP('Données projet'!$B$11,Paramètres!$A$1:$I$89,3,0)*VLOOKUP('Données projet'!$B$11,Paramètres!$A$1:$I$89,5,0)</f>
        <v>244.32761599999981</v>
      </c>
      <c r="BF110" s="13">
        <f t="shared" si="91"/>
        <v>59.369667493101296</v>
      </c>
      <c r="BG110" s="20">
        <f t="shared" si="61"/>
        <v>528.93943541715112</v>
      </c>
      <c r="BH110" s="59">
        <f t="shared" si="62"/>
        <v>822.27276875048437</v>
      </c>
      <c r="BI110" s="59">
        <f ca="1">AVERAGE(OFFSET($BH$3,0,0,'Données projet'!$E$11+1,1))-AVERAGE(OFFSET($H$3,0,0,'Données projet'!$E$11+1,1))</f>
        <v>510.71380643466227</v>
      </c>
      <c r="BJ110" s="59">
        <f t="shared" si="92"/>
        <v>252.40654099948841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15.314120902983017</v>
      </c>
      <c r="BQ110" s="21">
        <f>EXP(-LN(2)/25)*BQ109+(1-EXP(-LN(2)/25))/(LN(2)/25)*Calculateur!BL110*Calculateur!BN110*VLOOKUP('Données projet'!$B$11,Paramètres!$A$1:$I$89,3,0)*0.475*44/12</f>
        <v>26.072965819552802</v>
      </c>
      <c r="BR110" s="21">
        <f>EXP(-LN(2)/2)*BR109+(1-EXP(-LN(2)/2))/(LN(2)/2)*BL110*BO110*VLOOKUP('Données projet'!$B$11,Paramètres!$A$1:$I$89,3,0)*0.475*44/12</f>
        <v>1.3339669556170251</v>
      </c>
      <c r="BS110" s="22">
        <f t="shared" si="63"/>
        <v>42.721053678152842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1015.8163594956043</v>
      </c>
      <c r="S111" s="59">
        <f ca="1">AVERAGE(OFFSET($R$3,0,0,'Données projet'!$E$9+1,1))-AVERAGE(OFFSET($H$3,0,0,'Données projet'!$E$9+1,1))</f>
        <v>635.71275911100679</v>
      </c>
      <c r="T111" s="59">
        <f t="shared" si="88"/>
        <v>281.7776857269169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8.7540000000000013</v>
      </c>
      <c r="AI111" s="13">
        <f>IF('Données projet'!$A$62&gt;35,AI110+AH111-AQ110,IF(A111&lt;'Données projet'!$A$62,$AF$205^A111,IF(A111='Données projet'!$A$62,'Données projet'!$B$62,AI110+AH111-AQ110)))</f>
        <v>347.4100000000002</v>
      </c>
      <c r="AJ111" s="13">
        <f>AI111*VLOOKUP('Données projet'!$B$10,Paramètres!$A$1:$I$89,3,0)*VLOOKUP('Données projet'!$B$10,Paramètres!$A$1:$I$89,5,0)</f>
        <v>373.9521240000002</v>
      </c>
      <c r="AK111" s="13">
        <f t="shared" si="89"/>
        <v>86.475341601284939</v>
      </c>
      <c r="AL111" s="20">
        <f t="shared" si="58"/>
        <v>801.91116925557162</v>
      </c>
      <c r="AM111" s="59">
        <f t="shared" si="59"/>
        <v>1095.2445025889049</v>
      </c>
      <c r="AN111" s="59">
        <f ca="1">AVERAGE(OFFSET($AM$3,0,0,'Données projet'!$E$10+1,1))-AVERAGE(OFFSET($H$3,0,0,'Données projet'!$E$10+1,1))</f>
        <v>502.65044103360322</v>
      </c>
      <c r="AO111" s="59">
        <f t="shared" si="90"/>
        <v>321.65762891855167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46.877271480250158</v>
      </c>
      <c r="AV111" s="21">
        <f>EXP(-LN(2)/25)*AV110+(1-EXP(-LN(2)/25))/(LN(2)/25)*Calculateur!AQ111*Calculateur!AS111*VLOOKUP('Données projet'!$B$10,Paramètres!$A$1:$I$89,3,0)*0.475*44/12</f>
        <v>25.471929094396003</v>
      </c>
      <c r="AW111" s="21">
        <f>EXP(-LN(2)/2)*AW110+(1-EXP(-LN(2)/2))/(LN(2)/2)*AQ111*AT111*VLOOKUP('Données projet'!$B$10,Paramètres!$A$1:$I$89,3,0)*0.475*44/12</f>
        <v>9.270954315689922E-4</v>
      </c>
      <c r="AX111" s="21">
        <f t="shared" si="60"/>
        <v>72.350127670077725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6.8811111111111085</v>
      </c>
      <c r="BD111" s="12">
        <f>IF('Données projet'!$A$88&gt;35,BD110+BC111-BL110,IF(A111&lt;'Données projet'!$A$88,$BA$205^A111,IF(A111='Données projet'!$A$88,'Données projet'!$B$88,BD110+BC111-BL110)))</f>
        <v>259.49444444444424</v>
      </c>
      <c r="BE111" s="13">
        <f>BD111*VLOOKUP('Données projet'!$B$11,Paramètres!$A$1:$I$89,3,0)*VLOOKUP('Données projet'!$B$11,Paramètres!$A$1:$I$89,5,0)</f>
        <v>250.98302666666646</v>
      </c>
      <c r="BF111" s="13">
        <f t="shared" si="91"/>
        <v>60.796393115447323</v>
      </c>
      <c r="BG111" s="20">
        <f t="shared" si="61"/>
        <v>543.01582278718149</v>
      </c>
      <c r="BH111" s="59">
        <f t="shared" si="62"/>
        <v>836.34915612051486</v>
      </c>
      <c r="BI111" s="59">
        <f ca="1">AVERAGE(OFFSET($BH$3,0,0,'Données projet'!$E$11+1,1))-AVERAGE(OFFSET($H$3,0,0,'Données projet'!$E$11+1,1))</f>
        <v>510.71380643466227</v>
      </c>
      <c r="BJ111" s="59">
        <f t="shared" si="92"/>
        <v>252.40654099948841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15.013820332766954</v>
      </c>
      <c r="BQ111" s="21">
        <f>EXP(-LN(2)/25)*BQ110+(1-EXP(-LN(2)/25))/(LN(2)/25)*Calculateur!BL111*Calculateur!BN111*VLOOKUP('Données projet'!$B$11,Paramètres!$A$1:$I$89,3,0)*0.475*44/12</f>
        <v>25.359999198099448</v>
      </c>
      <c r="BR111" s="21">
        <f>EXP(-LN(2)/2)*BR110+(1-EXP(-LN(2)/2))/(LN(2)/2)*BL111*BO111*VLOOKUP('Données projet'!$B$11,Paramètres!$A$1:$I$89,3,0)*0.475*44/12</f>
        <v>0.94325708019557275</v>
      </c>
      <c r="BS111" s="22">
        <f t="shared" si="63"/>
        <v>41.317076611061971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1032.6345045636874</v>
      </c>
      <c r="S112" s="59">
        <f ca="1">AVERAGE(OFFSET($R$3,0,0,'Données projet'!$E$9+1,1))-AVERAGE(OFFSET($H$3,0,0,'Données projet'!$E$9+1,1))</f>
        <v>635.71275911100679</v>
      </c>
      <c r="T112" s="59">
        <f t="shared" si="88"/>
        <v>281.7776857269169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8.7540000000000013</v>
      </c>
      <c r="AI112" s="13">
        <f>IF('Données projet'!$A$62&gt;35,AI111+AH112-AQ111,IF(A112&lt;'Données projet'!$A$62,$AF$205^A112,IF(A112='Données projet'!$A$62,'Données projet'!$B$62,AI111+AH112-AQ111)))</f>
        <v>356.16400000000021</v>
      </c>
      <c r="AJ112" s="13">
        <f>AI112*VLOOKUP('Données projet'!$B$10,Paramètres!$A$1:$I$89,3,0)*VLOOKUP('Données projet'!$B$10,Paramètres!$A$1:$I$89,5,0)</f>
        <v>383.3749296000002</v>
      </c>
      <c r="AK112" s="13">
        <f t="shared" si="89"/>
        <v>88.397905376386277</v>
      </c>
      <c r="AL112" s="20">
        <f t="shared" si="58"/>
        <v>821.67102091720653</v>
      </c>
      <c r="AM112" s="59">
        <f t="shared" si="59"/>
        <v>1115.0043542505398</v>
      </c>
      <c r="AN112" s="59">
        <f ca="1">AVERAGE(OFFSET($AM$3,0,0,'Données projet'!$E$10+1,1))-AVERAGE(OFFSET($H$3,0,0,'Données projet'!$E$10+1,1))</f>
        <v>502.65044103360322</v>
      </c>
      <c r="AO112" s="59">
        <f t="shared" si="90"/>
        <v>321.65762891855167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45.958036778834803</v>
      </c>
      <c r="AV112" s="21">
        <f>EXP(-LN(2)/25)*AV111+(1-EXP(-LN(2)/25))/(LN(2)/25)*Calculateur!AQ112*Calculateur!AS112*VLOOKUP('Données projet'!$B$10,Paramètres!$A$1:$I$89,3,0)*0.475*44/12</f>
        <v>24.775397853799209</v>
      </c>
      <c r="AW112" s="21">
        <f>EXP(-LN(2)/2)*AW111+(1-EXP(-LN(2)/2))/(LN(2)/2)*AQ112*AT112*VLOOKUP('Données projet'!$B$10,Paramètres!$A$1:$I$89,3,0)*0.475*44/12</f>
        <v>6.5555546646950326E-4</v>
      </c>
      <c r="AX112" s="21">
        <f t="shared" si="60"/>
        <v>70.734090188100481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6.8811111111111085</v>
      </c>
      <c r="BD112" s="12">
        <f>IF('Données projet'!$A$88&gt;35,BD111+BC112-BL111,IF(A112&lt;'Données projet'!$A$88,$BA$205^A112,IF(A112='Données projet'!$A$88,'Données projet'!$B$88,BD111+BC112-BL111)))</f>
        <v>266.37555555555537</v>
      </c>
      <c r="BE112" s="13">
        <f>BD112*VLOOKUP('Données projet'!$B$11,Paramètres!$A$1:$I$89,3,0)*VLOOKUP('Données projet'!$B$11,Paramètres!$A$1:$I$89,5,0)</f>
        <v>257.63843733333317</v>
      </c>
      <c r="BF112" s="13">
        <f t="shared" si="91"/>
        <v>62.218721219477693</v>
      </c>
      <c r="BG112" s="20">
        <f t="shared" si="61"/>
        <v>557.0845511461456</v>
      </c>
      <c r="BH112" s="59">
        <f t="shared" si="62"/>
        <v>850.41788447947897</v>
      </c>
      <c r="BI112" s="59">
        <f ca="1">AVERAGE(OFFSET($BH$3,0,0,'Données projet'!$E$11+1,1))-AVERAGE(OFFSET($H$3,0,0,'Données projet'!$E$11+1,1))</f>
        <v>510.71380643466227</v>
      </c>
      <c r="BJ112" s="59">
        <f t="shared" si="92"/>
        <v>252.40654099948841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14.719408473567567</v>
      </c>
      <c r="BQ112" s="21">
        <f>EXP(-LN(2)/25)*BQ111+(1-EXP(-LN(2)/25))/(LN(2)/25)*Calculateur!BL112*Calculateur!BN112*VLOOKUP('Données projet'!$B$11,Paramètres!$A$1:$I$89,3,0)*0.475*44/12</f>
        <v>24.666528686403023</v>
      </c>
      <c r="BR112" s="21">
        <f>EXP(-LN(2)/2)*BR111+(1-EXP(-LN(2)/2))/(LN(2)/2)*BL112*BO112*VLOOKUP('Données projet'!$B$11,Paramètres!$A$1:$I$89,3,0)*0.475*44/12</f>
        <v>0.66698347780851264</v>
      </c>
      <c r="BS112" s="22">
        <f t="shared" si="63"/>
        <v>40.052920637779103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1049.444864249476</v>
      </c>
      <c r="S113" s="59">
        <f ca="1">AVERAGE(OFFSET($R$3,0,0,'Données projet'!$E$9+1,1))-AVERAGE(OFFSET($H$3,0,0,'Données projet'!$E$9+1,1))</f>
        <v>635.71275911100679</v>
      </c>
      <c r="T113" s="59">
        <f t="shared" si="88"/>
        <v>281.7776857269169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8.7540000000000013</v>
      </c>
      <c r="AI113" s="13">
        <f>IF('Données projet'!$A$62&gt;35,AI112+AH113-AQ112,IF(A113&lt;'Données projet'!$A$62,$AF$205^A113,IF(A113='Données projet'!$A$62,'Données projet'!$B$62,AI112+AH113-AQ112)))</f>
        <v>364.91800000000023</v>
      </c>
      <c r="AJ113" s="13">
        <f>AI113*VLOOKUP('Données projet'!$B$10,Paramètres!$A$1:$I$89,3,0)*VLOOKUP('Données projet'!$B$10,Paramètres!$A$1:$I$89,5,0)</f>
        <v>392.7977352000002</v>
      </c>
      <c r="AK113" s="13">
        <f t="shared" si="89"/>
        <v>90.314976078445369</v>
      </c>
      <c r="AL113" s="20">
        <f t="shared" si="58"/>
        <v>841.42130547662589</v>
      </c>
      <c r="AM113" s="59">
        <f t="shared" si="59"/>
        <v>1134.7546388099593</v>
      </c>
      <c r="AN113" s="59">
        <f ca="1">AVERAGE(OFFSET($AM$3,0,0,'Données projet'!$E$10+1,1))-AVERAGE(OFFSET($H$3,0,0,'Données projet'!$E$10+1,1))</f>
        <v>502.65044103360322</v>
      </c>
      <c r="AO113" s="59">
        <f t="shared" si="90"/>
        <v>321.65762891855167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45.056827709236394</v>
      </c>
      <c r="AV113" s="21">
        <f>EXP(-LN(2)/25)*AV112+(1-EXP(-LN(2)/25))/(LN(2)/25)*Calculateur!AQ113*Calculateur!AS113*VLOOKUP('Données projet'!$B$10,Paramètres!$A$1:$I$89,3,0)*0.475*44/12</f>
        <v>24.097913296605523</v>
      </c>
      <c r="AW113" s="21">
        <f>EXP(-LN(2)/2)*AW112+(1-EXP(-LN(2)/2))/(LN(2)/2)*AQ113*AT113*VLOOKUP('Données projet'!$B$10,Paramètres!$A$1:$I$89,3,0)*0.475*44/12</f>
        <v>4.6354771578449615E-4</v>
      </c>
      <c r="AX113" s="21">
        <f t="shared" si="60"/>
        <v>69.155204553557695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6.8811111111111085</v>
      </c>
      <c r="BD113" s="12">
        <f>IF('Données projet'!$A$88&gt;35,BD112+BC113-BL112,IF(A113&lt;'Données projet'!$A$88,$BA$205^A113,IF(A113='Données projet'!$A$88,'Données projet'!$B$88,BD112+BC113-BL112)))</f>
        <v>273.25666666666649</v>
      </c>
      <c r="BE113" s="13">
        <f>BD113*VLOOKUP('Données projet'!$B$11,Paramètres!$A$1:$I$89,3,0)*VLOOKUP('Données projet'!$B$11,Paramètres!$A$1:$I$89,5,0)</f>
        <v>264.29384799999985</v>
      </c>
      <c r="BF113" s="13">
        <f t="shared" si="91"/>
        <v>63.636778464374139</v>
      </c>
      <c r="BG113" s="20">
        <f t="shared" si="61"/>
        <v>571.14584109211796</v>
      </c>
      <c r="BH113" s="59">
        <f t="shared" si="62"/>
        <v>864.47917442545122</v>
      </c>
      <c r="BI113" s="59">
        <f ca="1">AVERAGE(OFFSET($BH$3,0,0,'Données projet'!$E$11+1,1))-AVERAGE(OFFSET($H$3,0,0,'Données projet'!$E$11+1,1))</f>
        <v>510.71380643466227</v>
      </c>
      <c r="BJ113" s="59">
        <f t="shared" si="92"/>
        <v>252.40654099948841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14.430769851353576</v>
      </c>
      <c r="BQ113" s="21">
        <f>EXP(-LN(2)/25)*BQ112+(1-EXP(-LN(2)/25))/(LN(2)/25)*Calculateur!BL113*Calculateur!BN113*VLOOKUP('Données projet'!$B$11,Paramètres!$A$1:$I$89,3,0)*0.475*44/12</f>
        <v>23.992021162316966</v>
      </c>
      <c r="BR113" s="21">
        <f>EXP(-LN(2)/2)*BR112+(1-EXP(-LN(2)/2))/(LN(2)/2)*BL113*BO113*VLOOKUP('Données projet'!$B$11,Paramètres!$A$1:$I$89,3,0)*0.475*44/12</f>
        <v>0.47162854009778643</v>
      </c>
      <c r="BS113" s="22">
        <f t="shared" si="63"/>
        <v>38.89441955376833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1066.2476358626211</v>
      </c>
      <c r="S114" s="59">
        <f ca="1">AVERAGE(OFFSET($R$3,0,0,'Données projet'!$E$9+1,1))-AVERAGE(OFFSET($H$3,0,0,'Données projet'!$E$9+1,1))</f>
        <v>635.71275911100679</v>
      </c>
      <c r="T114" s="59">
        <f t="shared" si="88"/>
        <v>281.7776857269169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8.7540000000000013</v>
      </c>
      <c r="AI114" s="13">
        <f>IF('Données projet'!$A$62&gt;35,AI113+AH114-AQ113,IF(A114&lt;'Données projet'!$A$62,$AF$205^A114,IF(A114='Données projet'!$A$62,'Données projet'!$B$62,AI113+AH114-AQ113)))</f>
        <v>373.67200000000025</v>
      </c>
      <c r="AJ114" s="13">
        <f>AI114*VLOOKUP('Données projet'!$B$10,Paramètres!$A$1:$I$89,3,0)*VLOOKUP('Données projet'!$B$10,Paramètres!$A$1:$I$89,5,0)</f>
        <v>402.22054080000021</v>
      </c>
      <c r="AK114" s="13">
        <f t="shared" si="89"/>
        <v>92.2267006422028</v>
      </c>
      <c r="AL114" s="20">
        <f t="shared" si="58"/>
        <v>861.16227884517014</v>
      </c>
      <c r="AM114" s="59">
        <f t="shared" si="59"/>
        <v>1154.4956121785035</v>
      </c>
      <c r="AN114" s="59">
        <f ca="1">AVERAGE(OFFSET($AM$3,0,0,'Données projet'!$E$10+1,1))-AVERAGE(OFFSET($H$3,0,0,'Données projet'!$E$10+1,1))</f>
        <v>502.65044103360322</v>
      </c>
      <c r="AO114" s="59">
        <f t="shared" si="90"/>
        <v>321.65762891855167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44.173290799809557</v>
      </c>
      <c r="AV114" s="21">
        <f>EXP(-LN(2)/25)*AV113+(1-EXP(-LN(2)/25))/(LN(2)/25)*Calculateur!AQ114*Calculateur!AS114*VLOOKUP('Données projet'!$B$10,Paramètres!$A$1:$I$89,3,0)*0.475*44/12</f>
        <v>23.438954590255662</v>
      </c>
      <c r="AW114" s="21">
        <f>EXP(-LN(2)/2)*AW113+(1-EXP(-LN(2)/2))/(LN(2)/2)*AQ114*AT114*VLOOKUP('Données projet'!$B$10,Paramètres!$A$1:$I$89,3,0)*0.475*44/12</f>
        <v>3.2777773323475169E-4</v>
      </c>
      <c r="AX114" s="21">
        <f t="shared" si="60"/>
        <v>67.612573167798459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6.8811111111111085</v>
      </c>
      <c r="BD114" s="12">
        <f>IF('Données projet'!$A$88&gt;35,BD113+BC114-BL113,IF(A114&lt;'Données projet'!$A$88,$BA$205^A114,IF(A114='Données projet'!$A$88,'Données projet'!$B$88,BD113+BC114-BL113)))</f>
        <v>280.13777777777761</v>
      </c>
      <c r="BE114" s="13">
        <f>BD114*VLOOKUP('Données projet'!$B$11,Paramètres!$A$1:$I$89,3,0)*VLOOKUP('Données projet'!$B$11,Paramètres!$A$1:$I$89,5,0)</f>
        <v>270.94925866666654</v>
      </c>
      <c r="BF114" s="13">
        <f t="shared" si="91"/>
        <v>65.050684766766153</v>
      </c>
      <c r="BG114" s="20">
        <f t="shared" si="61"/>
        <v>585.19990147989529</v>
      </c>
      <c r="BH114" s="59">
        <f t="shared" si="62"/>
        <v>878.53323481322855</v>
      </c>
      <c r="BI114" s="59">
        <f ca="1">AVERAGE(OFFSET($BH$3,0,0,'Données projet'!$E$11+1,1))-AVERAGE(OFFSET($H$3,0,0,'Données projet'!$E$11+1,1))</f>
        <v>510.71380643466227</v>
      </c>
      <c r="BJ114" s="59">
        <f t="shared" si="92"/>
        <v>252.40654099948841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14.147791256469025</v>
      </c>
      <c r="BQ114" s="21">
        <f>EXP(-LN(2)/25)*BQ113+(1-EXP(-LN(2)/25))/(LN(2)/25)*Calculateur!BL114*Calculateur!BN114*VLOOKUP('Données projet'!$B$11,Paramètres!$A$1:$I$89,3,0)*0.475*44/12</f>
        <v>23.335958081947851</v>
      </c>
      <c r="BR114" s="21">
        <f>EXP(-LN(2)/2)*BR113+(1-EXP(-LN(2)/2))/(LN(2)/2)*BL114*BO114*VLOOKUP('Données projet'!$B$11,Paramètres!$A$1:$I$89,3,0)*0.475*44/12</f>
        <v>0.33349173890425637</v>
      </c>
      <c r="BS114" s="22">
        <f t="shared" si="63"/>
        <v>37.817241077321135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1083.0430074427793</v>
      </c>
      <c r="S115" s="59">
        <f ca="1">AVERAGE(OFFSET($R$3,0,0,'Données projet'!$E$9+1,1))-AVERAGE(OFFSET($H$3,0,0,'Données projet'!$E$9+1,1))</f>
        <v>635.71275911100679</v>
      </c>
      <c r="T115" s="59">
        <f t="shared" si="88"/>
        <v>281.7776857269169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8.7540000000000013</v>
      </c>
      <c r="AI115" s="13">
        <f>IF('Données projet'!$A$62&gt;35,AI114+AH115-AQ114,IF(A115&lt;'Données projet'!$A$62,$AF$205^A115,IF(A115='Données projet'!$A$62,'Données projet'!$B$62,AI114+AH115-AQ114)))</f>
        <v>382.42600000000027</v>
      </c>
      <c r="AJ115" s="13">
        <f>AI115*VLOOKUP('Données projet'!$B$10,Paramètres!$A$1:$I$89,3,0)*VLOOKUP('Données projet'!$B$10,Paramètres!$A$1:$I$89,5,0)</f>
        <v>411.64334640000027</v>
      </c>
      <c r="AK115" s="13">
        <f t="shared" si="89"/>
        <v>94.133218725173833</v>
      </c>
      <c r="AL115" s="20">
        <f t="shared" si="58"/>
        <v>880.89418425967813</v>
      </c>
      <c r="AM115" s="59">
        <f t="shared" si="59"/>
        <v>1174.2275175930115</v>
      </c>
      <c r="AN115" s="59">
        <f ca="1">AVERAGE(OFFSET($AM$3,0,0,'Données projet'!$E$10+1,1))-AVERAGE(OFFSET($H$3,0,0,'Données projet'!$E$10+1,1))</f>
        <v>502.65044103360322</v>
      </c>
      <c r="AO115" s="59">
        <f t="shared" si="90"/>
        <v>321.65762891855167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43.307079510272274</v>
      </c>
      <c r="AV115" s="21">
        <f>EXP(-LN(2)/25)*AV114+(1-EXP(-LN(2)/25))/(LN(2)/25)*Calculateur!AQ115*Calculateur!AS115*VLOOKUP('Données projet'!$B$10,Paramètres!$A$1:$I$89,3,0)*0.475*44/12</f>
        <v>22.79801514438407</v>
      </c>
      <c r="AW115" s="21">
        <f>EXP(-LN(2)/2)*AW114+(1-EXP(-LN(2)/2))/(LN(2)/2)*AQ115*AT115*VLOOKUP('Données projet'!$B$10,Paramètres!$A$1:$I$89,3,0)*0.475*44/12</f>
        <v>2.3177385789224813E-4</v>
      </c>
      <c r="AX115" s="21">
        <f t="shared" si="60"/>
        <v>66.105326428514232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6.8811111111111085</v>
      </c>
      <c r="BD115" s="12">
        <f>IF('Données projet'!$A$88&gt;35,BD114+BC115-BL114,IF(A115&lt;'Données projet'!$A$88,$BA$205^A115,IF(A115='Données projet'!$A$88,'Données projet'!$B$88,BD114+BC115-BL114)))</f>
        <v>287.01888888888874</v>
      </c>
      <c r="BE115" s="13">
        <f>BD115*VLOOKUP('Données projet'!$B$11,Paramètres!$A$1:$I$89,3,0)*VLOOKUP('Données projet'!$B$11,Paramètres!$A$1:$I$89,5,0)</f>
        <v>277.60466933333322</v>
      </c>
      <c r="BF115" s="13">
        <f t="shared" si="91"/>
        <v>66.460553816339257</v>
      </c>
      <c r="BG115" s="20">
        <f t="shared" si="61"/>
        <v>599.24693031901279</v>
      </c>
      <c r="BH115" s="59">
        <f t="shared" si="62"/>
        <v>892.58026365234605</v>
      </c>
      <c r="BI115" s="59">
        <f ca="1">AVERAGE(OFFSET($BH$3,0,0,'Données projet'!$E$11+1,1))-AVERAGE(OFFSET($H$3,0,0,'Données projet'!$E$11+1,1))</f>
        <v>510.71380643466227</v>
      </c>
      <c r="BJ115" s="59">
        <f t="shared" si="92"/>
        <v>252.40654099948841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13.870361699230262</v>
      </c>
      <c r="BQ115" s="21">
        <f>EXP(-LN(2)/25)*BQ114+(1-EXP(-LN(2)/25))/(LN(2)/25)*Calculateur!BL115*Calculateur!BN115*VLOOKUP('Données projet'!$B$11,Paramètres!$A$1:$I$89,3,0)*0.475*44/12</f>
        <v>22.697835081012286</v>
      </c>
      <c r="BR115" s="21">
        <f>EXP(-LN(2)/2)*BR114+(1-EXP(-LN(2)/2))/(LN(2)/2)*BL115*BO115*VLOOKUP('Données projet'!$B$11,Paramètres!$A$1:$I$89,3,0)*0.475*44/12</f>
        <v>0.23581427004889327</v>
      </c>
      <c r="BS115" s="22">
        <f t="shared" si="63"/>
        <v>36.804011050291436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1099.8311583870395</v>
      </c>
      <c r="S116" s="59">
        <f ca="1">AVERAGE(OFFSET($R$3,0,0,'Données projet'!$E$9+1,1))-AVERAGE(OFFSET($H$3,0,0,'Données projet'!$E$9+1,1))</f>
        <v>635.71275911100679</v>
      </c>
      <c r="T116" s="59">
        <f t="shared" si="88"/>
        <v>281.7776857269169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391.18</v>
      </c>
      <c r="AG116" s="12">
        <f>VLOOKUP(A116,'Données projet'!$A$61:$I$81,9,0)</f>
        <v>8.7540000000000013</v>
      </c>
      <c r="AH116" s="12">
        <f t="array" ref="AH116">INDEX(AG:AG,MIN(IF(ISNUMBER(AG116:AG312),ROW(AG116:AG312),"")))</f>
        <v>8.7540000000000013</v>
      </c>
      <c r="AI116" s="13">
        <f>IF('Données projet'!$A$62&gt;35,AI115+AH116-AQ115,IF(A116&lt;'Données projet'!$A$62,$AF$205^A116,IF(A116='Données projet'!$A$62,'Données projet'!$B$62,AI115+AH116-AQ115)))</f>
        <v>391.18000000000029</v>
      </c>
      <c r="AJ116" s="13">
        <f>AI116*VLOOKUP('Données projet'!$B$10,Paramètres!$A$1:$I$89,3,0)*VLOOKUP('Données projet'!$B$10,Paramètres!$A$1:$I$89,5,0)</f>
        <v>421.06615200000027</v>
      </c>
      <c r="AK116" s="13">
        <f t="shared" si="89"/>
        <v>96.034663226272244</v>
      </c>
      <c r="AL116" s="20">
        <f t="shared" si="58"/>
        <v>900.61725318575793</v>
      </c>
      <c r="AM116" s="59">
        <f t="shared" si="59"/>
        <v>1193.9505865190913</v>
      </c>
      <c r="AN116" s="59">
        <f ca="1">AVERAGE(OFFSET($AM$3,0,0,'Données projet'!$E$10+1,1))-AVERAGE(OFFSET($H$3,0,0,'Données projet'!$E$10+1,1))</f>
        <v>502.65044103360322</v>
      </c>
      <c r="AO116" s="59">
        <f t="shared" si="90"/>
        <v>321.65762891855167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68.670000000000016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8.6000000000000007E-2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60.026015257440037</v>
      </c>
      <c r="AV116" s="21">
        <f>EXP(-LN(2)/25)*AV115+(1-EXP(-LN(2)/25))/(LN(2)/25)*Calculateur!AQ116*Calculateur!AS116*VLOOKUP('Données projet'!$B$10,Paramètres!$A$1:$I$89,3,0)*0.475*44/12</f>
        <v>29.174197668231898</v>
      </c>
      <c r="AW116" s="21">
        <f>EXP(-LN(2)/2)*AW115+(1-EXP(-LN(2)/2))/(LN(2)/2)*AQ116*AT116*VLOOKUP('Données projet'!$B$10,Paramètres!$A$1:$I$89,3,0)*0.475*44/12</f>
        <v>1.6388886661737587E-4</v>
      </c>
      <c r="AX116" s="21">
        <f t="shared" si="60"/>
        <v>89.200376814538558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293.89999999999998</v>
      </c>
      <c r="BB116" s="12">
        <f>VLOOKUP(A116,'Données projet'!$A$87:$I$107,9,0)</f>
        <v>6.8811111111111085</v>
      </c>
      <c r="BC116" s="12">
        <f t="array" ref="BC116">INDEX(BB:BB,MIN(IF(ISNUMBER(BB116:BB312),ROW(BB116:BB312),"")))</f>
        <v>6.8811111111111085</v>
      </c>
      <c r="BD116" s="12">
        <f>IF('Données projet'!$A$88&gt;35,BD115+BC116-BL115,IF(A116&lt;'Données projet'!$A$88,$BA$205^A116,IF(A116='Données projet'!$A$88,'Données projet'!$B$88,BD115+BC116-BL115)))</f>
        <v>293.89999999999986</v>
      </c>
      <c r="BE116" s="13">
        <f>BD116*VLOOKUP('Données projet'!$B$11,Paramètres!$A$1:$I$89,3,0)*VLOOKUP('Données projet'!$B$11,Paramètres!$A$1:$I$89,5,0)</f>
        <v>284.26007999999985</v>
      </c>
      <c r="BF116" s="13">
        <f t="shared" si="91"/>
        <v>67.866493540604594</v>
      </c>
      <c r="BG116" s="20">
        <f t="shared" si="61"/>
        <v>613.28711558321936</v>
      </c>
      <c r="BH116" s="59">
        <f t="shared" si="62"/>
        <v>906.62044891655273</v>
      </c>
      <c r="BI116" s="59">
        <f ca="1">AVERAGE(OFFSET($BH$3,0,0,'Données projet'!$E$11+1,1))-AVERAGE(OFFSET($H$3,0,0,'Données projet'!$E$11+1,1))</f>
        <v>510.71380643466227</v>
      </c>
      <c r="BJ116" s="59">
        <f t="shared" si="92"/>
        <v>252.40654099948841</v>
      </c>
      <c r="BK116" s="15">
        <f>IF(ISNA(VLOOKUP(A116,'Données projet'!$A$87:$I$107,3,0)),0,VLOOKUP(A116,'Données projet'!$A$87:$I$107,3,0))</f>
        <v>7</v>
      </c>
      <c r="BL116" s="15">
        <f>IF(ISNA(VLOOKUP(A116,'Données projet'!$A$87:$I$107,4,0)),0,VLOOKUP(A116,'Données projet'!$A$87:$I$107,4,0))</f>
        <v>41.639999999999986</v>
      </c>
      <c r="BM116" s="16">
        <f>IF(ISNA(VLOOKUP(A116,'Données projet'!$A$87:$I$107,5,0)),0%,VLOOKUP(A116,'Données projet'!$A$87:$I$107,5,0)*VLOOKUP('Données projet'!$B$11,Paramètres!$A$1:$I$89,7,0))</f>
        <v>0.15049999999999999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0.1</v>
      </c>
      <c r="BP116" s="21">
        <f>EXP(-LN(2)/35)*BP115+(1-EXP(-LN(2)/35))/(LN(2)/35)*BL116*BM116*VLOOKUP('Données projet'!$B$11,Paramètres!$A$1:$I$89,3,0)*0.475*44/12</f>
        <v>20.298924938867547</v>
      </c>
      <c r="BQ116" s="21">
        <f>EXP(-LN(2)/25)*BQ115+(1-EXP(-LN(2)/25))/(LN(2)/25)*Calculateur!BL116*Calculateur!BN116*VLOOKUP('Données projet'!$B$11,Paramètres!$A$1:$I$89,3,0)*0.475*44/12</f>
        <v>25.890972983600676</v>
      </c>
      <c r="BR116" s="21">
        <f>EXP(-LN(2)/2)*BR115+(1-EXP(-LN(2)/2))/(LN(2)/2)*BL116*BO116*VLOOKUP('Données projet'!$B$11,Paramètres!$A$1:$I$89,3,0)*0.475*44/12</f>
        <v>3.9667257906936912</v>
      </c>
      <c r="BS116" s="22">
        <f t="shared" si="63"/>
        <v>50.156623713161913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1116.6122600224444</v>
      </c>
      <c r="S117" s="59">
        <f ca="1">AVERAGE(OFFSET($R$3,0,0,'Données projet'!$E$9+1,1))-AVERAGE(OFFSET($H$3,0,0,'Données projet'!$E$9+1,1))</f>
        <v>635.71275911100679</v>
      </c>
      <c r="T117" s="59">
        <f t="shared" si="88"/>
        <v>281.7776857269169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8.7019999999999982</v>
      </c>
      <c r="AI117" s="13">
        <f>IF('Données projet'!$A$62&gt;35,AI116+AH117-AQ116,IF(A117&lt;'Données projet'!$A$62,$AF$205^A117,IF(A117='Données projet'!$A$62,'Données projet'!$B$62,AI116+AH117-AQ116)))</f>
        <v>331.21200000000027</v>
      </c>
      <c r="AJ117" s="13">
        <f>AI117*VLOOKUP('Données projet'!$B$10,Paramètres!$A$1:$I$89,3,0)*VLOOKUP('Données projet'!$B$10,Paramètres!$A$1:$I$89,5,0)</f>
        <v>356.51659680000029</v>
      </c>
      <c r="AK117" s="13">
        <f t="shared" si="89"/>
        <v>82.902902138726972</v>
      </c>
      <c r="AL117" s="20">
        <f t="shared" si="58"/>
        <v>765.32229398494985</v>
      </c>
      <c r="AM117" s="59">
        <f t="shared" si="59"/>
        <v>1058.6556273182832</v>
      </c>
      <c r="AN117" s="59">
        <f ca="1">AVERAGE(OFFSET($AM$3,0,0,'Données projet'!$E$10+1,1))-AVERAGE(OFFSET($H$3,0,0,'Données projet'!$E$10+1,1))</f>
        <v>502.65044103360322</v>
      </c>
      <c r="AO117" s="59">
        <f t="shared" si="90"/>
        <v>321.65762891855167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58.848941710495787</v>
      </c>
      <c r="AV117" s="21">
        <f>EXP(-LN(2)/25)*AV116+(1-EXP(-LN(2)/25))/(LN(2)/25)*Calculateur!AQ117*Calculateur!AS117*VLOOKUP('Données projet'!$B$10,Paramètres!$A$1:$I$89,3,0)*0.475*44/12</f>
        <v>28.376427698789719</v>
      </c>
      <c r="AW117" s="21">
        <f>EXP(-LN(2)/2)*AW116+(1-EXP(-LN(2)/2))/(LN(2)/2)*AQ117*AT117*VLOOKUP('Données projet'!$B$10,Paramètres!$A$1:$I$89,3,0)*0.475*44/12</f>
        <v>1.1588692894612408E-4</v>
      </c>
      <c r="AX117" s="21">
        <f t="shared" si="60"/>
        <v>87.225485296214458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7.0011111111111104</v>
      </c>
      <c r="BD117" s="12">
        <f>IF('Données projet'!$A$88&gt;35,BD116+BC117-BL116,IF(A117&lt;'Données projet'!$A$88,$BA$205^A117,IF(A117='Données projet'!$A$88,'Données projet'!$B$88,BD116+BC117-BL116)))</f>
        <v>259.26111111111101</v>
      </c>
      <c r="BE117" s="13">
        <f>BD117*VLOOKUP('Données projet'!$B$11,Paramètres!$A$1:$I$89,3,0)*VLOOKUP('Données projet'!$B$11,Paramètres!$A$1:$I$89,5,0)</f>
        <v>250.75734666666656</v>
      </c>
      <c r="BF117" s="13">
        <f t="shared" si="91"/>
        <v>60.748086681617018</v>
      </c>
      <c r="BG117" s="20">
        <f t="shared" si="61"/>
        <v>542.53862974826052</v>
      </c>
      <c r="BH117" s="59">
        <f t="shared" si="62"/>
        <v>835.87196308159378</v>
      </c>
      <c r="BI117" s="59">
        <f ca="1">AVERAGE(OFFSET($BH$3,0,0,'Données projet'!$E$11+1,1))-AVERAGE(OFFSET($H$3,0,0,'Données projet'!$E$11+1,1))</f>
        <v>510.71380643466227</v>
      </c>
      <c r="BJ117" s="59">
        <f t="shared" si="92"/>
        <v>252.40654099948841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19.900875401938034</v>
      </c>
      <c r="BQ117" s="21">
        <f>EXP(-LN(2)/25)*BQ116+(1-EXP(-LN(2)/25))/(LN(2)/25)*Calculateur!BL117*Calculateur!BN117*VLOOKUP('Données projet'!$B$11,Paramètres!$A$1:$I$89,3,0)*0.475*44/12</f>
        <v>25.182982965817022</v>
      </c>
      <c r="BR117" s="21">
        <f>EXP(-LN(2)/2)*BR116+(1-EXP(-LN(2)/2))/(LN(2)/2)*BL117*BO117*VLOOKUP('Données projet'!$B$11,Paramètres!$A$1:$I$89,3,0)*0.475*44/12</f>
        <v>2.8048987057070787</v>
      </c>
      <c r="BS117" s="22">
        <f t="shared" si="63"/>
        <v>47.888757073462138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1016.0559952426263</v>
      </c>
      <c r="S118" s="59">
        <f ca="1">AVERAGE(OFFSET($R$3,0,0,'Données projet'!$E$9+1,1))-AVERAGE(OFFSET($H$3,0,0,'Données projet'!$E$9+1,1))</f>
        <v>635.71275911100679</v>
      </c>
      <c r="T118" s="59">
        <f t="shared" si="88"/>
        <v>281.7776857269169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8.7019999999999982</v>
      </c>
      <c r="AI118" s="13">
        <f>IF('Données projet'!$A$62&gt;35,AI117+AH118-AQ117,IF(A118&lt;'Données projet'!$A$62,$AF$205^A118,IF(A118='Données projet'!$A$62,'Données projet'!$B$62,AI117+AH118-AQ117)))</f>
        <v>339.91400000000027</v>
      </c>
      <c r="AJ118" s="13">
        <f>AI118*VLOOKUP('Données projet'!$B$10,Paramètres!$A$1:$I$89,3,0)*VLOOKUP('Données projet'!$B$10,Paramètres!$A$1:$I$89,5,0)</f>
        <v>365.88342960000028</v>
      </c>
      <c r="AK118" s="13">
        <f t="shared" si="89"/>
        <v>84.824578653678017</v>
      </c>
      <c r="AL118" s="20">
        <f t="shared" si="58"/>
        <v>784.98311437515633</v>
      </c>
      <c r="AM118" s="59">
        <f t="shared" si="59"/>
        <v>1078.3164477084897</v>
      </c>
      <c r="AN118" s="59">
        <f ca="1">AVERAGE(OFFSET($AM$3,0,0,'Données projet'!$E$10+1,1))-AVERAGE(OFFSET($H$3,0,0,'Données projet'!$E$10+1,1))</f>
        <v>502.65044103360322</v>
      </c>
      <c r="AO118" s="59">
        <f t="shared" si="90"/>
        <v>321.65762891855167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57.694949857863136</v>
      </c>
      <c r="AV118" s="21">
        <f>EXP(-LN(2)/25)*AV117+(1-EXP(-LN(2)/25))/(LN(2)/25)*Calculateur!AQ118*Calculateur!AS118*VLOOKUP('Données projet'!$B$10,Paramètres!$A$1:$I$89,3,0)*0.475*44/12</f>
        <v>27.600472791114836</v>
      </c>
      <c r="AW118" s="21">
        <f>EXP(-LN(2)/2)*AW117+(1-EXP(-LN(2)/2))/(LN(2)/2)*AQ118*AT118*VLOOKUP('Données projet'!$B$10,Paramètres!$A$1:$I$89,3,0)*0.475*44/12</f>
        <v>8.1944433308687949E-5</v>
      </c>
      <c r="AX118" s="21">
        <f t="shared" si="60"/>
        <v>85.29550459341128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7.0011111111111104</v>
      </c>
      <c r="BD118" s="12">
        <f>IF('Données projet'!$A$88&gt;35,BD117+BC118-BL117,IF(A118&lt;'Données projet'!$A$88,$BA$205^A118,IF(A118='Données projet'!$A$88,'Données projet'!$B$88,BD117+BC118-BL117)))</f>
        <v>266.26222222222214</v>
      </c>
      <c r="BE118" s="13">
        <f>BD118*VLOOKUP('Données projet'!$B$11,Paramètres!$A$1:$I$89,3,0)*VLOOKUP('Données projet'!$B$11,Paramètres!$A$1:$I$89,5,0)</f>
        <v>257.52882133333327</v>
      </c>
      <c r="BF118" s="13">
        <f t="shared" si="91"/>
        <v>62.195330109146276</v>
      </c>
      <c r="BG118" s="20">
        <f t="shared" si="61"/>
        <v>556.85289709565188</v>
      </c>
      <c r="BH118" s="59">
        <f t="shared" si="62"/>
        <v>850.18623042898525</v>
      </c>
      <c r="BI118" s="59">
        <f ca="1">AVERAGE(OFFSET($BH$3,0,0,'Données projet'!$E$11+1,1))-AVERAGE(OFFSET($H$3,0,0,'Données projet'!$E$11+1,1))</f>
        <v>510.71380643466227</v>
      </c>
      <c r="BJ118" s="59">
        <f t="shared" si="92"/>
        <v>252.40654099948841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19.510631373641463</v>
      </c>
      <c r="BQ118" s="21">
        <f>EXP(-LN(2)/25)*BQ117+(1-EXP(-LN(2)/25))/(LN(2)/25)*Calculateur!BL118*Calculateur!BN118*VLOOKUP('Données projet'!$B$11,Paramètres!$A$1:$I$89,3,0)*0.475*44/12</f>
        <v>24.494352972301236</v>
      </c>
      <c r="BR118" s="21">
        <f>EXP(-LN(2)/2)*BR117+(1-EXP(-LN(2)/2))/(LN(2)/2)*BL118*BO118*VLOOKUP('Données projet'!$B$11,Paramètres!$A$1:$I$89,3,0)*0.475*44/12</f>
        <v>1.9833628953468458</v>
      </c>
      <c r="BS118" s="22">
        <f t="shared" si="63"/>
        <v>45.988347241289546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1033.0089968199238</v>
      </c>
      <c r="S119" s="59">
        <f ca="1">AVERAGE(OFFSET($R$3,0,0,'Données projet'!$E$9+1,1))-AVERAGE(OFFSET($H$3,0,0,'Données projet'!$E$9+1,1))</f>
        <v>635.71275911100679</v>
      </c>
      <c r="T119" s="59">
        <f t="shared" si="88"/>
        <v>281.7776857269169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8.7019999999999982</v>
      </c>
      <c r="AI119" s="13">
        <f>IF('Données projet'!$A$62&gt;35,AI118+AH119-AQ118,IF(A119&lt;'Données projet'!$A$62,$AF$205^A119,IF(A119='Données projet'!$A$62,'Données projet'!$B$62,AI118+AH119-AQ118)))</f>
        <v>348.61600000000027</v>
      </c>
      <c r="AJ119" s="13">
        <f>AI119*VLOOKUP('Données projet'!$B$10,Paramètres!$A$1:$I$89,3,0)*VLOOKUP('Données projet'!$B$10,Paramètres!$A$1:$I$89,5,0)</f>
        <v>375.25026240000028</v>
      </c>
      <c r="AK119" s="13">
        <f t="shared" si="89"/>
        <v>86.740536610933873</v>
      </c>
      <c r="AL119" s="20">
        <f t="shared" si="58"/>
        <v>804.63397494404364</v>
      </c>
      <c r="AM119" s="59">
        <f t="shared" si="59"/>
        <v>1097.967308277377</v>
      </c>
      <c r="AN119" s="59">
        <f ca="1">AVERAGE(OFFSET($AM$3,0,0,'Données projet'!$E$10+1,1))-AVERAGE(OFFSET($H$3,0,0,'Données projet'!$E$10+1,1))</f>
        <v>502.65044103360322</v>
      </c>
      <c r="AO119" s="59">
        <f t="shared" si="90"/>
        <v>321.65762891855167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56.563587081595088</v>
      </c>
      <c r="AV119" s="21">
        <f>EXP(-LN(2)/25)*AV118+(1-EXP(-LN(2)/25))/(LN(2)/25)*Calculateur!AQ119*Calculateur!AS119*VLOOKUP('Données projet'!$B$10,Paramètres!$A$1:$I$89,3,0)*0.475*44/12</f>
        <v>26.845736411196018</v>
      </c>
      <c r="AW119" s="21">
        <f>EXP(-LN(2)/2)*AW118+(1-EXP(-LN(2)/2))/(LN(2)/2)*AQ119*AT119*VLOOKUP('Données projet'!$B$10,Paramètres!$A$1:$I$89,3,0)*0.475*44/12</f>
        <v>5.7943464473062053E-5</v>
      </c>
      <c r="AX119" s="21">
        <f t="shared" si="60"/>
        <v>83.409381436255572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7.0011111111111104</v>
      </c>
      <c r="BD119" s="12">
        <f>IF('Données projet'!$A$88&gt;35,BD118+BC119-BL118,IF(A119&lt;'Données projet'!$A$88,$BA$205^A119,IF(A119='Données projet'!$A$88,'Données projet'!$B$88,BD118+BC119-BL118)))</f>
        <v>273.26333333333326</v>
      </c>
      <c r="BE119" s="13">
        <f>BD119*VLOOKUP('Données projet'!$B$11,Paramètres!$A$1:$I$89,3,0)*VLOOKUP('Données projet'!$B$11,Paramètres!$A$1:$I$89,5,0)</f>
        <v>264.30029599999995</v>
      </c>
      <c r="BF119" s="13">
        <f t="shared" si="91"/>
        <v>63.638150297391014</v>
      </c>
      <c r="BG119" s="20">
        <f t="shared" si="61"/>
        <v>571.15946063462252</v>
      </c>
      <c r="BH119" s="59">
        <f t="shared" si="62"/>
        <v>864.49279396795578</v>
      </c>
      <c r="BI119" s="59">
        <f ca="1">AVERAGE(OFFSET($BH$3,0,0,'Données projet'!$E$11+1,1))-AVERAGE(OFFSET($H$3,0,0,'Données projet'!$E$11+1,1))</f>
        <v>510.71380643466227</v>
      </c>
      <c r="BJ119" s="59">
        <f t="shared" si="92"/>
        <v>252.40654099948841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19.128039792714432</v>
      </c>
      <c r="BQ119" s="21">
        <f>EXP(-LN(2)/25)*BQ118+(1-EXP(-LN(2)/25))/(LN(2)/25)*Calculateur!BL119*Calculateur!BN119*VLOOKUP('Données projet'!$B$11,Paramètres!$A$1:$I$89,3,0)*0.475*44/12</f>
        <v>23.824553602171619</v>
      </c>
      <c r="BR119" s="21">
        <f>EXP(-LN(2)/2)*BR118+(1-EXP(-LN(2)/2))/(LN(2)/2)*BL119*BO119*VLOOKUP('Données projet'!$B$11,Paramètres!$A$1:$I$89,3,0)*0.475*44/12</f>
        <v>1.4024493528535396</v>
      </c>
      <c r="BS119" s="22">
        <f t="shared" si="63"/>
        <v>44.355042747739589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1049.9540920839729</v>
      </c>
      <c r="S120" s="59">
        <f ca="1">AVERAGE(OFFSET($R$3,0,0,'Données projet'!$E$9+1,1))-AVERAGE(OFFSET($H$3,0,0,'Données projet'!$E$9+1,1))</f>
        <v>635.71275911100679</v>
      </c>
      <c r="T120" s="59">
        <f t="shared" si="88"/>
        <v>281.7776857269169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8.7019999999999982</v>
      </c>
      <c r="AI120" s="13">
        <f>IF('Données projet'!$A$62&gt;35,AI119+AH120-AQ119,IF(A120&lt;'Données projet'!$A$62,$AF$205^A120,IF(A120='Données projet'!$A$62,'Données projet'!$B$62,AI119+AH120-AQ119)))</f>
        <v>357.31800000000027</v>
      </c>
      <c r="AJ120" s="13">
        <f>AI120*VLOOKUP('Données projet'!$B$10,Paramètres!$A$1:$I$89,3,0)*VLOOKUP('Données projet'!$B$10,Paramètres!$A$1:$I$89,5,0)</f>
        <v>384.61709520000028</v>
      </c>
      <c r="AK120" s="13">
        <f t="shared" si="89"/>
        <v>88.650935172194906</v>
      </c>
      <c r="AL120" s="20">
        <f t="shared" si="58"/>
        <v>824.27515289823998</v>
      </c>
      <c r="AM120" s="59">
        <f t="shared" si="59"/>
        <v>1117.6084862315734</v>
      </c>
      <c r="AN120" s="59">
        <f ca="1">AVERAGE(OFFSET($AM$3,0,0,'Données projet'!$E$10+1,1))-AVERAGE(OFFSET($H$3,0,0,'Données projet'!$E$10+1,1))</f>
        <v>502.65044103360322</v>
      </c>
      <c r="AO120" s="59">
        <f t="shared" si="90"/>
        <v>321.65762891855167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55.454409639306498</v>
      </c>
      <c r="AV120" s="21">
        <f>EXP(-LN(2)/25)*AV119+(1-EXP(-LN(2)/25))/(LN(2)/25)*Calculateur!AQ120*Calculateur!AS120*VLOOKUP('Données projet'!$B$10,Paramètres!$A$1:$I$89,3,0)*0.475*44/12</f>
        <v>26.111638337275942</v>
      </c>
      <c r="AW120" s="21">
        <f>EXP(-LN(2)/2)*AW119+(1-EXP(-LN(2)/2))/(LN(2)/2)*AQ120*AT120*VLOOKUP('Données projet'!$B$10,Paramètres!$A$1:$I$89,3,0)*0.475*44/12</f>
        <v>4.0972216654343981E-5</v>
      </c>
      <c r="AX120" s="21">
        <f t="shared" si="60"/>
        <v>81.566088948799091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7.0011111111111104</v>
      </c>
      <c r="BD120" s="12">
        <f>IF('Données projet'!$A$88&gt;35,BD119+BC120-BL119,IF(A120&lt;'Données projet'!$A$88,$BA$205^A120,IF(A120='Données projet'!$A$88,'Données projet'!$B$88,BD119+BC120-BL119)))</f>
        <v>280.26444444444439</v>
      </c>
      <c r="BE120" s="13">
        <f>BD120*VLOOKUP('Données projet'!$B$11,Paramètres!$A$1:$I$89,3,0)*VLOOKUP('Données projet'!$B$11,Paramètres!$A$1:$I$89,5,0)</f>
        <v>271.07177066666662</v>
      </c>
      <c r="BF120" s="13">
        <f t="shared" si="91"/>
        <v>65.076673601984467</v>
      </c>
      <c r="BG120" s="20">
        <f t="shared" si="61"/>
        <v>585.45854043456723</v>
      </c>
      <c r="BH120" s="59">
        <f t="shared" si="62"/>
        <v>878.7918737679006</v>
      </c>
      <c r="BI120" s="59">
        <f ca="1">AVERAGE(OFFSET($BH$3,0,0,'Données projet'!$E$11+1,1))-AVERAGE(OFFSET($H$3,0,0,'Données projet'!$E$11+1,1))</f>
        <v>510.71380643466227</v>
      </c>
      <c r="BJ120" s="59">
        <f t="shared" si="92"/>
        <v>252.40654099948841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18.752950599331559</v>
      </c>
      <c r="BQ120" s="21">
        <f>EXP(-LN(2)/25)*BQ119+(1-EXP(-LN(2)/25))/(LN(2)/25)*Calculateur!BL120*Calculateur!BN120*VLOOKUP('Données projet'!$B$11,Paramètres!$A$1:$I$89,3,0)*0.475*44/12</f>
        <v>23.173069931041415</v>
      </c>
      <c r="BR120" s="21">
        <f>EXP(-LN(2)/2)*BR119+(1-EXP(-LN(2)/2))/(LN(2)/2)*BL120*BO120*VLOOKUP('Données projet'!$B$11,Paramètres!$A$1:$I$89,3,0)*0.475*44/12</f>
        <v>0.99168144767342303</v>
      </c>
      <c r="BS120" s="22">
        <f t="shared" si="63"/>
        <v>42.917701978046395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1066.8914828772511</v>
      </c>
      <c r="S121" s="59">
        <f ca="1">AVERAGE(OFFSET($R$3,0,0,'Données projet'!$E$9+1,1))-AVERAGE(OFFSET($H$3,0,0,'Données projet'!$E$9+1,1))</f>
        <v>635.71275911100679</v>
      </c>
      <c r="T121" s="59">
        <f t="shared" si="88"/>
        <v>281.7776857269169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8.7019999999999982</v>
      </c>
      <c r="AI121" s="13">
        <f>IF('Données projet'!$A$62&gt;35,AI120+AH121-AQ120,IF(A121&lt;'Données projet'!$A$62,$AF$205^A121,IF(A121='Données projet'!$A$62,'Données projet'!$B$62,AI120+AH121-AQ120)))</f>
        <v>366.02000000000027</v>
      </c>
      <c r="AJ121" s="13">
        <f>AI121*VLOOKUP('Données projet'!$B$10,Paramètres!$A$1:$I$89,3,0)*VLOOKUP('Données projet'!$B$10,Paramètres!$A$1:$I$89,5,0)</f>
        <v>393.98392800000028</v>
      </c>
      <c r="AK121" s="13">
        <f t="shared" si="89"/>
        <v>90.555925304812519</v>
      </c>
      <c r="AL121" s="20">
        <f t="shared" si="58"/>
        <v>843.90691117254892</v>
      </c>
      <c r="AM121" s="59">
        <f t="shared" si="59"/>
        <v>1137.2402445058822</v>
      </c>
      <c r="AN121" s="59">
        <f ca="1">AVERAGE(OFFSET($AM$3,0,0,'Données projet'!$E$10+1,1))-AVERAGE(OFFSET($H$3,0,0,'Données projet'!$E$10+1,1))</f>
        <v>502.65044103360322</v>
      </c>
      <c r="AO121" s="59">
        <f t="shared" si="90"/>
        <v>321.65762891855167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54.36698249012975</v>
      </c>
      <c r="AV121" s="21">
        <f>EXP(-LN(2)/25)*AV120+(1-EXP(-LN(2)/25))/(LN(2)/25)*Calculateur!AQ121*Calculateur!AS121*VLOOKUP('Données projet'!$B$10,Paramètres!$A$1:$I$89,3,0)*0.475*44/12</f>
        <v>25.397614213791751</v>
      </c>
      <c r="AW121" s="21">
        <f>EXP(-LN(2)/2)*AW120+(1-EXP(-LN(2)/2))/(LN(2)/2)*AQ121*AT121*VLOOKUP('Données projet'!$B$10,Paramètres!$A$1:$I$89,3,0)*0.475*44/12</f>
        <v>2.897173223653103E-5</v>
      </c>
      <c r="AX121" s="21">
        <f t="shared" si="60"/>
        <v>79.764625675653733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7.0011111111111104</v>
      </c>
      <c r="BD121" s="12">
        <f>IF('Données projet'!$A$88&gt;35,BD120+BC121-BL120,IF(A121&lt;'Données projet'!$A$88,$BA$205^A121,IF(A121='Données projet'!$A$88,'Données projet'!$B$88,BD120+BC121-BL120)))</f>
        <v>287.26555555555552</v>
      </c>
      <c r="BE121" s="13">
        <f>BD121*VLOOKUP('Données projet'!$B$11,Paramètres!$A$1:$I$89,3,0)*VLOOKUP('Données projet'!$B$11,Paramètres!$A$1:$I$89,5,0)</f>
        <v>277.8432453333333</v>
      </c>
      <c r="BF121" s="13">
        <f t="shared" si="91"/>
        <v>66.511019705942104</v>
      </c>
      <c r="BG121" s="20">
        <f t="shared" si="61"/>
        <v>599.75034494340457</v>
      </c>
      <c r="BH121" s="59">
        <f t="shared" si="62"/>
        <v>893.08367827673783</v>
      </c>
      <c r="BI121" s="59">
        <f ca="1">AVERAGE(OFFSET($BH$3,0,0,'Données projet'!$E$11+1,1))-AVERAGE(OFFSET($H$3,0,0,'Données projet'!$E$11+1,1))</f>
        <v>510.71380643466227</v>
      </c>
      <c r="BJ121" s="59">
        <f t="shared" si="92"/>
        <v>252.40654099948841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18.385216676249108</v>
      </c>
      <c r="BQ121" s="21">
        <f>EXP(-LN(2)/25)*BQ120+(1-EXP(-LN(2)/25))/(LN(2)/25)*Calculateur!BL121*Calculateur!BN121*VLOOKUP('Données projet'!$B$11,Paramètres!$A$1:$I$89,3,0)*0.475*44/12</f>
        <v>22.539401115158302</v>
      </c>
      <c r="BR121" s="21">
        <f>EXP(-LN(2)/2)*BR120+(1-EXP(-LN(2)/2))/(LN(2)/2)*BL121*BO121*VLOOKUP('Données projet'!$B$11,Paramètres!$A$1:$I$89,3,0)*0.475*44/12</f>
        <v>0.70122467642676989</v>
      </c>
      <c r="BS121" s="22">
        <f t="shared" si="63"/>
        <v>41.625842467834183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1083.8213614913484</v>
      </c>
      <c r="S122" s="59">
        <f ca="1">AVERAGE(OFFSET($R$3,0,0,'Données projet'!$E$9+1,1))-AVERAGE(OFFSET($H$3,0,0,'Données projet'!$E$9+1,1))</f>
        <v>635.71275911100679</v>
      </c>
      <c r="T122" s="59">
        <f t="shared" si="88"/>
        <v>281.7776857269169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8.7019999999999982</v>
      </c>
      <c r="AI122" s="13">
        <f>IF('Données projet'!$A$62&gt;35,AI121+AH122-AQ121,IF(A122&lt;'Données projet'!$A$62,$AF$205^A122,IF(A122='Données projet'!$A$62,'Données projet'!$B$62,AI121+AH122-AQ121)))</f>
        <v>374.72200000000026</v>
      </c>
      <c r="AJ122" s="13">
        <f>AI122*VLOOKUP('Données projet'!$B$10,Paramètres!$A$1:$I$89,3,0)*VLOOKUP('Données projet'!$B$10,Paramètres!$A$1:$I$89,5,0)</f>
        <v>403.35076080000027</v>
      </c>
      <c r="AK122" s="13">
        <f t="shared" si="89"/>
        <v>92.455650388310644</v>
      </c>
      <c r="AL122" s="20">
        <f t="shared" si="58"/>
        <v>863.52949948630805</v>
      </c>
      <c r="AM122" s="59">
        <f t="shared" si="59"/>
        <v>1156.8628328196414</v>
      </c>
      <c r="AN122" s="59">
        <f ca="1">AVERAGE(OFFSET($AM$3,0,0,'Données projet'!$E$10+1,1))-AVERAGE(OFFSET($H$3,0,0,'Données projet'!$E$10+1,1))</f>
        <v>502.65044103360322</v>
      </c>
      <c r="AO122" s="59">
        <f t="shared" si="90"/>
        <v>321.65762891855167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53.300879124083288</v>
      </c>
      <c r="AV122" s="21">
        <f>EXP(-LN(2)/25)*AV121+(1-EXP(-LN(2)/25))/(LN(2)/25)*Calculateur!AQ122*Calculateur!AS122*VLOOKUP('Données projet'!$B$10,Paramètres!$A$1:$I$89,3,0)*0.475*44/12</f>
        <v>24.703115117513132</v>
      </c>
      <c r="AW122" s="21">
        <f>EXP(-LN(2)/2)*AW121+(1-EXP(-LN(2)/2))/(LN(2)/2)*AQ122*AT122*VLOOKUP('Données projet'!$B$10,Paramètres!$A$1:$I$89,3,0)*0.475*44/12</f>
        <v>2.0486108327171994E-5</v>
      </c>
      <c r="AX122" s="21">
        <f t="shared" si="60"/>
        <v>78.004014727704742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7.0011111111111104</v>
      </c>
      <c r="BD122" s="12">
        <f>IF('Données projet'!$A$88&gt;35,BD121+BC122-BL121,IF(A122&lt;'Données projet'!$A$88,$BA$205^A122,IF(A122='Données projet'!$A$88,'Données projet'!$B$88,BD121+BC122-BL121)))</f>
        <v>294.26666666666665</v>
      </c>
      <c r="BE122" s="13">
        <f>BD122*VLOOKUP('Données projet'!$B$11,Paramètres!$A$1:$I$89,3,0)*VLOOKUP('Données projet'!$B$11,Paramètres!$A$1:$I$89,5,0)</f>
        <v>284.61471999999998</v>
      </c>
      <c r="BF122" s="13">
        <f t="shared" si="91"/>
        <v>67.941302125940567</v>
      </c>
      <c r="BG122" s="20">
        <f t="shared" si="61"/>
        <v>614.03507186934644</v>
      </c>
      <c r="BH122" s="59">
        <f t="shared" si="62"/>
        <v>907.3684052026797</v>
      </c>
      <c r="BI122" s="59">
        <f ca="1">AVERAGE(OFFSET($BH$3,0,0,'Données projet'!$E$11+1,1))-AVERAGE(OFFSET($H$3,0,0,'Données projet'!$E$11+1,1))</f>
        <v>510.71380643466227</v>
      </c>
      <c r="BJ122" s="59">
        <f t="shared" si="92"/>
        <v>252.40654099948841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18.024693791102756</v>
      </c>
      <c r="BQ122" s="21">
        <f>EXP(-LN(2)/25)*BQ121+(1-EXP(-LN(2)/25))/(LN(2)/25)*Calculateur!BL122*Calculateur!BN122*VLOOKUP('Données projet'!$B$11,Paramètres!$A$1:$I$89,3,0)*0.475*44/12</f>
        <v>21.923060006368708</v>
      </c>
      <c r="BR122" s="21">
        <f>EXP(-LN(2)/2)*BR121+(1-EXP(-LN(2)/2))/(LN(2)/2)*BL122*BO122*VLOOKUP('Données projet'!$B$11,Paramètres!$A$1:$I$89,3,0)*0.475*44/12</f>
        <v>0.49584072383671157</v>
      </c>
      <c r="BS122" s="22">
        <f t="shared" si="63"/>
        <v>40.443594521308178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1100.743911317936</v>
      </c>
      <c r="S123" s="59">
        <f ca="1">AVERAGE(OFFSET($R$3,0,0,'Données projet'!$E$9+1,1))-AVERAGE(OFFSET($H$3,0,0,'Données projet'!$E$9+1,1))</f>
        <v>635.71275911100679</v>
      </c>
      <c r="T123" s="59">
        <f t="shared" si="88"/>
        <v>281.7776857269169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8.7019999999999982</v>
      </c>
      <c r="AI123" s="13">
        <f>IF('Données projet'!$A$62&gt;35,AI122+AH123-AQ122,IF(A123&lt;'Données projet'!$A$62,$AF$205^A123,IF(A123='Données projet'!$A$62,'Données projet'!$B$62,AI122+AH123-AQ122)))</f>
        <v>383.42400000000026</v>
      </c>
      <c r="AJ123" s="13">
        <f>AI123*VLOOKUP('Données projet'!$B$10,Paramètres!$A$1:$I$89,3,0)*VLOOKUP('Données projet'!$B$10,Paramètres!$A$1:$I$89,5,0)</f>
        <v>412.71759360000021</v>
      </c>
      <c r="AK123" s="13">
        <f t="shared" si="89"/>
        <v>94.350246762978841</v>
      </c>
      <c r="AL123" s="20">
        <f t="shared" si="58"/>
        <v>883.14315529885516</v>
      </c>
      <c r="AM123" s="59">
        <f t="shared" si="59"/>
        <v>1176.4764886321884</v>
      </c>
      <c r="AN123" s="59">
        <f ca="1">AVERAGE(OFFSET($AM$3,0,0,'Données projet'!$E$10+1,1))-AVERAGE(OFFSET($H$3,0,0,'Données projet'!$E$10+1,1))</f>
        <v>502.65044103360322</v>
      </c>
      <c r="AO123" s="59">
        <f t="shared" si="90"/>
        <v>321.65762891855167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52.255681394786151</v>
      </c>
      <c r="AV123" s="21">
        <f>EXP(-LN(2)/25)*AV122+(1-EXP(-LN(2)/25))/(LN(2)/25)*Calculateur!AQ123*Calculateur!AS123*VLOOKUP('Données projet'!$B$10,Paramètres!$A$1:$I$89,3,0)*0.475*44/12</f>
        <v>24.027607135544372</v>
      </c>
      <c r="AW123" s="21">
        <f>EXP(-LN(2)/2)*AW122+(1-EXP(-LN(2)/2))/(LN(2)/2)*AQ123*AT123*VLOOKUP('Données projet'!$B$10,Paramètres!$A$1:$I$89,3,0)*0.475*44/12</f>
        <v>1.4485866118265517E-5</v>
      </c>
      <c r="AX123" s="21">
        <f t="shared" si="60"/>
        <v>76.283303016196641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7.0011111111111104</v>
      </c>
      <c r="BD123" s="12">
        <f>IF('Données projet'!$A$88&gt;35,BD122+BC123-BL122,IF(A123&lt;'Données projet'!$A$88,$BA$205^A123,IF(A123='Données projet'!$A$88,'Données projet'!$B$88,BD122+BC123-BL122)))</f>
        <v>301.26777777777778</v>
      </c>
      <c r="BE123" s="13">
        <f>BD123*VLOOKUP('Données projet'!$B$11,Paramètres!$A$1:$I$89,3,0)*VLOOKUP('Données projet'!$B$11,Paramètres!$A$1:$I$89,5,0)</f>
        <v>291.38619466666665</v>
      </c>
      <c r="BF123" s="13">
        <f t="shared" si="91"/>
        <v>69.367628669059272</v>
      </c>
      <c r="BG123" s="20">
        <f t="shared" si="61"/>
        <v>628.31290897638928</v>
      </c>
      <c r="BH123" s="59">
        <f t="shared" si="62"/>
        <v>921.64624230972254</v>
      </c>
      <c r="BI123" s="59">
        <f ca="1">AVERAGE(OFFSET($BH$3,0,0,'Données projet'!$E$11+1,1))-AVERAGE(OFFSET($H$3,0,0,'Données projet'!$E$11+1,1))</f>
        <v>510.71380643466227</v>
      </c>
      <c r="BJ123" s="59">
        <f t="shared" si="92"/>
        <v>252.40654099948841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17.671240539836877</v>
      </c>
      <c r="BQ123" s="21">
        <f>EXP(-LN(2)/25)*BQ122+(1-EXP(-LN(2)/25))/(LN(2)/25)*Calculateur!BL123*Calculateur!BN123*VLOOKUP('Données projet'!$B$11,Paramètres!$A$1:$I$89,3,0)*0.475*44/12</f>
        <v>21.323572777610934</v>
      </c>
      <c r="BR123" s="21">
        <f>EXP(-LN(2)/2)*BR122+(1-EXP(-LN(2)/2))/(LN(2)/2)*BL123*BO123*VLOOKUP('Données projet'!$B$11,Paramètres!$A$1:$I$89,3,0)*0.475*44/12</f>
        <v>0.350612338213385</v>
      </c>
      <c r="BS123" s="22">
        <f t="shared" si="63"/>
        <v>39.345425655661195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1117.6593074423779</v>
      </c>
      <c r="S124" s="59">
        <f ca="1">AVERAGE(OFFSET($R$3,0,0,'Données projet'!$E$9+1,1))-AVERAGE(OFFSET($H$3,0,0,'Données projet'!$E$9+1,1))</f>
        <v>635.71275911100679</v>
      </c>
      <c r="T124" s="59">
        <f t="shared" si="88"/>
        <v>281.7776857269169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8.7019999999999982</v>
      </c>
      <c r="AI124" s="13">
        <f>IF('Données projet'!$A$62&gt;35,AI123+AH124-AQ123,IF(A124&lt;'Données projet'!$A$62,$AF$205^A124,IF(A124='Données projet'!$A$62,'Données projet'!$B$62,AI123+AH124-AQ123)))</f>
        <v>392.12600000000026</v>
      </c>
      <c r="AJ124" s="13">
        <f>AI124*VLOOKUP('Données projet'!$B$10,Paramètres!$A$1:$I$89,3,0)*VLOOKUP('Données projet'!$B$10,Paramètres!$A$1:$I$89,5,0)</f>
        <v>422.08442640000027</v>
      </c>
      <c r="AK124" s="13">
        <f t="shared" si="89"/>
        <v>96.239844227259752</v>
      </c>
      <c r="AL124" s="20">
        <f t="shared" si="58"/>
        <v>902.74810467581119</v>
      </c>
      <c r="AM124" s="59">
        <f t="shared" si="59"/>
        <v>1196.0814380091444</v>
      </c>
      <c r="AN124" s="59">
        <f ca="1">AVERAGE(OFFSET($AM$3,0,0,'Données projet'!$E$10+1,1))-AVERAGE(OFFSET($H$3,0,0,'Données projet'!$E$10+1,1))</f>
        <v>502.65044103360322</v>
      </c>
      <c r="AO124" s="59">
        <f t="shared" si="90"/>
        <v>321.65762891855167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51.230979355452867</v>
      </c>
      <c r="AV124" s="21">
        <f>EXP(-LN(2)/25)*AV123+(1-EXP(-LN(2)/25))/(LN(2)/25)*Calculateur!AQ124*Calculateur!AS124*VLOOKUP('Données projet'!$B$10,Paramètres!$A$1:$I$89,3,0)*0.475*44/12</f>
        <v>23.370570954865968</v>
      </c>
      <c r="AW124" s="21">
        <f>EXP(-LN(2)/2)*AW123+(1-EXP(-LN(2)/2))/(LN(2)/2)*AQ124*AT124*VLOOKUP('Données projet'!$B$10,Paramètres!$A$1:$I$89,3,0)*0.475*44/12</f>
        <v>1.0243054163585999E-5</v>
      </c>
      <c r="AX124" s="21">
        <f t="shared" si="60"/>
        <v>74.601560553372991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7.0011111111111104</v>
      </c>
      <c r="BD124" s="12">
        <f>IF('Données projet'!$A$88&gt;35,BD123+BC124-BL123,IF(A124&lt;'Données projet'!$A$88,$BA$205^A124,IF(A124='Données projet'!$A$88,'Données projet'!$B$88,BD123+BC124-BL123)))</f>
        <v>308.26888888888891</v>
      </c>
      <c r="BE124" s="13">
        <f>BD124*VLOOKUP('Données projet'!$B$11,Paramètres!$A$1:$I$89,3,0)*VLOOKUP('Données projet'!$B$11,Paramètres!$A$1:$I$89,5,0)</f>
        <v>298.15766933333333</v>
      </c>
      <c r="BF124" s="13">
        <f t="shared" si="91"/>
        <v>70.790101845868477</v>
      </c>
      <c r="BG124" s="20">
        <f t="shared" si="61"/>
        <v>642.58403480377649</v>
      </c>
      <c r="BH124" s="59">
        <f t="shared" si="62"/>
        <v>935.91736813710986</v>
      </c>
      <c r="BI124" s="59">
        <f ca="1">AVERAGE(OFFSET($BH$3,0,0,'Données projet'!$E$11+1,1))-AVERAGE(OFFSET($H$3,0,0,'Données projet'!$E$11+1,1))</f>
        <v>510.71380643466227</v>
      </c>
      <c r="BJ124" s="59">
        <f t="shared" si="92"/>
        <v>252.40654099948841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17.324718291243126</v>
      </c>
      <c r="BQ124" s="21">
        <f>EXP(-LN(2)/25)*BQ123+(1-EXP(-LN(2)/25))/(LN(2)/25)*Calculateur!BL124*Calculateur!BN124*VLOOKUP('Données projet'!$B$11,Paramètres!$A$1:$I$89,3,0)*0.475*44/12</f>
        <v>20.740478558649208</v>
      </c>
      <c r="BR124" s="21">
        <f>EXP(-LN(2)/2)*BR123+(1-EXP(-LN(2)/2))/(LN(2)/2)*BL124*BO124*VLOOKUP('Données projet'!$B$11,Paramètres!$A$1:$I$89,3,0)*0.475*44/12</f>
        <v>0.24792036191835584</v>
      </c>
      <c r="BS124" s="22">
        <f t="shared" si="63"/>
        <v>38.313117211810685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1134.56771718614</v>
      </c>
      <c r="S125" s="59">
        <f ca="1">AVERAGE(OFFSET($R$3,0,0,'Données projet'!$E$9+1,1))-AVERAGE(OFFSET($H$3,0,0,'Données projet'!$E$9+1,1))</f>
        <v>635.71275911100679</v>
      </c>
      <c r="T125" s="59">
        <f t="shared" si="88"/>
        <v>281.7776857269169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8.7019999999999982</v>
      </c>
      <c r="AI125" s="13">
        <f>IF('Données projet'!$A$62&gt;35,AI124+AH125-AQ124,IF(A125&lt;'Données projet'!$A$62,$AF$205^A125,IF(A125='Données projet'!$A$62,'Données projet'!$B$62,AI124+AH125-AQ124)))</f>
        <v>400.82800000000026</v>
      </c>
      <c r="AJ125" s="13">
        <f>AI125*VLOOKUP('Données projet'!$B$10,Paramètres!$A$1:$I$89,3,0)*VLOOKUP('Données projet'!$B$10,Paramètres!$A$1:$I$89,5,0)</f>
        <v>431.45125920000032</v>
      </c>
      <c r="AK125" s="13">
        <f t="shared" si="89"/>
        <v>98.124566489739522</v>
      </c>
      <c r="AL125" s="20">
        <f t="shared" si="58"/>
        <v>922.34456307629682</v>
      </c>
      <c r="AM125" s="59">
        <f t="shared" si="59"/>
        <v>1215.6778964096302</v>
      </c>
      <c r="AN125" s="59">
        <f ca="1">AVERAGE(OFFSET($AM$3,0,0,'Données projet'!$E$10+1,1))-AVERAGE(OFFSET($H$3,0,0,'Données projet'!$E$10+1,1))</f>
        <v>502.65044103360322</v>
      </c>
      <c r="AO125" s="59">
        <f t="shared" si="90"/>
        <v>321.65762891855167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50.22637109810438</v>
      </c>
      <c r="AV125" s="21">
        <f>EXP(-LN(2)/25)*AV124+(1-EXP(-LN(2)/25))/(LN(2)/25)*Calculateur!AQ125*Calculateur!AS125*VLOOKUP('Données projet'!$B$10,Paramètres!$A$1:$I$89,3,0)*0.475*44/12</f>
        <v>22.731501463100248</v>
      </c>
      <c r="AW125" s="21">
        <f>EXP(-LN(2)/2)*AW124+(1-EXP(-LN(2)/2))/(LN(2)/2)*AQ125*AT125*VLOOKUP('Données projet'!$B$10,Paramètres!$A$1:$I$89,3,0)*0.475*44/12</f>
        <v>7.24293305913276E-6</v>
      </c>
      <c r="AX125" s="21">
        <f t="shared" si="60"/>
        <v>72.95787980413769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315.27</v>
      </c>
      <c r="BB125" s="12">
        <f>VLOOKUP(A125,'Données projet'!$A$87:$I$107,9,0)</f>
        <v>7.0011111111111104</v>
      </c>
      <c r="BC125" s="12">
        <f t="array" ref="BC125">INDEX(BB:BB,MIN(IF(ISNUMBER(BB125:BB321),ROW(BB125:BB321),"")))</f>
        <v>7.0011111111111104</v>
      </c>
      <c r="BD125" s="12">
        <f>IF('Données projet'!$A$88&gt;35,BD124+BC125-BL124,IF(A125&lt;'Données projet'!$A$88,$BA$205^A125,IF(A125='Données projet'!$A$88,'Données projet'!$B$88,BD124+BC125-BL124)))</f>
        <v>315.27000000000004</v>
      </c>
      <c r="BE125" s="13">
        <f>BD125*VLOOKUP('Données projet'!$B$11,Paramètres!$A$1:$I$89,3,0)*VLOOKUP('Données projet'!$B$11,Paramètres!$A$1:$I$89,5,0)</f>
        <v>304.92914400000006</v>
      </c>
      <c r="BF125" s="13">
        <f t="shared" si="91"/>
        <v>72.20881924493338</v>
      </c>
      <c r="BG125" s="20">
        <f t="shared" si="61"/>
        <v>656.84861931825901</v>
      </c>
      <c r="BH125" s="59">
        <f t="shared" si="62"/>
        <v>950.18195265159238</v>
      </c>
      <c r="BI125" s="59">
        <f ca="1">AVERAGE(OFFSET($BH$3,0,0,'Données projet'!$E$11+1,1))-AVERAGE(OFFSET($H$3,0,0,'Données projet'!$E$11+1,1))</f>
        <v>510.71380643466227</v>
      </c>
      <c r="BJ125" s="59">
        <f t="shared" si="92"/>
        <v>252.40654099948841</v>
      </c>
      <c r="BK125" s="15">
        <f>IF(ISNA(VLOOKUP(A125,'Données projet'!$A$87:$I$107,3,0)),0,VLOOKUP(A125,'Données projet'!$A$87:$I$107,3,0))</f>
        <v>8</v>
      </c>
      <c r="BL125" s="15">
        <f>IF(ISNA(VLOOKUP(A125,'Données projet'!$A$87:$I$107,4,0)),0,VLOOKUP(A125,'Données projet'!$A$87:$I$107,4,0))</f>
        <v>45.829999999999984</v>
      </c>
      <c r="BM125" s="16">
        <f>IF(ISNA(VLOOKUP(A125,'Données projet'!$A$87:$I$107,5,0)),0%,VLOOKUP(A125,'Données projet'!$A$87:$I$107,5,0)*VLOOKUP('Données projet'!$B$11,Paramètres!$A$1:$I$89,7,0))</f>
        <v>0.15049999999999999</v>
      </c>
      <c r="BN125" s="16">
        <f>IF(ISNA(VLOOKUP(A125,'Données projet'!$A$87:$I$107,6,0)),0%,VLOOKUP(A125,'Données projet'!$A$87:$I$107,6,0)*VLOOKUP('Données projet'!$B$11,Paramètres!$A$1:$I$89,7,0))</f>
        <v>8.6000000000000007E-2</v>
      </c>
      <c r="BO125" s="16">
        <f>IF(ISNA(VLOOKUP(A125,'Données projet'!$A$87:$I$107,7,0)),0%,VLOOKUP(A125,'Données projet'!$A$87:$I$107,7,0))</f>
        <v>0.1</v>
      </c>
      <c r="BP125" s="21">
        <f>EXP(-LN(2)/35)*BP124+(1-EXP(-LN(2)/35))/(LN(2)/35)*BL125*BM125*VLOOKUP('Données projet'!$B$11,Paramètres!$A$1:$I$89,3,0)*0.475*44/12</f>
        <v>24.359782784759499</v>
      </c>
      <c r="BQ125" s="21">
        <f>EXP(-LN(2)/25)*BQ124+(1-EXP(-LN(2)/25))/(LN(2)/25)*Calculateur!BL125*Calculateur!BN125*VLOOKUP('Données projet'!$B$11,Paramètres!$A$1:$I$89,3,0)*0.475*44/12</f>
        <v>24.370902960295656</v>
      </c>
      <c r="BR125" s="21">
        <f>EXP(-LN(2)/2)*BR124+(1-EXP(-LN(2)/2))/(LN(2)/2)*BL125*BO125*VLOOKUP('Données projet'!$B$11,Paramètres!$A$1:$I$89,3,0)*0.475*44/12</f>
        <v>4.3576567884751078</v>
      </c>
      <c r="BS125" s="22">
        <f t="shared" si="63"/>
        <v>53.088342533530266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1151.4693006033674</v>
      </c>
      <c r="S126" s="59">
        <f ca="1">AVERAGE(OFFSET($R$3,0,0,'Données projet'!$E$9+1,1))-AVERAGE(OFFSET($H$3,0,0,'Données projet'!$E$9+1,1))</f>
        <v>635.71275911100679</v>
      </c>
      <c r="T126" s="59">
        <f t="shared" si="88"/>
        <v>281.7776857269169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409.53</v>
      </c>
      <c r="AG126" s="12">
        <f>VLOOKUP(A126,'Données projet'!$A$61:$I$81,9,0)</f>
        <v>8.7019999999999982</v>
      </c>
      <c r="AH126" s="12">
        <f t="array" ref="AH126">INDEX(AG:AG,MIN(IF(ISNUMBER(AG126:AG322),ROW(AG126:AG322),"")))</f>
        <v>8.7019999999999982</v>
      </c>
      <c r="AI126" s="13">
        <f>IF('Données projet'!$A$62&gt;35,AI125+AH126-AQ125,IF(A126&lt;'Données projet'!$A$62,$AF$205^A126,IF(A126='Données projet'!$A$62,'Données projet'!$B$62,AI125+AH126-AQ125)))</f>
        <v>409.53000000000026</v>
      </c>
      <c r="AJ126" s="13">
        <f>AI126*VLOOKUP('Données projet'!$B$10,Paramètres!$A$1:$I$89,3,0)*VLOOKUP('Données projet'!$B$10,Paramètres!$A$1:$I$89,5,0)</f>
        <v>440.81809200000026</v>
      </c>
      <c r="AK126" s="13">
        <f t="shared" si="89"/>
        <v>100.00453158078092</v>
      </c>
      <c r="AL126" s="20">
        <f t="shared" si="58"/>
        <v>941.93273606986043</v>
      </c>
      <c r="AM126" s="59">
        <f t="shared" si="59"/>
        <v>1235.2660694031938</v>
      </c>
      <c r="AN126" s="59">
        <f ca="1">AVERAGE(OFFSET($AM$3,0,0,'Données projet'!$E$10+1,1))-AVERAGE(OFFSET($H$3,0,0,'Données projet'!$E$10+1,1))</f>
        <v>502.65044103360322</v>
      </c>
      <c r="AO126" s="59">
        <f t="shared" si="90"/>
        <v>321.65762891855167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203.78999999999996</v>
      </c>
      <c r="AR126" s="16">
        <f>IF(ISNA(VLOOKUP(A126,'Données projet'!$A$61:$I$81,5,0)),0%,VLOOKUP(A126,'Données projet'!$A$61:$I$81,5,0)*VLOOKUP('Données projet'!$B$10,Paramètres!$A$1:$I$89,7,0))</f>
        <v>0.19350000000000001</v>
      </c>
      <c r="AS126" s="16">
        <f>IF(ISNA(VLOOKUP(A126,'Données projet'!$A$61:$I$81,6,0)),0%,VLOOKUP(A126,'Données projet'!$A$61:$I$81,6,0)*VLOOKUP('Données projet'!$B$10,Paramètres!$A$1:$I$89,7,0))</f>
        <v>2.1500000000000002E-2</v>
      </c>
      <c r="AT126" s="16">
        <f>IF(ISNA(VLOOKUP(A126,'Données projet'!$A$61:$I$81,7,0)),0%,VLOOKUP(A126,'Données projet'!$A$61:$I$81,7,0))</f>
        <v>0.05</v>
      </c>
      <c r="AU126" s="21">
        <f>EXP(-LN(2)/35)*AU125+(1-EXP(-LN(2)/35))/(LN(2)/35)*AQ126*AR126*VLOOKUP('Données projet'!$B$10,Paramètres!$A$1:$I$89,3,0)*0.475*44/12</f>
        <v>96.164340225466105</v>
      </c>
      <c r="AV126" s="21">
        <f>EXP(-LN(2)/25)*AV125+(1-EXP(-LN(2)/25))/(LN(2)/25)*Calculateur!AQ126*Calculateur!AS126*VLOOKUP('Données projet'!$B$10,Paramètres!$A$1:$I$89,3,0)*0.475*44/12</f>
        <v>27.303032291448353</v>
      </c>
      <c r="AW126" s="21">
        <f>EXP(-LN(2)/2)*AW125+(1-EXP(-LN(2)/2))/(LN(2)/2)*AQ126*AT126*VLOOKUP('Données projet'!$B$10,Paramètres!$A$1:$I$89,3,0)*0.475*44/12</f>
        <v>10.348587374621472</v>
      </c>
      <c r="AX126" s="21">
        <f t="shared" si="60"/>
        <v>133.81595989153593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7.1129999999999995</v>
      </c>
      <c r="BD126" s="12">
        <f>IF('Données projet'!$A$88&gt;35,BD125+BC126-BL125,IF(A126&lt;'Données projet'!$A$88,$BA$205^A126,IF(A126='Données projet'!$A$88,'Données projet'!$B$88,BD125+BC126-BL125)))</f>
        <v>276.55300000000005</v>
      </c>
      <c r="BE126" s="13">
        <f>BD126*VLOOKUP('Données projet'!$B$11,Paramètres!$A$1:$I$89,3,0)*VLOOKUP('Données projet'!$B$11,Paramètres!$A$1:$I$89,5,0)</f>
        <v>267.48206160000007</v>
      </c>
      <c r="BF126" s="13">
        <f t="shared" si="91"/>
        <v>64.314608166975702</v>
      </c>
      <c r="BG126" s="20">
        <f t="shared" si="61"/>
        <v>577.87919984414941</v>
      </c>
      <c r="BH126" s="59">
        <f t="shared" si="62"/>
        <v>871.21253317748278</v>
      </c>
      <c r="BI126" s="59">
        <f ca="1">AVERAGE(OFFSET($BH$3,0,0,'Données projet'!$E$11+1,1))-AVERAGE(OFFSET($H$3,0,0,'Données projet'!$E$11+1,1))</f>
        <v>510.71380643466227</v>
      </c>
      <c r="BJ126" s="59">
        <f t="shared" si="92"/>
        <v>252.40654099948841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23.882102302350759</v>
      </c>
      <c r="BQ126" s="21">
        <f>EXP(-LN(2)/25)*BQ125+(1-EXP(-LN(2)/25))/(LN(2)/25)*Calculateur!BL126*Calculateur!BN126*VLOOKUP('Données projet'!$B$11,Paramètres!$A$1:$I$89,3,0)*0.475*44/12</f>
        <v>23.704479337236286</v>
      </c>
      <c r="BR126" s="21">
        <f>EXP(-LN(2)/2)*BR125+(1-EXP(-LN(2)/2))/(LN(2)/2)*BL126*BO126*VLOOKUP('Données projet'!$B$11,Paramètres!$A$1:$I$89,3,0)*0.475*44/12</f>
        <v>3.0813286652143419</v>
      </c>
      <c r="BS126" s="22">
        <f t="shared" si="63"/>
        <v>50.667910304801389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1168.3642109363534</v>
      </c>
      <c r="S127" s="59">
        <f ca="1">AVERAGE(OFFSET($R$3,0,0,'Données projet'!$E$9+1,1))-AVERAGE(OFFSET($H$3,0,0,'Données projet'!$E$9+1,1))</f>
        <v>635.71275911100679</v>
      </c>
      <c r="T127" s="59">
        <f t="shared" si="88"/>
        <v>281.7776857269169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4.8499999999999943</v>
      </c>
      <c r="AI127" s="13">
        <f>IF('Données projet'!$A$62&gt;35,AI126+AH127-AQ126,IF(A127&lt;'Données projet'!$A$62,$AF$205^A127,IF(A127='Données projet'!$A$62,'Données projet'!$B$62,AI126+AH127-AQ126)))</f>
        <v>210.59000000000026</v>
      </c>
      <c r="AJ127" s="13">
        <f>AI127*VLOOKUP('Données projet'!$B$10,Paramètres!$A$1:$I$89,3,0)*VLOOKUP('Données projet'!$B$10,Paramètres!$A$1:$I$89,5,0)</f>
        <v>226.67907600000026</v>
      </c>
      <c r="AK127" s="13">
        <f t="shared" si="89"/>
        <v>55.564013437483126</v>
      </c>
      <c r="AL127" s="20">
        <f t="shared" si="58"/>
        <v>491.57338077028345</v>
      </c>
      <c r="AM127" s="59">
        <f t="shared" si="59"/>
        <v>784.90671410361676</v>
      </c>
      <c r="AN127" s="59">
        <f ca="1">AVERAGE(OFFSET($AM$3,0,0,'Données projet'!$E$10+1,1))-AVERAGE(OFFSET($H$3,0,0,'Données projet'!$E$10+1,1))</f>
        <v>502.65044103360322</v>
      </c>
      <c r="AO127" s="59">
        <f t="shared" si="90"/>
        <v>321.65762891855167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94.278616168100612</v>
      </c>
      <c r="AV127" s="21">
        <f>EXP(-LN(2)/25)*AV126+(1-EXP(-LN(2)/25))/(LN(2)/25)*Calculateur!AQ127*Calculateur!AS127*VLOOKUP('Données projet'!$B$10,Paramètres!$A$1:$I$89,3,0)*0.475*44/12</f>
        <v>26.55642943763463</v>
      </c>
      <c r="AW127" s="21">
        <f>EXP(-LN(2)/2)*AW126+(1-EXP(-LN(2)/2))/(LN(2)/2)*AQ127*AT127*VLOOKUP('Données projet'!$B$10,Paramètres!$A$1:$I$89,3,0)*0.475*44/12</f>
        <v>7.317556308296334</v>
      </c>
      <c r="AX127" s="21">
        <f t="shared" si="60"/>
        <v>128.15260191403158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7.1129999999999995</v>
      </c>
      <c r="BD127" s="12">
        <f>IF('Données projet'!$A$88&gt;35,BD126+BC127-BL126,IF(A127&lt;'Données projet'!$A$88,$BA$205^A127,IF(A127='Données projet'!$A$88,'Données projet'!$B$88,BD126+BC127-BL126)))</f>
        <v>283.66600000000005</v>
      </c>
      <c r="BE127" s="13">
        <f>BD127*VLOOKUP('Données projet'!$B$11,Paramètres!$A$1:$I$89,3,0)*VLOOKUP('Données projet'!$B$11,Paramètres!$A$1:$I$89,5,0)</f>
        <v>274.36175520000006</v>
      </c>
      <c r="BF127" s="13">
        <f t="shared" si="91"/>
        <v>65.7740786926813</v>
      </c>
      <c r="BG127" s="20">
        <f t="shared" si="61"/>
        <v>592.4032440297533</v>
      </c>
      <c r="BH127" s="59">
        <f t="shared" si="62"/>
        <v>885.73657736308655</v>
      </c>
      <c r="BI127" s="59">
        <f ca="1">AVERAGE(OFFSET($BH$3,0,0,'Données projet'!$E$11+1,1))-AVERAGE(OFFSET($H$3,0,0,'Données projet'!$E$11+1,1))</f>
        <v>510.71380643466227</v>
      </c>
      <c r="BJ127" s="59">
        <f t="shared" si="92"/>
        <v>252.40654099948841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23.413788842845729</v>
      </c>
      <c r="BQ127" s="21">
        <f>EXP(-LN(2)/25)*BQ126+(1-EXP(-LN(2)/25))/(LN(2)/25)*Calculateur!BL127*Calculateur!BN127*VLOOKUP('Données projet'!$B$11,Paramètres!$A$1:$I$89,3,0)*0.475*44/12</f>
        <v>23.05627910319517</v>
      </c>
      <c r="BR127" s="21">
        <f>EXP(-LN(2)/2)*BR126+(1-EXP(-LN(2)/2))/(LN(2)/2)*BL127*BO127*VLOOKUP('Données projet'!$B$11,Paramètres!$A$1:$I$89,3,0)*0.475*44/12</f>
        <v>2.1788283942375544</v>
      </c>
      <c r="BS127" s="22">
        <f t="shared" si="63"/>
        <v>48.648896340278455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1075.8339501950368</v>
      </c>
      <c r="S128" s="59">
        <f ca="1">AVERAGE(OFFSET($R$3,0,0,'Données projet'!$E$9+1,1))-AVERAGE(OFFSET($H$3,0,0,'Données projet'!$E$9+1,1))</f>
        <v>635.71275911100679</v>
      </c>
      <c r="T128" s="59">
        <f t="shared" si="88"/>
        <v>281.7776857269169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215.44</v>
      </c>
      <c r="AG128" s="12">
        <f>VLOOKUP(A128,'Données projet'!$A$61:$I$81,9,0)</f>
        <v>4.8499999999999943</v>
      </c>
      <c r="AH128" s="12">
        <f t="array" ref="AH128">INDEX(AG:AG,MIN(IF(ISNUMBER(AG128:AG324),ROW(AG128:AG324),"")))</f>
        <v>4.8499999999999943</v>
      </c>
      <c r="AI128" s="13">
        <f>IF('Données projet'!$A$62&gt;35,AI127+AH128-AQ127,IF(A128&lt;'Données projet'!$A$62,$AF$205^A128,IF(A128='Données projet'!$A$62,'Données projet'!$B$62,AI127+AH128-AQ127)))</f>
        <v>215.44000000000025</v>
      </c>
      <c r="AJ128" s="13">
        <f>AI128*VLOOKUP('Données projet'!$B$10,Paramètres!$A$1:$I$89,3,0)*VLOOKUP('Données projet'!$B$10,Paramètres!$A$1:$I$89,5,0)</f>
        <v>231.89961600000024</v>
      </c>
      <c r="AK128" s="13">
        <f t="shared" si="89"/>
        <v>56.693226090154134</v>
      </c>
      <c r="AL128" s="20">
        <f t="shared" si="58"/>
        <v>502.63253330701883</v>
      </c>
      <c r="AM128" s="59">
        <f t="shared" si="59"/>
        <v>795.96586664035215</v>
      </c>
      <c r="AN128" s="59">
        <f ca="1">AVERAGE(OFFSET($AM$3,0,0,'Données projet'!$E$10+1,1))-AVERAGE(OFFSET($H$3,0,0,'Données projet'!$E$10+1,1))</f>
        <v>502.65044103360322</v>
      </c>
      <c r="AO128" s="59">
        <f t="shared" si="90"/>
        <v>321.65762891855167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70.609999999999985</v>
      </c>
      <c r="AR128" s="16">
        <f>IF(ISNA(VLOOKUP(A128,'Données projet'!$A$61:$I$81,5,0)),0%,VLOOKUP(A128,'Données projet'!$A$61:$I$81,5,0)*VLOOKUP('Données projet'!$B$10,Paramètres!$A$1:$I$89,7,0))</f>
        <v>0.19350000000000001</v>
      </c>
      <c r="AS128" s="16">
        <f>IF(ISNA(VLOOKUP(A128,'Données projet'!$A$61:$I$81,6,0)),0%,VLOOKUP(A128,'Données projet'!$A$61:$I$81,6,0)*VLOOKUP('Données projet'!$B$10,Paramètres!$A$1:$I$89,7,0))</f>
        <v>2.1500000000000002E-2</v>
      </c>
      <c r="AT128" s="16">
        <f>IF(ISNA(VLOOKUP(A128,'Données projet'!$A$61:$I$81,7,0)),0%,VLOOKUP(A128,'Données projet'!$A$61:$I$81,7,0))</f>
        <v>0.05</v>
      </c>
      <c r="AU128" s="21">
        <f>EXP(-LN(2)/35)*AU127+(1-EXP(-LN(2)/35))/(LN(2)/35)*AQ128*AR128*VLOOKUP('Données projet'!$B$10,Paramètres!$A$1:$I$89,3,0)*0.475*44/12</f>
        <v>108.68790224555241</v>
      </c>
      <c r="AV128" s="21">
        <f>EXP(-LN(2)/25)*AV127+(1-EXP(-LN(2)/25))/(LN(2)/25)*Calculateur!AQ128*Calculateur!AS128*VLOOKUP('Données projet'!$B$10,Paramètres!$A$1:$I$89,3,0)*0.475*44/12</f>
        <v>27.629577830178413</v>
      </c>
      <c r="AW128" s="21">
        <f>EXP(-LN(2)/2)*AW127+(1-EXP(-LN(2)/2))/(LN(2)/2)*AQ128*AT128*VLOOKUP('Données projet'!$B$10,Paramètres!$A$1:$I$89,3,0)*0.475*44/12</f>
        <v>8.7599131627069529</v>
      </c>
      <c r="AX128" s="21">
        <f t="shared" si="60"/>
        <v>145.07739323843779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7.1129999999999995</v>
      </c>
      <c r="BD128" s="12">
        <f>IF('Données projet'!$A$88&gt;35,BD127+BC128-BL127,IF(A128&lt;'Données projet'!$A$88,$BA$205^A128,IF(A128='Données projet'!$A$88,'Données projet'!$B$88,BD127+BC128-BL127)))</f>
        <v>290.77900000000005</v>
      </c>
      <c r="BE128" s="13">
        <f>BD128*VLOOKUP('Données projet'!$B$11,Paramètres!$A$1:$I$89,3,0)*VLOOKUP('Données projet'!$B$11,Paramètres!$A$1:$I$89,5,0)</f>
        <v>281.24144880000006</v>
      </c>
      <c r="BF128" s="13">
        <f t="shared" si="91"/>
        <v>67.2292951125862</v>
      </c>
      <c r="BG128" s="20">
        <f t="shared" si="61"/>
        <v>606.91987898108778</v>
      </c>
      <c r="BH128" s="59">
        <f t="shared" si="62"/>
        <v>900.25321231442103</v>
      </c>
      <c r="BI128" s="59">
        <f ca="1">AVERAGE(OFFSET($BH$3,0,0,'Données projet'!$E$11+1,1))-AVERAGE(OFFSET($H$3,0,0,'Données projet'!$E$11+1,1))</f>
        <v>510.71380643466227</v>
      </c>
      <c r="BJ128" s="59">
        <f t="shared" si="92"/>
        <v>252.40654099948841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22.954658724638588</v>
      </c>
      <c r="BQ128" s="21">
        <f>EXP(-LN(2)/25)*BQ127+(1-EXP(-LN(2)/25))/(LN(2)/25)*Calculateur!BL128*Calculateur!BN128*VLOOKUP('Données projet'!$B$11,Paramètres!$A$1:$I$89,3,0)*0.475*44/12</f>
        <v>22.425803938641277</v>
      </c>
      <c r="BR128" s="21">
        <f>EXP(-LN(2)/2)*BR127+(1-EXP(-LN(2)/2))/(LN(2)/2)*BL128*BO128*VLOOKUP('Données projet'!$B$11,Paramètres!$A$1:$I$89,3,0)*0.475*44/12</f>
        <v>1.5406643326071712</v>
      </c>
      <c r="BS128" s="22">
        <f t="shared" si="63"/>
        <v>46.921126995887036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1092.9630185156038</v>
      </c>
      <c r="S129" s="59">
        <f ca="1">AVERAGE(OFFSET($R$3,0,0,'Données projet'!$E$9+1,1))-AVERAGE(OFFSET($H$3,0,0,'Données projet'!$E$9+1,1))</f>
        <v>635.71275911100679</v>
      </c>
      <c r="T129" s="59">
        <f t="shared" si="88"/>
        <v>281.7776857269169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3.3249999999999886</v>
      </c>
      <c r="AI129" s="13">
        <f>IF('Données projet'!$A$62&gt;35,AI128+AH129-AQ128,IF(A129&lt;'Données projet'!$A$62,$AF$205^A129,IF(A129='Données projet'!$A$62,'Données projet'!$B$62,AI128+AH129-AQ128)))</f>
        <v>148.15500000000026</v>
      </c>
      <c r="AJ129" s="13">
        <f>AI129*VLOOKUP('Données projet'!$B$10,Paramètres!$A$1:$I$89,3,0)*VLOOKUP('Données projet'!$B$10,Paramètres!$A$1:$I$89,5,0)</f>
        <v>159.47404200000028</v>
      </c>
      <c r="AK129" s="13">
        <f t="shared" si="89"/>
        <v>40.723861387649414</v>
      </c>
      <c r="AL129" s="20">
        <f t="shared" si="58"/>
        <v>348.67801506682321</v>
      </c>
      <c r="AM129" s="59">
        <f t="shared" si="59"/>
        <v>642.01134840015652</v>
      </c>
      <c r="AN129" s="59">
        <f ca="1">AVERAGE(OFFSET($AM$3,0,0,'Données projet'!$E$10+1,1))-AVERAGE(OFFSET($H$3,0,0,'Données projet'!$E$10+1,1))</f>
        <v>502.65044103360322</v>
      </c>
      <c r="AO129" s="59">
        <f t="shared" si="90"/>
        <v>321.65762891855167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106.5565987755916</v>
      </c>
      <c r="AV129" s="21">
        <f>EXP(-LN(2)/25)*AV128+(1-EXP(-LN(2)/25))/(LN(2)/25)*Calculateur!AQ129*Calculateur!AS129*VLOOKUP('Données projet'!$B$10,Paramètres!$A$1:$I$89,3,0)*0.475*44/12</f>
        <v>26.874045571435833</v>
      </c>
      <c r="AW129" s="21">
        <f>EXP(-LN(2)/2)*AW128+(1-EXP(-LN(2)/2))/(LN(2)/2)*AQ129*AT129*VLOOKUP('Données projet'!$B$10,Paramètres!$A$1:$I$89,3,0)*0.475*44/12</f>
        <v>6.1941939999553828</v>
      </c>
      <c r="AX129" s="21">
        <f t="shared" si="60"/>
        <v>139.62483834698281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7.1129999999999995</v>
      </c>
      <c r="BD129" s="12">
        <f>IF('Données projet'!$A$88&gt;35,BD128+BC129-BL128,IF(A129&lt;'Données projet'!$A$88,$BA$205^A129,IF(A129='Données projet'!$A$88,'Données projet'!$B$88,BD128+BC129-BL128)))</f>
        <v>297.89200000000005</v>
      </c>
      <c r="BE129" s="13">
        <f>BD129*VLOOKUP('Données projet'!$B$11,Paramètres!$A$1:$I$89,3,0)*VLOOKUP('Données projet'!$B$11,Paramètres!$A$1:$I$89,5,0)</f>
        <v>288.12114240000005</v>
      </c>
      <c r="BF129" s="13">
        <f t="shared" si="91"/>
        <v>68.680373461245836</v>
      </c>
      <c r="BG129" s="20">
        <f t="shared" si="61"/>
        <v>621.42930679167</v>
      </c>
      <c r="BH129" s="59">
        <f t="shared" si="62"/>
        <v>914.76264012500337</v>
      </c>
      <c r="BI129" s="59">
        <f ca="1">AVERAGE(OFFSET($BH$3,0,0,'Données projet'!$E$11+1,1))-AVERAGE(OFFSET($H$3,0,0,'Données projet'!$E$11+1,1))</f>
        <v>510.71380643466227</v>
      </c>
      <c r="BJ129" s="59">
        <f t="shared" si="92"/>
        <v>252.40654099948841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22.504531868007767</v>
      </c>
      <c r="BQ129" s="21">
        <f>EXP(-LN(2)/25)*BQ128+(1-EXP(-LN(2)/25))/(LN(2)/25)*Calculateur!BL129*Calculateur!BN129*VLOOKUP('Données projet'!$B$11,Paramètres!$A$1:$I$89,3,0)*0.475*44/12</f>
        <v>21.812569150617357</v>
      </c>
      <c r="BR129" s="21">
        <f>EXP(-LN(2)/2)*BR128+(1-EXP(-LN(2)/2))/(LN(2)/2)*BL129*BO129*VLOOKUP('Données projet'!$B$11,Paramètres!$A$1:$I$89,3,0)*0.475*44/12</f>
        <v>1.0894141971187774</v>
      </c>
      <c r="BS129" s="22">
        <f t="shared" si="63"/>
        <v>45.406515215743902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1110.0846789488869</v>
      </c>
      <c r="S130" s="59">
        <f ca="1">AVERAGE(OFFSET($R$3,0,0,'Données projet'!$E$9+1,1))-AVERAGE(OFFSET($H$3,0,0,'Données projet'!$E$9+1,1))</f>
        <v>635.71275911100679</v>
      </c>
      <c r="T130" s="59">
        <f t="shared" si="88"/>
        <v>281.7776857269169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151.47999999999999</v>
      </c>
      <c r="AG130" s="12">
        <f>VLOOKUP(A130,'Données projet'!$A$61:$I$81,9,0)</f>
        <v>3.3249999999999886</v>
      </c>
      <c r="AH130" s="12">
        <f t="array" ref="AH130">INDEX(AG:AG,MIN(IF(ISNUMBER(AG130:AG326),ROW(AG130:AG326),"")))</f>
        <v>3.3249999999999886</v>
      </c>
      <c r="AI130" s="13">
        <f>IF('Données projet'!$A$62&gt;35,AI129+AH130-AQ129,IF(A130&lt;'Données projet'!$A$62,$AF$205^A130,IF(A130='Données projet'!$A$62,'Données projet'!$B$62,AI129+AH130-AQ129)))</f>
        <v>151.48000000000025</v>
      </c>
      <c r="AJ130" s="13">
        <f>AI130*VLOOKUP('Données projet'!$B$10,Paramètres!$A$1:$I$89,3,0)*VLOOKUP('Données projet'!$B$10,Paramètres!$A$1:$I$89,5,0)</f>
        <v>163.05307200000027</v>
      </c>
      <c r="AK130" s="13">
        <f t="shared" si="89"/>
        <v>41.530384934528691</v>
      </c>
      <c r="AL130" s="20">
        <f t="shared" si="58"/>
        <v>356.31618749430459</v>
      </c>
      <c r="AM130" s="59">
        <f t="shared" si="59"/>
        <v>649.64952082763784</v>
      </c>
      <c r="AN130" s="59">
        <f ca="1">AVERAGE(OFFSET($AM$3,0,0,'Données projet'!$E$10+1,1))-AVERAGE(OFFSET($H$3,0,0,'Données projet'!$E$10+1,1))</f>
        <v>502.65044103360322</v>
      </c>
      <c r="AO130" s="59">
        <f t="shared" si="90"/>
        <v>321.65762891855167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46.039999999999992</v>
      </c>
      <c r="AR130" s="16">
        <f>IF(ISNA(VLOOKUP(A130,'Données projet'!$A$61:$I$81,5,0)),0%,VLOOKUP(A130,'Données projet'!$A$61:$I$81,5,0)*VLOOKUP('Données projet'!$B$10,Paramètres!$A$1:$I$89,7,0))</f>
        <v>0.19350000000000001</v>
      </c>
      <c r="AS130" s="16">
        <f>IF(ISNA(VLOOKUP(A130,'Données projet'!$A$61:$I$81,6,0)),0%,VLOOKUP(A130,'Données projet'!$A$61:$I$81,6,0)*VLOOKUP('Données projet'!$B$10,Paramètres!$A$1:$I$89,7,0))</f>
        <v>2.1500000000000002E-2</v>
      </c>
      <c r="AT130" s="16">
        <f>IF(ISNA(VLOOKUP(A130,'Données projet'!$A$61:$I$81,7,0)),0%,VLOOKUP(A130,'Données projet'!$A$61:$I$81,7,0))</f>
        <v>0.05</v>
      </c>
      <c r="AU130" s="21">
        <f>EXP(-LN(2)/35)*AU129+(1-EXP(-LN(2)/35))/(LN(2)/35)*AQ130*AR130*VLOOKUP('Données projet'!$B$10,Paramètres!$A$1:$I$89,3,0)*0.475*44/12</f>
        <v>115.06785085730691</v>
      </c>
      <c r="AV130" s="21">
        <f>EXP(-LN(2)/25)*AV129+(1-EXP(-LN(2)/25))/(LN(2)/25)*Calculateur!AQ130*Calculateur!AS130*VLOOKUP('Données projet'!$B$10,Paramètres!$A$1:$I$89,3,0)*0.475*44/12</f>
        <v>27.312398132199505</v>
      </c>
      <c r="AW130" s="21">
        <f>EXP(-LN(2)/2)*AW129+(1-EXP(-LN(2)/2))/(LN(2)/2)*AQ130*AT130*VLOOKUP('Données projet'!$B$10,Paramètres!$A$1:$I$89,3,0)*0.475*44/12</f>
        <v>6.7178962591220905</v>
      </c>
      <c r="AX130" s="21">
        <f t="shared" si="60"/>
        <v>149.0981452486285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7.1129999999999995</v>
      </c>
      <c r="BD130" s="12">
        <f>IF('Données projet'!$A$88&gt;35,BD129+BC130-BL129,IF(A130&lt;'Données projet'!$A$88,$BA$205^A130,IF(A130='Données projet'!$A$88,'Données projet'!$B$88,BD129+BC130-BL129)))</f>
        <v>305.00500000000005</v>
      </c>
      <c r="BE130" s="13">
        <f>BD130*VLOOKUP('Données projet'!$B$11,Paramètres!$A$1:$I$89,3,0)*VLOOKUP('Données projet'!$B$11,Paramètres!$A$1:$I$89,5,0)</f>
        <v>295.00083600000005</v>
      </c>
      <c r="BF130" s="13">
        <f t="shared" si="91"/>
        <v>70.127423915882019</v>
      </c>
      <c r="BG130" s="20">
        <f t="shared" si="61"/>
        <v>635.93171935349449</v>
      </c>
      <c r="BH130" s="59">
        <f t="shared" si="62"/>
        <v>929.26505268682786</v>
      </c>
      <c r="BI130" s="59">
        <f ca="1">AVERAGE(OFFSET($BH$3,0,0,'Données projet'!$E$11+1,1))-AVERAGE(OFFSET($H$3,0,0,'Données projet'!$E$11+1,1))</f>
        <v>510.71380643466227</v>
      </c>
      <c r="BJ130" s="59">
        <f t="shared" si="92"/>
        <v>252.40654099948841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22.063231724485203</v>
      </c>
      <c r="BQ130" s="21">
        <f>EXP(-LN(2)/25)*BQ129+(1-EXP(-LN(2)/25))/(LN(2)/25)*Calculateur!BL130*Calculateur!BN130*VLOOKUP('Données projet'!$B$11,Paramètres!$A$1:$I$89,3,0)*0.475*44/12</f>
        <v>21.216103300120565</v>
      </c>
      <c r="BR130" s="21">
        <f>EXP(-LN(2)/2)*BR129+(1-EXP(-LN(2)/2))/(LN(2)/2)*BL130*BO130*VLOOKUP('Données projet'!$B$11,Paramètres!$A$1:$I$89,3,0)*0.475*44/12</f>
        <v>0.7703321663035857</v>
      </c>
      <c r="BS130" s="22">
        <f t="shared" si="63"/>
        <v>44.049667190909354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1127.199108500065</v>
      </c>
      <c r="S131" s="59">
        <f ca="1">AVERAGE(OFFSET($R$3,0,0,'Données projet'!$E$9+1,1))-AVERAGE(OFFSET($H$3,0,0,'Données projet'!$E$9+1,1))</f>
        <v>635.71275911100679</v>
      </c>
      <c r="T131" s="59">
        <f t="shared" si="88"/>
        <v>281.7776857269169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2.4366666666666674</v>
      </c>
      <c r="AI131" s="13">
        <f>IF('Données projet'!$A$62&gt;35,AI130+AH131-AQ130,IF(A131&lt;'Données projet'!$A$62,$AF$205^A131,IF(A131='Données projet'!$A$62,'Données projet'!$B$62,AI130+AH131-AQ130)))</f>
        <v>107.87666666666692</v>
      </c>
      <c r="AJ131" s="13">
        <f>AI131*VLOOKUP('Données projet'!$B$10,Paramètres!$A$1:$I$89,3,0)*VLOOKUP('Données projet'!$B$10,Paramètres!$A$1:$I$89,5,0)</f>
        <v>116.11844400000027</v>
      </c>
      <c r="AK131" s="13">
        <f t="shared" si="89"/>
        <v>30.767964932307216</v>
      </c>
      <c r="AL131" s="20">
        <f t="shared" si="58"/>
        <v>255.82716222376891</v>
      </c>
      <c r="AM131" s="59">
        <f t="shared" si="59"/>
        <v>549.16049555710219</v>
      </c>
      <c r="AN131" s="59">
        <f ca="1">AVERAGE(OFFSET($AM$3,0,0,'Données projet'!$E$10+1,1))-AVERAGE(OFFSET($H$3,0,0,'Données projet'!$E$10+1,1))</f>
        <v>502.65044103360322</v>
      </c>
      <c r="AO131" s="59">
        <f t="shared" si="90"/>
        <v>321.65762891855167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112.811440486454</v>
      </c>
      <c r="AV131" s="21">
        <f>EXP(-LN(2)/25)*AV130+(1-EXP(-LN(2)/25))/(LN(2)/25)*Calculateur!AQ131*Calculateur!AS131*VLOOKUP('Données projet'!$B$10,Paramètres!$A$1:$I$89,3,0)*0.475*44/12</f>
        <v>26.565539168977914</v>
      </c>
      <c r="AW131" s="21">
        <f>EXP(-LN(2)/2)*AW130+(1-EXP(-LN(2)/2))/(LN(2)/2)*AQ131*AT131*VLOOKUP('Données projet'!$B$10,Paramètres!$A$1:$I$89,3,0)*0.475*44/12</f>
        <v>4.7502700001329705</v>
      </c>
      <c r="AX131" s="21">
        <f t="shared" si="60"/>
        <v>144.12724965556487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7.1129999999999995</v>
      </c>
      <c r="BD131" s="12">
        <f>IF('Données projet'!$A$88&gt;35,BD130+BC131-BL130,IF(A131&lt;'Données projet'!$A$88,$BA$205^A131,IF(A131='Données projet'!$A$88,'Données projet'!$B$88,BD130+BC131-BL130)))</f>
        <v>312.11800000000005</v>
      </c>
      <c r="BE131" s="13">
        <f>BD131*VLOOKUP('Données projet'!$B$11,Paramètres!$A$1:$I$89,3,0)*VLOOKUP('Données projet'!$B$11,Paramètres!$A$1:$I$89,5,0)</f>
        <v>301.88052960000005</v>
      </c>
      <c r="BF131" s="13">
        <f t="shared" si="91"/>
        <v>71.570551221656345</v>
      </c>
      <c r="BG131" s="20">
        <f t="shared" si="61"/>
        <v>650.42729909771822</v>
      </c>
      <c r="BH131" s="59">
        <f t="shared" si="62"/>
        <v>943.76063243105159</v>
      </c>
      <c r="BI131" s="59">
        <f ca="1">AVERAGE(OFFSET($BH$3,0,0,'Données projet'!$E$11+1,1))-AVERAGE(OFFSET($H$3,0,0,'Données projet'!$E$11+1,1))</f>
        <v>510.71380643466227</v>
      </c>
      <c r="BJ131" s="59">
        <f t="shared" si="92"/>
        <v>252.40654099948841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21.630585207610608</v>
      </c>
      <c r="BQ131" s="21">
        <f>EXP(-LN(2)/25)*BQ130+(1-EXP(-LN(2)/25))/(LN(2)/25)*Calculateur!BL131*Calculateur!BN131*VLOOKUP('Données projet'!$B$11,Paramètres!$A$1:$I$89,3,0)*0.475*44/12</f>
        <v>20.635947839672387</v>
      </c>
      <c r="BR131" s="21">
        <f>EXP(-LN(2)/2)*BR130+(1-EXP(-LN(2)/2))/(LN(2)/2)*BL131*BO131*VLOOKUP('Données projet'!$B$11,Paramètres!$A$1:$I$89,3,0)*0.475*44/12</f>
        <v>0.5447070985593887</v>
      </c>
      <c r="BS131" s="22">
        <f t="shared" si="63"/>
        <v>42.811240145842376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1144.306476323979</v>
      </c>
      <c r="S132" s="59">
        <f ca="1">AVERAGE(OFFSET($R$3,0,0,'Données projet'!$E$9+1,1))-AVERAGE(OFFSET($H$3,0,0,'Données projet'!$E$9+1,1))</f>
        <v>635.71275911100679</v>
      </c>
      <c r="T132" s="59">
        <f t="shared" si="88"/>
        <v>281.7776857269169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2.4366666666666674</v>
      </c>
      <c r="AI132" s="13">
        <f>IF('Données projet'!$A$62&gt;35,AI131+AH132-AQ131,IF(A132&lt;'Données projet'!$A$62,$AF$205^A132,IF(A132='Données projet'!$A$62,'Données projet'!$B$62,AI131+AH132-AQ131)))</f>
        <v>110.31333333333359</v>
      </c>
      <c r="AJ132" s="13">
        <f>AI132*VLOOKUP('Données projet'!$B$10,Paramètres!$A$1:$I$89,3,0)*VLOOKUP('Données projet'!$B$10,Paramètres!$A$1:$I$89,5,0)</f>
        <v>118.74127200000028</v>
      </c>
      <c r="AK132" s="13">
        <f t="shared" si="89"/>
        <v>31.381241731102591</v>
      </c>
      <c r="AL132" s="20">
        <f t="shared" ref="AL132:AL153" si="112">(AJ132+AK132)*0.475*44/12</f>
        <v>261.46337808167078</v>
      </c>
      <c r="AM132" s="59">
        <f t="shared" ref="AM132:AM195" si="113">AL132+(AD132+AE132)*44/12</f>
        <v>554.7967114150041</v>
      </c>
      <c r="AN132" s="59">
        <f ca="1">AVERAGE(OFFSET($AM$3,0,0,'Données projet'!$E$10+1,1))-AVERAGE(OFFSET($H$3,0,0,'Données projet'!$E$10+1,1))</f>
        <v>502.65044103360322</v>
      </c>
      <c r="AO132" s="59">
        <f t="shared" si="90"/>
        <v>321.65762891855167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110.59927694669909</v>
      </c>
      <c r="AV132" s="21">
        <f>EXP(-LN(2)/25)*AV131+(1-EXP(-LN(2)/25))/(LN(2)/25)*Calculateur!AQ132*Calculateur!AS132*VLOOKUP('Données projet'!$B$10,Paramètres!$A$1:$I$89,3,0)*0.475*44/12</f>
        <v>25.839103103381223</v>
      </c>
      <c r="AW132" s="21">
        <f>EXP(-LN(2)/2)*AW131+(1-EXP(-LN(2)/2))/(LN(2)/2)*AQ132*AT132*VLOOKUP('Données projet'!$B$10,Paramètres!$A$1:$I$89,3,0)*0.475*44/12</f>
        <v>3.3589481295610457</v>
      </c>
      <c r="AX132" s="21">
        <f t="shared" ref="AX132:AX153" si="114">SUM(AU132:AW132)</f>
        <v>139.79732817964137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7.1129999999999995</v>
      </c>
      <c r="BD132" s="12">
        <f>IF('Données projet'!$A$88&gt;35,BD131+BC132-BL131,IF(A132&lt;'Données projet'!$A$88,$BA$205^A132,IF(A132='Données projet'!$A$88,'Données projet'!$B$88,BD131+BC132-BL131)))</f>
        <v>319.23100000000005</v>
      </c>
      <c r="BE132" s="13">
        <f>BD132*VLOOKUP('Données projet'!$B$11,Paramètres!$A$1:$I$89,3,0)*VLOOKUP('Données projet'!$B$11,Paramètres!$A$1:$I$89,5,0)</f>
        <v>308.7602232000001</v>
      </c>
      <c r="BF132" s="13">
        <f t="shared" si="91"/>
        <v>73.009855077083458</v>
      </c>
      <c r="BG132" s="20">
        <f t="shared" ref="BG132:BG153" si="115">(BE132+BF132)*0.475*44/12</f>
        <v>664.91621966592049</v>
      </c>
      <c r="BH132" s="59">
        <f t="shared" ref="BH132:BH195" si="116">BG132+(AY132+AZ132)*44/12</f>
        <v>958.24955299925386</v>
      </c>
      <c r="BI132" s="59">
        <f ca="1">AVERAGE(OFFSET($BH$3,0,0,'Données projet'!$E$11+1,1))-AVERAGE(OFFSET($H$3,0,0,'Données projet'!$E$11+1,1))</f>
        <v>510.71380643466227</v>
      </c>
      <c r="BJ132" s="59">
        <f t="shared" si="92"/>
        <v>252.40654099948841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21.206422625043604</v>
      </c>
      <c r="BQ132" s="21">
        <f>EXP(-LN(2)/25)*BQ131+(1-EXP(-LN(2)/25))/(LN(2)/25)*Calculateur!BL132*Calculateur!BN132*VLOOKUP('Données projet'!$B$11,Paramètres!$A$1:$I$89,3,0)*0.475*44/12</f>
        <v>20.071656760799211</v>
      </c>
      <c r="BR132" s="21">
        <f>EXP(-LN(2)/2)*BR131+(1-EXP(-LN(2)/2))/(LN(2)/2)*BL132*BO132*VLOOKUP('Données projet'!$B$11,Paramètres!$A$1:$I$89,3,0)*0.475*44/12</f>
        <v>0.38516608315179285</v>
      </c>
      <c r="BS132" s="22">
        <f t="shared" ref="BS132:BS153" si="117">SUM(BP132:BR132)</f>
        <v>41.66324546899461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1161.4069442273214</v>
      </c>
      <c r="S133" s="59">
        <f ca="1">AVERAGE(OFFSET($R$3,0,0,'Données projet'!$E$9+1,1))-AVERAGE(OFFSET($H$3,0,0,'Données projet'!$E$9+1,1))</f>
        <v>635.71275911100679</v>
      </c>
      <c r="T133" s="59">
        <f t="shared" ref="T133:T196" si="142">$T$3</f>
        <v>281.7776857269169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112.75</v>
      </c>
      <c r="AG133" s="12">
        <f>VLOOKUP(A133,'Données projet'!$A$61:$I$81,9,0)</f>
        <v>2.4366666666666674</v>
      </c>
      <c r="AH133" s="12">
        <f t="array" ref="AH133">INDEX(AG:AG,MIN(IF(ISNUMBER(AG133:AG329),ROW(AG133:AG329),"")))</f>
        <v>2.4366666666666674</v>
      </c>
      <c r="AI133" s="13">
        <f>IF('Données projet'!$A$62&gt;35,AI132+AH133-AQ132,IF(A133&lt;'Données projet'!$A$62,$AF$205^A133,IF(A133='Données projet'!$A$62,'Données projet'!$B$62,AI132+AH133-AQ132)))</f>
        <v>112.75000000000026</v>
      </c>
      <c r="AJ133" s="13">
        <f>AI133*VLOOKUP('Données projet'!$B$10,Paramètres!$A$1:$I$89,3,0)*VLOOKUP('Données projet'!$B$10,Paramètres!$A$1:$I$89,5,0)</f>
        <v>121.36410000000026</v>
      </c>
      <c r="AK133" s="13">
        <f t="shared" ref="AK133:AK153" si="143">EXP(-1.0587+0.8836*LN(AJ133)+0.284)</f>
        <v>31.992943616170425</v>
      </c>
      <c r="AL133" s="20">
        <f t="shared" si="112"/>
        <v>267.09685096483059</v>
      </c>
      <c r="AM133" s="59">
        <f t="shared" si="113"/>
        <v>560.43018429816391</v>
      </c>
      <c r="AN133" s="59">
        <f ca="1">AVERAGE(OFFSET($AM$3,0,0,'Données projet'!$E$10+1,1))-AVERAGE(OFFSET($H$3,0,0,'Données projet'!$E$10+1,1))</f>
        <v>502.65044103360322</v>
      </c>
      <c r="AO133" s="59">
        <f t="shared" ref="AO133:AO196" si="144">$AO$3</f>
        <v>321.65762891855167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112.75</v>
      </c>
      <c r="AR133" s="16">
        <f>IF(ISNA(VLOOKUP(A133,'Données projet'!$A$61:$I$81,5,0)),0%,VLOOKUP(A133,'Données projet'!$A$61:$I$81,5,0)*VLOOKUP('Données projet'!$B$10,Paramètres!$A$1:$I$89,7,0))</f>
        <v>0.19350000000000001</v>
      </c>
      <c r="AS133" s="16">
        <f>IF(ISNA(VLOOKUP(A133,'Données projet'!$A$61:$I$81,6,0)),0%,VLOOKUP(A133,'Données projet'!$A$61:$I$81,6,0)*VLOOKUP('Données projet'!$B$10,Paramètres!$A$1:$I$89,7,0))</f>
        <v>2.1500000000000002E-2</v>
      </c>
      <c r="AT133" s="16">
        <f>IF(ISNA(VLOOKUP(A133,'Données projet'!$A$61:$I$81,7,0)),0%,VLOOKUP(A133,'Données projet'!$A$61:$I$81,7,0))</f>
        <v>0.05</v>
      </c>
      <c r="AU133" s="21">
        <f>EXP(-LN(2)/35)*AU132+(1-EXP(-LN(2)/35))/(LN(2)/35)*AQ133*AR133*VLOOKUP('Données projet'!$B$10,Paramètres!$A$1:$I$89,3,0)*0.475*44/12</f>
        <v>134.39130740743084</v>
      </c>
      <c r="AV133" s="21">
        <f>EXP(-LN(2)/25)*AV132+(1-EXP(-LN(2)/25))/(LN(2)/25)*Calculateur!AQ133*Calculateur!AS133*VLOOKUP('Données projet'!$B$10,Paramètres!$A$1:$I$89,3,0)*0.475*44/12</f>
        <v>28.005708937194935</v>
      </c>
      <c r="AW133" s="21">
        <f>EXP(-LN(2)/2)*AW132+(1-EXP(-LN(2)/2))/(LN(2)/2)*AQ133*AT133*VLOOKUP('Données projet'!$B$10,Paramètres!$A$1:$I$89,3,0)*0.475*44/12</f>
        <v>8.1006497409094749</v>
      </c>
      <c r="AX133" s="21">
        <f t="shared" si="114"/>
        <v>170.49766608553523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7.1129999999999995</v>
      </c>
      <c r="BD133" s="12">
        <f>IF('Données projet'!$A$88&gt;35,BD132+BC133-BL132,IF(A133&lt;'Données projet'!$A$88,$BA$205^A133,IF(A133='Données projet'!$A$88,'Données projet'!$B$88,BD132+BC133-BL132)))</f>
        <v>326.34400000000005</v>
      </c>
      <c r="BE133" s="13">
        <f>BD133*VLOOKUP('Données projet'!$B$11,Paramètres!$A$1:$I$89,3,0)*VLOOKUP('Données projet'!$B$11,Paramètres!$A$1:$I$89,5,0)</f>
        <v>315.63991680000004</v>
      </c>
      <c r="BF133" s="13">
        <f t="shared" ref="BF133:BF153" si="145">EXP(-1.0587+0.8836*LN(BE133)+0.284)</f>
        <v>74.445430484125623</v>
      </c>
      <c r="BG133" s="20">
        <f t="shared" si="115"/>
        <v>679.39864651985215</v>
      </c>
      <c r="BH133" s="59">
        <f t="shared" si="116"/>
        <v>972.73197985318552</v>
      </c>
      <c r="BI133" s="59">
        <f ca="1">AVERAGE(OFFSET($BH$3,0,0,'Données projet'!$E$11+1,1))-AVERAGE(OFFSET($H$3,0,0,'Données projet'!$E$11+1,1))</f>
        <v>510.71380643466227</v>
      </c>
      <c r="BJ133" s="59">
        <f t="shared" ref="BJ133:BJ196" si="146">$BJ$3</f>
        <v>252.40654099948841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20.790577612007112</v>
      </c>
      <c r="BQ133" s="21">
        <f>EXP(-LN(2)/25)*BQ132+(1-EXP(-LN(2)/25))/(LN(2)/25)*Calculateur!BL133*Calculateur!BN133*VLOOKUP('Données projet'!$B$11,Paramètres!$A$1:$I$89,3,0)*0.475*44/12</f>
        <v>19.522796251152602</v>
      </c>
      <c r="BR133" s="21">
        <f>EXP(-LN(2)/2)*BR132+(1-EXP(-LN(2)/2))/(LN(2)/2)*BL133*BO133*VLOOKUP('Données projet'!$B$11,Paramètres!$A$1:$I$89,3,0)*0.475*44/12</f>
        <v>0.27235354927969435</v>
      </c>
      <c r="BS133" s="22">
        <f t="shared" si="117"/>
        <v>40.585727412439404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1178.5006671292438</v>
      </c>
      <c r="S134" s="59">
        <f ca="1">AVERAGE(OFFSET($R$3,0,0,'Données projet'!$E$9+1,1))-AVERAGE(OFFSET($H$3,0,0,'Données projet'!$E$9+1,1))</f>
        <v>635.71275911100679</v>
      </c>
      <c r="T134" s="59">
        <f t="shared" si="142"/>
        <v>281.7776857269169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2.5579538487363607E-13</v>
      </c>
      <c r="AJ134" s="13">
        <f>AI134*VLOOKUP('Données projet'!$B$10,Paramètres!$A$1:$I$89,3,0)*VLOOKUP('Données projet'!$B$10,Paramètres!$A$1:$I$89,5,0)</f>
        <v>2.7533815227798186E-13</v>
      </c>
      <c r="AK134" s="13">
        <f t="shared" si="143"/>
        <v>3.6763598146902537E-12</v>
      </c>
      <c r="AL134" s="20">
        <f t="shared" si="112"/>
        <v>6.88254062580301E-12</v>
      </c>
      <c r="AM134" s="59">
        <f t="shared" si="113"/>
        <v>293.33333333334019</v>
      </c>
      <c r="AN134" s="59">
        <f ca="1">AVERAGE(OFFSET($AM$3,0,0,'Données projet'!$E$10+1,1))-AVERAGE(OFFSET($H$3,0,0,'Données projet'!$E$10+1,1))</f>
        <v>502.65044103360322</v>
      </c>
      <c r="AO134" s="59">
        <f t="shared" si="144"/>
        <v>321.65762891855167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131.75597583977472</v>
      </c>
      <c r="AV134" s="21">
        <f>EXP(-LN(2)/25)*AV133+(1-EXP(-LN(2)/25))/(LN(2)/25)*Calculateur!AQ134*Calculateur!AS134*VLOOKUP('Données projet'!$B$10,Paramètres!$A$1:$I$89,3,0)*0.475*44/12</f>
        <v>27.239891353551116</v>
      </c>
      <c r="AW134" s="21">
        <f>EXP(-LN(2)/2)*AW133+(1-EXP(-LN(2)/2))/(LN(2)/2)*AQ134*AT134*VLOOKUP('Données projet'!$B$10,Paramètres!$A$1:$I$89,3,0)*0.475*44/12</f>
        <v>5.7280243638141393</v>
      </c>
      <c r="AX134" s="21">
        <f t="shared" si="114"/>
        <v>164.72389155713998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7.1129999999999995</v>
      </c>
      <c r="BD134" s="12">
        <f>IF('Données projet'!$A$88&gt;35,BD133+BC134-BL133,IF(A134&lt;'Données projet'!$A$88,$BA$205^A134,IF(A134='Données projet'!$A$88,'Données projet'!$B$88,BD133+BC134-BL133)))</f>
        <v>333.45700000000005</v>
      </c>
      <c r="BE134" s="13">
        <f>BD134*VLOOKUP('Données projet'!$B$11,Paramètres!$A$1:$I$89,3,0)*VLOOKUP('Données projet'!$B$11,Paramètres!$A$1:$I$89,5,0)</f>
        <v>322.51961040000003</v>
      </c>
      <c r="BF134" s="13">
        <f t="shared" si="145"/>
        <v>75.877368066903443</v>
      </c>
      <c r="BG134" s="20">
        <f t="shared" si="115"/>
        <v>693.87473749652361</v>
      </c>
      <c r="BH134" s="59">
        <f t="shared" si="116"/>
        <v>987.20807082985698</v>
      </c>
      <c r="BI134" s="59">
        <f ca="1">AVERAGE(OFFSET($BH$3,0,0,'Données projet'!$E$11+1,1))-AVERAGE(OFFSET($H$3,0,0,'Données projet'!$E$11+1,1))</f>
        <v>510.71380643466227</v>
      </c>
      <c r="BJ134" s="59">
        <f t="shared" si="146"/>
        <v>252.40654099948841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20.382887066035853</v>
      </c>
      <c r="BQ134" s="21">
        <f>EXP(-LN(2)/25)*BQ133+(1-EXP(-LN(2)/25))/(LN(2)/25)*Calculateur!BL134*Calculateur!BN134*VLOOKUP('Données projet'!$B$11,Paramètres!$A$1:$I$89,3,0)*0.475*44/12</f>
        <v>18.988944361005601</v>
      </c>
      <c r="BR134" s="21">
        <f>EXP(-LN(2)/2)*BR133+(1-EXP(-LN(2)/2))/(LN(2)/2)*BL134*BO134*VLOOKUP('Données projet'!$B$11,Paramètres!$A$1:$I$89,3,0)*0.475*44/12</f>
        <v>0.19258304157589642</v>
      </c>
      <c r="BS134" s="22">
        <f t="shared" si="117"/>
        <v>39.56441446861735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1195.5877934845751</v>
      </c>
      <c r="S135" s="59">
        <f ca="1">AVERAGE(OFFSET($R$3,0,0,'Données projet'!$E$9+1,1))-AVERAGE(OFFSET($H$3,0,0,'Données projet'!$E$9+1,1))</f>
        <v>635.71275911100679</v>
      </c>
      <c r="T135" s="59">
        <f t="shared" si="142"/>
        <v>281.7776857269169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2.5579538487363607E-13</v>
      </c>
      <c r="AJ135" s="13">
        <f>AI135*VLOOKUP('Données projet'!$B$10,Paramètres!$A$1:$I$89,3,0)*VLOOKUP('Données projet'!$B$10,Paramètres!$A$1:$I$89,5,0)</f>
        <v>2.7533815227798186E-13</v>
      </c>
      <c r="AK135" s="13">
        <f t="shared" si="143"/>
        <v>3.6763598146902537E-12</v>
      </c>
      <c r="AL135" s="20">
        <f t="shared" si="112"/>
        <v>6.88254062580301E-12</v>
      </c>
      <c r="AM135" s="59">
        <f t="shared" si="113"/>
        <v>293.33333333334019</v>
      </c>
      <c r="AN135" s="59">
        <f ca="1">AVERAGE(OFFSET($AM$3,0,0,'Données projet'!$E$10+1,1))-AVERAGE(OFFSET($H$3,0,0,'Données projet'!$E$10+1,1))</f>
        <v>502.65044103360322</v>
      </c>
      <c r="AO135" s="59">
        <f t="shared" si="144"/>
        <v>321.65762891855167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129.1723215167668</v>
      </c>
      <c r="AV135" s="21">
        <f>EXP(-LN(2)/25)*AV134+(1-EXP(-LN(2)/25))/(LN(2)/25)*Calculateur!AQ135*Calculateur!AS135*VLOOKUP('Données projet'!$B$10,Paramètres!$A$1:$I$89,3,0)*0.475*44/12</f>
        <v>26.495015092004632</v>
      </c>
      <c r="AW135" s="21">
        <f>EXP(-LN(2)/2)*AW134+(1-EXP(-LN(2)/2))/(LN(2)/2)*AQ135*AT135*VLOOKUP('Données projet'!$B$10,Paramètres!$A$1:$I$89,3,0)*0.475*44/12</f>
        <v>4.0503248704547383</v>
      </c>
      <c r="AX135" s="21">
        <f t="shared" si="114"/>
        <v>159.71766147922617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>
        <f>VLOOKUP(A135,'Données projet'!$A$87:$I$107,2,0)</f>
        <v>340.57</v>
      </c>
      <c r="BB135" s="12">
        <f>VLOOKUP(A135,'Données projet'!$A$87:$I$107,9,0)</f>
        <v>7.1129999999999995</v>
      </c>
      <c r="BC135" s="12">
        <f t="array" ref="BC135">INDEX(BB:BB,MIN(IF(ISNUMBER(BB135:BB331),ROW(BB135:BB331),"")))</f>
        <v>7.1129999999999995</v>
      </c>
      <c r="BD135" s="12">
        <f>IF('Données projet'!$A$88&gt;35,BD134+BC135-BL134,IF(A135&lt;'Données projet'!$A$88,$BA$205^A135,IF(A135='Données projet'!$A$88,'Données projet'!$B$88,BD134+BC135-BL134)))</f>
        <v>340.57000000000005</v>
      </c>
      <c r="BE135" s="13">
        <f>BD135*VLOOKUP('Données projet'!$B$11,Paramètres!$A$1:$I$89,3,0)*VLOOKUP('Données projet'!$B$11,Paramètres!$A$1:$I$89,5,0)</f>
        <v>329.39930400000009</v>
      </c>
      <c r="BF135" s="13">
        <f t="shared" si="145"/>
        <v>77.305754362445725</v>
      </c>
      <c r="BG135" s="20">
        <f t="shared" si="115"/>
        <v>708.3446433145931</v>
      </c>
      <c r="BH135" s="59">
        <f t="shared" si="116"/>
        <v>1001.6779766479265</v>
      </c>
      <c r="BI135" s="59">
        <f ca="1">AVERAGE(OFFSET($BH$3,0,0,'Données projet'!$E$11+1,1))-AVERAGE(OFFSET($H$3,0,0,'Données projet'!$E$11+1,1))</f>
        <v>510.71380643466227</v>
      </c>
      <c r="BJ135" s="59">
        <f t="shared" si="146"/>
        <v>252.40654099948841</v>
      </c>
      <c r="BK135" s="15">
        <f>IF(ISNA(VLOOKUP(A135,'Données projet'!$A$87:$I$107,3,0)),0,VLOOKUP(A135,'Données projet'!$A$87:$I$107,3,0))</f>
        <v>9</v>
      </c>
      <c r="BL135" s="15">
        <f>IF(ISNA(VLOOKUP(A135,'Données projet'!$A$87:$I$107,4,0)),0,VLOOKUP(A135,'Données projet'!$A$87:$I$107,4,0))</f>
        <v>48.699999999999989</v>
      </c>
      <c r="BM135" s="16">
        <f>IF(ISNA(VLOOKUP(A135,'Données projet'!$A$87:$I$107,5,0)),0%,VLOOKUP(A135,'Données projet'!$A$87:$I$107,5,0)*VLOOKUP('Données projet'!$B$11,Paramètres!$A$1:$I$89,7,0))</f>
        <v>0.15049999999999999</v>
      </c>
      <c r="BN135" s="16">
        <f>IF(ISNA(VLOOKUP(A135,'Données projet'!$A$87:$I$107,6,0)),0%,VLOOKUP(A135,'Données projet'!$A$87:$I$107,6,0)*VLOOKUP('Données projet'!$B$11,Paramètres!$A$1:$I$89,7,0))</f>
        <v>8.6000000000000007E-2</v>
      </c>
      <c r="BO135" s="16">
        <f>IF(ISNA(VLOOKUP(A135,'Données projet'!$A$87:$I$107,7,0)),0%,VLOOKUP(A135,'Données projet'!$A$87:$I$107,7,0))</f>
        <v>0.1</v>
      </c>
      <c r="BP135" s="21">
        <f>EXP(-LN(2)/35)*BP134+(1-EXP(-LN(2)/35))/(LN(2)/35)*BL135*BM135*VLOOKUP('Données projet'!$B$11,Paramètres!$A$1:$I$89,3,0)*0.475*44/12</f>
        <v>27.819812367333899</v>
      </c>
      <c r="BQ135" s="21">
        <f>EXP(-LN(2)/25)*BQ134+(1-EXP(-LN(2)/25))/(LN(2)/25)*Calculateur!BL135*Calculateur!BN135*VLOOKUP('Données projet'!$B$11,Paramètres!$A$1:$I$89,3,0)*0.475*44/12</f>
        <v>22.930128119066591</v>
      </c>
      <c r="BR135" s="21">
        <f>EXP(-LN(2)/2)*BR134+(1-EXP(-LN(2)/2))/(LN(2)/2)*BL135*BO135*VLOOKUP('Données projet'!$B$11,Paramètres!$A$1:$I$89,3,0)*0.475*44/12</f>
        <v>4.5804376335366808</v>
      </c>
      <c r="BS135" s="22">
        <f t="shared" si="117"/>
        <v>55.330378119937173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1212.6684656733548</v>
      </c>
      <c r="S136" s="59">
        <f ca="1">AVERAGE(OFFSET($R$3,0,0,'Données projet'!$E$9+1,1))-AVERAGE(OFFSET($H$3,0,0,'Données projet'!$E$9+1,1))</f>
        <v>635.71275911100679</v>
      </c>
      <c r="T136" s="59">
        <f t="shared" si="142"/>
        <v>281.7776857269169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2.5579538487363607E-13</v>
      </c>
      <c r="AJ136" s="13">
        <f>AI136*VLOOKUP('Données projet'!$B$10,Paramètres!$A$1:$I$89,3,0)*VLOOKUP('Données projet'!$B$10,Paramètres!$A$1:$I$89,5,0)</f>
        <v>2.7533815227798186E-13</v>
      </c>
      <c r="AK136" s="13">
        <f t="shared" si="143"/>
        <v>3.6763598146902537E-12</v>
      </c>
      <c r="AL136" s="20">
        <f t="shared" si="112"/>
        <v>6.88254062580301E-12</v>
      </c>
      <c r="AM136" s="59">
        <f t="shared" si="113"/>
        <v>293.33333333334019</v>
      </c>
      <c r="AN136" s="59">
        <f ca="1">AVERAGE(OFFSET($AM$3,0,0,'Données projet'!$E$10+1,1))-AVERAGE(OFFSET($H$3,0,0,'Données projet'!$E$10+1,1))</f>
        <v>502.65044103360322</v>
      </c>
      <c r="AO136" s="59">
        <f t="shared" si="144"/>
        <v>321.65762891855167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126.63933107915952</v>
      </c>
      <c r="AV136" s="21">
        <f>EXP(-LN(2)/25)*AV135+(1-EXP(-LN(2)/25))/(LN(2)/25)*Calculateur!AQ136*Calculateur!AS136*VLOOKUP('Données projet'!$B$10,Paramètres!$A$1:$I$89,3,0)*0.475*44/12</f>
        <v>25.770507511001476</v>
      </c>
      <c r="AW136" s="21">
        <f>EXP(-LN(2)/2)*AW135+(1-EXP(-LN(2)/2))/(LN(2)/2)*AQ136*AT136*VLOOKUP('Données projet'!$B$10,Paramètres!$A$1:$I$89,3,0)*0.475*44/12</f>
        <v>2.8640121819070701</v>
      </c>
      <c r="AX136" s="21">
        <f t="shared" si="114"/>
        <v>155.27385077206807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7.3375000000000012</v>
      </c>
      <c r="BD136" s="12">
        <f>IF('Données projet'!$A$88&gt;35,BD135+BC136-BL135,IF(A136&lt;'Données projet'!$A$88,$BA$205^A136,IF(A136='Données projet'!$A$88,'Données projet'!$B$88,BD135+BC136-BL135)))</f>
        <v>299.20750000000004</v>
      </c>
      <c r="BE136" s="13">
        <f>BD136*VLOOKUP('Données projet'!$B$11,Paramètres!$A$1:$I$89,3,0)*VLOOKUP('Données projet'!$B$11,Paramètres!$A$1:$I$89,5,0)</f>
        <v>289.39349400000003</v>
      </c>
      <c r="BF136" s="13">
        <f t="shared" si="145"/>
        <v>68.948295794590706</v>
      </c>
      <c r="BG136" s="20">
        <f t="shared" si="115"/>
        <v>624.1119505589121</v>
      </c>
      <c r="BH136" s="59">
        <f t="shared" si="116"/>
        <v>917.44528389224547</v>
      </c>
      <c r="BI136" s="59">
        <f ca="1">AVERAGE(OFFSET($BH$3,0,0,'Données projet'!$E$11+1,1))-AVERAGE(OFFSET($H$3,0,0,'Données projet'!$E$11+1,1))</f>
        <v>510.71380643466227</v>
      </c>
      <c r="BJ136" s="59">
        <f t="shared" si="146"/>
        <v>252.40654099948841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27.274282815220534</v>
      </c>
      <c r="BQ136" s="21">
        <f>EXP(-LN(2)/25)*BQ135+(1-EXP(-LN(2)/25))/(LN(2)/25)*Calculateur!BL136*Calculateur!BN136*VLOOKUP('Données projet'!$B$11,Paramètres!$A$1:$I$89,3,0)*0.475*44/12</f>
        <v>22.303102559807684</v>
      </c>
      <c r="BR136" s="21">
        <f>EXP(-LN(2)/2)*BR135+(1-EXP(-LN(2)/2))/(LN(2)/2)*BL136*BO136*VLOOKUP('Données projet'!$B$11,Paramètres!$A$1:$I$89,3,0)*0.475*44/12</f>
        <v>3.2388585114758497</v>
      </c>
      <c r="BS136" s="22">
        <f t="shared" si="117"/>
        <v>52.816243886504061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1229.7428203599443</v>
      </c>
      <c r="S137" s="59">
        <f ca="1">AVERAGE(OFFSET($R$3,0,0,'Données projet'!$E$9+1,1))-AVERAGE(OFFSET($H$3,0,0,'Données projet'!$E$9+1,1))</f>
        <v>635.71275911100679</v>
      </c>
      <c r="T137" s="59">
        <f t="shared" si="142"/>
        <v>281.7776857269169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2.5579538487363607E-13</v>
      </c>
      <c r="AJ137" s="13">
        <f>AI137*VLOOKUP('Données projet'!$B$10,Paramètres!$A$1:$I$89,3,0)*VLOOKUP('Données projet'!$B$10,Paramètres!$A$1:$I$89,5,0)</f>
        <v>2.7533815227798186E-13</v>
      </c>
      <c r="AK137" s="13">
        <f t="shared" si="143"/>
        <v>3.6763598146902537E-12</v>
      </c>
      <c r="AL137" s="20">
        <f t="shared" si="112"/>
        <v>6.88254062580301E-12</v>
      </c>
      <c r="AM137" s="59">
        <f t="shared" si="113"/>
        <v>293.33333333334019</v>
      </c>
      <c r="AN137" s="59">
        <f ca="1">AVERAGE(OFFSET($AM$3,0,0,'Données projet'!$E$10+1,1))-AVERAGE(OFFSET($H$3,0,0,'Données projet'!$E$10+1,1))</f>
        <v>502.65044103360322</v>
      </c>
      <c r="AO137" s="59">
        <f t="shared" si="144"/>
        <v>321.65762891855167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124.15601103906211</v>
      </c>
      <c r="AV137" s="21">
        <f>EXP(-LN(2)/25)*AV136+(1-EXP(-LN(2)/25))/(LN(2)/25)*Calculateur!AQ137*Calculateur!AS137*VLOOKUP('Données projet'!$B$10,Paramètres!$A$1:$I$89,3,0)*0.475*44/12</f>
        <v>25.065811627901049</v>
      </c>
      <c r="AW137" s="21">
        <f>EXP(-LN(2)/2)*AW136+(1-EXP(-LN(2)/2))/(LN(2)/2)*AQ137*AT137*VLOOKUP('Données projet'!$B$10,Paramètres!$A$1:$I$89,3,0)*0.475*44/12</f>
        <v>2.0251624352273692</v>
      </c>
      <c r="AX137" s="21">
        <f t="shared" si="114"/>
        <v>151.24698510219054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7.3375000000000012</v>
      </c>
      <c r="BD137" s="12">
        <f>IF('Données projet'!$A$88&gt;35,BD136+BC137-BL136,IF(A137&lt;'Données projet'!$A$88,$BA$205^A137,IF(A137='Données projet'!$A$88,'Données projet'!$B$88,BD136+BC137-BL136)))</f>
        <v>306.54500000000002</v>
      </c>
      <c r="BE137" s="13">
        <f>BD137*VLOOKUP('Données projet'!$B$11,Paramètres!$A$1:$I$89,3,0)*VLOOKUP('Données projet'!$B$11,Paramètres!$A$1:$I$89,5,0)</f>
        <v>296.49032400000004</v>
      </c>
      <c r="BF137" s="13">
        <f t="shared" si="145"/>
        <v>70.44019741922979</v>
      </c>
      <c r="BG137" s="20">
        <f t="shared" si="115"/>
        <v>639.07065813849192</v>
      </c>
      <c r="BH137" s="59">
        <f t="shared" si="116"/>
        <v>932.40399147182529</v>
      </c>
      <c r="BI137" s="59">
        <f ca="1">AVERAGE(OFFSET($BH$3,0,0,'Données projet'!$E$11+1,1))-AVERAGE(OFFSET($H$3,0,0,'Données projet'!$E$11+1,1))</f>
        <v>510.71380643466227</v>
      </c>
      <c r="BJ137" s="59">
        <f t="shared" si="146"/>
        <v>252.40654099948841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26.739450764883941</v>
      </c>
      <c r="BQ137" s="21">
        <f>EXP(-LN(2)/25)*BQ136+(1-EXP(-LN(2)/25))/(LN(2)/25)*Calculateur!BL137*Calculateur!BN137*VLOOKUP('Données projet'!$B$11,Paramètres!$A$1:$I$89,3,0)*0.475*44/12</f>
        <v>21.693223047440554</v>
      </c>
      <c r="BR137" s="21">
        <f>EXP(-LN(2)/2)*BR136+(1-EXP(-LN(2)/2))/(LN(2)/2)*BL137*BO137*VLOOKUP('Données projet'!$B$11,Paramètres!$A$1:$I$89,3,0)*0.475*44/12</f>
        <v>2.2902188167683408</v>
      </c>
      <c r="BS137" s="22">
        <f t="shared" si="117"/>
        <v>50.722892629092833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1131.9435344554777</v>
      </c>
      <c r="S138" s="59">
        <f ca="1">AVERAGE(OFFSET($R$3,0,0,'Données projet'!$E$9+1,1))-AVERAGE(OFFSET($H$3,0,0,'Données projet'!$E$9+1,1))</f>
        <v>635.71275911100679</v>
      </c>
      <c r="T138" s="59">
        <f t="shared" si="142"/>
        <v>281.7776857269169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2.5579538487363607E-13</v>
      </c>
      <c r="AJ138" s="13">
        <f>AI138*VLOOKUP('Données projet'!$B$10,Paramètres!$A$1:$I$89,3,0)*VLOOKUP('Données projet'!$B$10,Paramètres!$A$1:$I$89,5,0)</f>
        <v>2.7533815227798186E-13</v>
      </c>
      <c r="AK138" s="13">
        <f t="shared" si="143"/>
        <v>3.6763598146902537E-12</v>
      </c>
      <c r="AL138" s="20">
        <f t="shared" si="112"/>
        <v>6.88254062580301E-12</v>
      </c>
      <c r="AM138" s="59">
        <f t="shared" si="113"/>
        <v>293.33333333334019</v>
      </c>
      <c r="AN138" s="59">
        <f ca="1">AVERAGE(OFFSET($AM$3,0,0,'Données projet'!$E$10+1,1))-AVERAGE(OFFSET($H$3,0,0,'Données projet'!$E$10+1,1))</f>
        <v>502.65044103360322</v>
      </c>
      <c r="AO138" s="59">
        <f t="shared" si="144"/>
        <v>321.65762891855167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121.72138739027534</v>
      </c>
      <c r="AV138" s="21">
        <f>EXP(-LN(2)/25)*AV137+(1-EXP(-LN(2)/25))/(LN(2)/25)*Calculateur!AQ138*Calculateur!AS138*VLOOKUP('Données projet'!$B$10,Paramètres!$A$1:$I$89,3,0)*0.475*44/12</f>
        <v>24.380385690782351</v>
      </c>
      <c r="AW138" s="21">
        <f>EXP(-LN(2)/2)*AW137+(1-EXP(-LN(2)/2))/(LN(2)/2)*AQ138*AT138*VLOOKUP('Données projet'!$B$10,Paramètres!$A$1:$I$89,3,0)*0.475*44/12</f>
        <v>1.432006090953535</v>
      </c>
      <c r="AX138" s="21">
        <f t="shared" si="114"/>
        <v>147.53377917201124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7.3375000000000012</v>
      </c>
      <c r="BD138" s="12">
        <f>IF('Données projet'!$A$88&gt;35,BD137+BC138-BL137,IF(A138&lt;'Données projet'!$A$88,$BA$205^A138,IF(A138='Données projet'!$A$88,'Données projet'!$B$88,BD137+BC138-BL137)))</f>
        <v>313.88249999999999</v>
      </c>
      <c r="BE138" s="13">
        <f>BD138*VLOOKUP('Données projet'!$B$11,Paramètres!$A$1:$I$89,3,0)*VLOOKUP('Données projet'!$B$11,Paramètres!$A$1:$I$89,5,0)</f>
        <v>303.587154</v>
      </c>
      <c r="BF138" s="13">
        <f t="shared" si="145"/>
        <v>71.927947725812388</v>
      </c>
      <c r="BG138" s="20">
        <f t="shared" si="115"/>
        <v>654.02213550578983</v>
      </c>
      <c r="BH138" s="59">
        <f t="shared" si="116"/>
        <v>947.3554688391232</v>
      </c>
      <c r="BI138" s="59">
        <f ca="1">AVERAGE(OFFSET($BH$3,0,0,'Données projet'!$E$11+1,1))-AVERAGE(OFFSET($H$3,0,0,'Données projet'!$E$11+1,1))</f>
        <v>510.71380643466227</v>
      </c>
      <c r="BJ138" s="59">
        <f t="shared" si="146"/>
        <v>252.40654099948841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26.215106444839108</v>
      </c>
      <c r="BQ138" s="21">
        <f>EXP(-LN(2)/25)*BQ137+(1-EXP(-LN(2)/25))/(LN(2)/25)*Calculateur!BL138*Calculateur!BN138*VLOOKUP('Données projet'!$B$11,Paramètres!$A$1:$I$89,3,0)*0.475*44/12</f>
        <v>21.100020722411273</v>
      </c>
      <c r="BR138" s="21">
        <f>EXP(-LN(2)/2)*BR137+(1-EXP(-LN(2)/2))/(LN(2)/2)*BL138*BO138*VLOOKUP('Données projet'!$B$11,Paramètres!$A$1:$I$89,3,0)*0.475*44/12</f>
        <v>1.6194292557379251</v>
      </c>
      <c r="BS138" s="22">
        <f t="shared" si="117"/>
        <v>48.934556422988308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1149.2783130502216</v>
      </c>
      <c r="S139" s="59">
        <f ca="1">AVERAGE(OFFSET($R$3,0,0,'Données projet'!$E$9+1,1))-AVERAGE(OFFSET($H$3,0,0,'Données projet'!$E$9+1,1))</f>
        <v>635.71275911100679</v>
      </c>
      <c r="T139" s="59">
        <f t="shared" si="142"/>
        <v>281.7776857269169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2.5579538487363607E-13</v>
      </c>
      <c r="AJ139" s="13">
        <f>AI139*VLOOKUP('Données projet'!$B$10,Paramètres!$A$1:$I$89,3,0)*VLOOKUP('Données projet'!$B$10,Paramètres!$A$1:$I$89,5,0)</f>
        <v>2.7533815227798186E-13</v>
      </c>
      <c r="AK139" s="13">
        <f t="shared" si="143"/>
        <v>3.6763598146902537E-12</v>
      </c>
      <c r="AL139" s="20">
        <f t="shared" si="112"/>
        <v>6.88254062580301E-12</v>
      </c>
      <c r="AM139" s="59">
        <f t="shared" si="113"/>
        <v>293.33333333334019</v>
      </c>
      <c r="AN139" s="59">
        <f ca="1">AVERAGE(OFFSET($AM$3,0,0,'Données projet'!$E$10+1,1))-AVERAGE(OFFSET($H$3,0,0,'Données projet'!$E$10+1,1))</f>
        <v>502.65044103360322</v>
      </c>
      <c r="AO139" s="59">
        <f t="shared" si="144"/>
        <v>321.65762891855167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119.3345052262675</v>
      </c>
      <c r="AV139" s="21">
        <f>EXP(-LN(2)/25)*AV138+(1-EXP(-LN(2)/25))/(LN(2)/25)*Calculateur!AQ139*Calculateur!AS139*VLOOKUP('Données projet'!$B$10,Paramètres!$A$1:$I$89,3,0)*0.475*44/12</f>
        <v>23.713702761959148</v>
      </c>
      <c r="AW139" s="21">
        <f>EXP(-LN(2)/2)*AW138+(1-EXP(-LN(2)/2))/(LN(2)/2)*AQ139*AT139*VLOOKUP('Données projet'!$B$10,Paramètres!$A$1:$I$89,3,0)*0.475*44/12</f>
        <v>1.0125812176136846</v>
      </c>
      <c r="AX139" s="21">
        <f t="shared" si="114"/>
        <v>144.06078920584031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7.3375000000000012</v>
      </c>
      <c r="BD139" s="12">
        <f>IF('Données projet'!$A$88&gt;35,BD138+BC139-BL138,IF(A139&lt;'Données projet'!$A$88,$BA$205^A139,IF(A139='Données projet'!$A$88,'Données projet'!$B$88,BD138+BC139-BL138)))</f>
        <v>321.21999999999997</v>
      </c>
      <c r="BE139" s="13">
        <f>BD139*VLOOKUP('Données projet'!$B$11,Paramètres!$A$1:$I$89,3,0)*VLOOKUP('Données projet'!$B$11,Paramètres!$A$1:$I$89,5,0)</f>
        <v>310.68398400000001</v>
      </c>
      <c r="BF139" s="13">
        <f t="shared" si="145"/>
        <v>73.411654926502464</v>
      </c>
      <c r="BG139" s="20">
        <f t="shared" si="115"/>
        <v>668.96657113032506</v>
      </c>
      <c r="BH139" s="59">
        <f t="shared" si="116"/>
        <v>962.29990446365832</v>
      </c>
      <c r="BI139" s="59">
        <f ca="1">AVERAGE(OFFSET($BH$3,0,0,'Données projet'!$E$11+1,1))-AVERAGE(OFFSET($H$3,0,0,'Données projet'!$E$11+1,1))</f>
        <v>510.71380643466227</v>
      </c>
      <c r="BJ139" s="59">
        <f t="shared" si="146"/>
        <v>252.40654099948841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25.7010441970919</v>
      </c>
      <c r="BQ139" s="21">
        <f>EXP(-LN(2)/25)*BQ138+(1-EXP(-LN(2)/25))/(LN(2)/25)*Calculateur!BL139*Calculateur!BN139*VLOOKUP('Données projet'!$B$11,Paramètres!$A$1:$I$89,3,0)*0.475*44/12</f>
        <v>20.523039546155072</v>
      </c>
      <c r="BR139" s="21">
        <f>EXP(-LN(2)/2)*BR138+(1-EXP(-LN(2)/2))/(LN(2)/2)*BL139*BO139*VLOOKUP('Données projet'!$B$11,Paramètres!$A$1:$I$89,3,0)*0.475*44/12</f>
        <v>1.1451094083841706</v>
      </c>
      <c r="BS139" s="22">
        <f t="shared" si="117"/>
        <v>47.369193151631144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1166.6060523701585</v>
      </c>
      <c r="S140" s="59">
        <f ca="1">AVERAGE(OFFSET($R$3,0,0,'Données projet'!$E$9+1,1))-AVERAGE(OFFSET($H$3,0,0,'Données projet'!$E$9+1,1))</f>
        <v>635.71275911100679</v>
      </c>
      <c r="T140" s="59">
        <f t="shared" si="142"/>
        <v>281.7776857269169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2.5579538487363607E-13</v>
      </c>
      <c r="AJ140" s="13">
        <f>AI140*VLOOKUP('Données projet'!$B$10,Paramètres!$A$1:$I$89,3,0)*VLOOKUP('Données projet'!$B$10,Paramètres!$A$1:$I$89,5,0)</f>
        <v>2.7533815227798186E-13</v>
      </c>
      <c r="AK140" s="13">
        <f t="shared" si="143"/>
        <v>3.6763598146902537E-12</v>
      </c>
      <c r="AL140" s="20">
        <f t="shared" si="112"/>
        <v>6.88254062580301E-12</v>
      </c>
      <c r="AM140" s="59">
        <f t="shared" si="113"/>
        <v>293.33333333334019</v>
      </c>
      <c r="AN140" s="59">
        <f ca="1">AVERAGE(OFFSET($AM$3,0,0,'Données projet'!$E$10+1,1))-AVERAGE(OFFSET($H$3,0,0,'Données projet'!$E$10+1,1))</f>
        <v>502.65044103360322</v>
      </c>
      <c r="AO140" s="59">
        <f t="shared" si="144"/>
        <v>321.65762891855167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116.99442836564147</v>
      </c>
      <c r="AV140" s="21">
        <f>EXP(-LN(2)/25)*AV139+(1-EXP(-LN(2)/25))/(LN(2)/25)*Calculateur!AQ140*Calculateur!AS140*VLOOKUP('Données projet'!$B$10,Paramètres!$A$1:$I$89,3,0)*0.475*44/12</f>
        <v>23.065250312883943</v>
      </c>
      <c r="AW140" s="21">
        <f>EXP(-LN(2)/2)*AW139+(1-EXP(-LN(2)/2))/(LN(2)/2)*AQ140*AT140*VLOOKUP('Données projet'!$B$10,Paramètres!$A$1:$I$89,3,0)*0.475*44/12</f>
        <v>0.71600304547676752</v>
      </c>
      <c r="AX140" s="21">
        <f t="shared" si="114"/>
        <v>140.77568172400217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7.3375000000000012</v>
      </c>
      <c r="BD140" s="12">
        <f>IF('Données projet'!$A$88&gt;35,BD139+BC140-BL139,IF(A140&lt;'Données projet'!$A$88,$BA$205^A140,IF(A140='Données projet'!$A$88,'Données projet'!$B$88,BD139+BC140-BL139)))</f>
        <v>328.55749999999995</v>
      </c>
      <c r="BE140" s="13">
        <f>BD140*VLOOKUP('Données projet'!$B$11,Paramètres!$A$1:$I$89,3,0)*VLOOKUP('Données projet'!$B$11,Paramètres!$A$1:$I$89,5,0)</f>
        <v>317.78081399999996</v>
      </c>
      <c r="BF140" s="13">
        <f t="shared" si="145"/>
        <v>74.891422007628094</v>
      </c>
      <c r="BG140" s="20">
        <f t="shared" si="115"/>
        <v>683.90414437995207</v>
      </c>
      <c r="BH140" s="59">
        <f t="shared" si="116"/>
        <v>977.23747771328544</v>
      </c>
      <c r="BI140" s="59">
        <f ca="1">AVERAGE(OFFSET($BH$3,0,0,'Données projet'!$E$11+1,1))-AVERAGE(OFFSET($H$3,0,0,'Données projet'!$E$11+1,1))</f>
        <v>510.71380643466227</v>
      </c>
      <c r="BJ140" s="59">
        <f t="shared" si="146"/>
        <v>252.40654099948841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25.197062396476003</v>
      </c>
      <c r="BQ140" s="21">
        <f>EXP(-LN(2)/25)*BQ139+(1-EXP(-LN(2)/25))/(LN(2)/25)*Calculateur!BL140*Calculateur!BN140*VLOOKUP('Données projet'!$B$11,Paramètres!$A$1:$I$89,3,0)*0.475*44/12</f>
        <v>19.961835950505719</v>
      </c>
      <c r="BR140" s="21">
        <f>EXP(-LN(2)/2)*BR139+(1-EXP(-LN(2)/2))/(LN(2)/2)*BL140*BO140*VLOOKUP('Données projet'!$B$11,Paramètres!$A$1:$I$89,3,0)*0.475*44/12</f>
        <v>0.80971462786896264</v>
      </c>
      <c r="BS140" s="22">
        <f t="shared" si="117"/>
        <v>45.968612974850686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1183.9269116070341</v>
      </c>
      <c r="S141" s="59">
        <f ca="1">AVERAGE(OFFSET($R$3,0,0,'Données projet'!$E$9+1,1))-AVERAGE(OFFSET($H$3,0,0,'Données projet'!$E$9+1,1))</f>
        <v>635.71275911100679</v>
      </c>
      <c r="T141" s="59">
        <f t="shared" si="142"/>
        <v>281.7776857269169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2.5579538487363607E-13</v>
      </c>
      <c r="AJ141" s="13">
        <f>AI141*VLOOKUP('Données projet'!$B$10,Paramètres!$A$1:$I$89,3,0)*VLOOKUP('Données projet'!$B$10,Paramètres!$A$1:$I$89,5,0)</f>
        <v>2.7533815227798186E-13</v>
      </c>
      <c r="AK141" s="13">
        <f t="shared" si="143"/>
        <v>3.6763598146902537E-12</v>
      </c>
      <c r="AL141" s="20">
        <f t="shared" si="112"/>
        <v>6.88254062580301E-12</v>
      </c>
      <c r="AM141" s="59">
        <f t="shared" si="113"/>
        <v>293.33333333334019</v>
      </c>
      <c r="AN141" s="59">
        <f ca="1">AVERAGE(OFFSET($AM$3,0,0,'Données projet'!$E$10+1,1))-AVERAGE(OFFSET($H$3,0,0,'Données projet'!$E$10+1,1))</f>
        <v>502.65044103360322</v>
      </c>
      <c r="AO141" s="59">
        <f t="shared" si="144"/>
        <v>321.65762891855167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114.70023898494637</v>
      </c>
      <c r="AV141" s="21">
        <f>EXP(-LN(2)/25)*AV140+(1-EXP(-LN(2)/25))/(LN(2)/25)*Calculateur!AQ141*Calculateur!AS141*VLOOKUP('Données projet'!$B$10,Paramètres!$A$1:$I$89,3,0)*0.475*44/12</f>
        <v>22.434529830129335</v>
      </c>
      <c r="AW141" s="21">
        <f>EXP(-LN(2)/2)*AW140+(1-EXP(-LN(2)/2))/(LN(2)/2)*AQ141*AT141*VLOOKUP('Données projet'!$B$10,Paramètres!$A$1:$I$89,3,0)*0.475*44/12</f>
        <v>0.50629060880684229</v>
      </c>
      <c r="AX141" s="21">
        <f t="shared" si="114"/>
        <v>137.64105942388252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7.3375000000000012</v>
      </c>
      <c r="BD141" s="12">
        <f>IF('Données projet'!$A$88&gt;35,BD140+BC141-BL140,IF(A141&lt;'Données projet'!$A$88,$BA$205^A141,IF(A141='Données projet'!$A$88,'Données projet'!$B$88,BD140+BC141-BL140)))</f>
        <v>335.89499999999992</v>
      </c>
      <c r="BE141" s="13">
        <f>BD141*VLOOKUP('Données projet'!$B$11,Paramètres!$A$1:$I$89,3,0)*VLOOKUP('Données projet'!$B$11,Paramètres!$A$1:$I$89,5,0)</f>
        <v>324.87764399999998</v>
      </c>
      <c r="BF141" s="13">
        <f t="shared" si="145"/>
        <v>76.367347093032635</v>
      </c>
      <c r="BG141" s="20">
        <f t="shared" si="115"/>
        <v>698.83502615369832</v>
      </c>
      <c r="BH141" s="59">
        <f t="shared" si="116"/>
        <v>992.16835948703169</v>
      </c>
      <c r="BI141" s="59">
        <f ca="1">AVERAGE(OFFSET($BH$3,0,0,'Données projet'!$E$11+1,1))-AVERAGE(OFFSET($H$3,0,0,'Données projet'!$E$11+1,1))</f>
        <v>510.71380643466227</v>
      </c>
      <c r="BJ141" s="59">
        <f t="shared" si="146"/>
        <v>252.40654099948841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24.702963371571638</v>
      </c>
      <c r="BQ141" s="21">
        <f>EXP(-LN(2)/25)*BQ140+(1-EXP(-LN(2)/25))/(LN(2)/25)*Calculateur!BL141*Calculateur!BN141*VLOOKUP('Données projet'!$B$11,Paramètres!$A$1:$I$89,3,0)*0.475*44/12</f>
        <v>19.41597849669181</v>
      </c>
      <c r="BR141" s="21">
        <f>EXP(-LN(2)/2)*BR140+(1-EXP(-LN(2)/2))/(LN(2)/2)*BL141*BO141*VLOOKUP('Données projet'!$B$11,Paramètres!$A$1:$I$89,3,0)*0.475*44/12</f>
        <v>0.57255470419208532</v>
      </c>
      <c r="BS141" s="22">
        <f t="shared" si="117"/>
        <v>44.691496572455534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1201.2410432628674</v>
      </c>
      <c r="S142" s="59">
        <f ca="1">AVERAGE(OFFSET($R$3,0,0,'Données projet'!$E$9+1,1))-AVERAGE(OFFSET($H$3,0,0,'Données projet'!$E$9+1,1))</f>
        <v>635.71275911100679</v>
      </c>
      <c r="T142" s="59">
        <f t="shared" si="142"/>
        <v>281.7776857269169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2.5579538487363607E-13</v>
      </c>
      <c r="AJ142" s="13">
        <f>AI142*VLOOKUP('Données projet'!$B$10,Paramètres!$A$1:$I$89,3,0)*VLOOKUP('Données projet'!$B$10,Paramètres!$A$1:$I$89,5,0)</f>
        <v>2.7533815227798186E-13</v>
      </c>
      <c r="AK142" s="13">
        <f t="shared" si="143"/>
        <v>3.6763598146902537E-12</v>
      </c>
      <c r="AL142" s="20">
        <f t="shared" si="112"/>
        <v>6.88254062580301E-12</v>
      </c>
      <c r="AM142" s="59">
        <f t="shared" si="113"/>
        <v>293.33333333334019</v>
      </c>
      <c r="AN142" s="59">
        <f ca="1">AVERAGE(OFFSET($AM$3,0,0,'Données projet'!$E$10+1,1))-AVERAGE(OFFSET($H$3,0,0,'Données projet'!$E$10+1,1))</f>
        <v>502.65044103360322</v>
      </c>
      <c r="AO142" s="59">
        <f t="shared" si="144"/>
        <v>321.65762891855167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112.45103725868935</v>
      </c>
      <c r="AV142" s="21">
        <f>EXP(-LN(2)/25)*AV141+(1-EXP(-LN(2)/25))/(LN(2)/25)*Calculateur!AQ142*Calculateur!AS142*VLOOKUP('Données projet'!$B$10,Paramètres!$A$1:$I$89,3,0)*0.475*44/12</f>
        <v>21.821056432143799</v>
      </c>
      <c r="AW142" s="21">
        <f>EXP(-LN(2)/2)*AW141+(1-EXP(-LN(2)/2))/(LN(2)/2)*AQ142*AT142*VLOOKUP('Données projet'!$B$10,Paramètres!$A$1:$I$89,3,0)*0.475*44/12</f>
        <v>0.35800152273838376</v>
      </c>
      <c r="AX142" s="21">
        <f t="shared" si="114"/>
        <v>134.63009521357154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7.3375000000000012</v>
      </c>
      <c r="BD142" s="12">
        <f>IF('Données projet'!$A$88&gt;35,BD141+BC142-BL141,IF(A142&lt;'Données projet'!$A$88,$BA$205^A142,IF(A142='Données projet'!$A$88,'Données projet'!$B$88,BD141+BC142-BL141)))</f>
        <v>343.2324999999999</v>
      </c>
      <c r="BE142" s="13">
        <f>BD142*VLOOKUP('Données projet'!$B$11,Paramètres!$A$1:$I$89,3,0)*VLOOKUP('Données projet'!$B$11,Paramètres!$A$1:$I$89,5,0)</f>
        <v>331.97447399999993</v>
      </c>
      <c r="BF142" s="13">
        <f t="shared" si="145"/>
        <v>77.839523774781142</v>
      </c>
      <c r="BG142" s="20">
        <f t="shared" si="115"/>
        <v>713.75937945774365</v>
      </c>
      <c r="BH142" s="59">
        <f t="shared" si="116"/>
        <v>1007.092712791077</v>
      </c>
      <c r="BI142" s="59">
        <f ca="1">AVERAGE(OFFSET($BH$3,0,0,'Données projet'!$E$11+1,1))-AVERAGE(OFFSET($H$3,0,0,'Données projet'!$E$11+1,1))</f>
        <v>510.71380643466227</v>
      </c>
      <c r="BJ142" s="59">
        <f t="shared" si="146"/>
        <v>252.40654099948841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24.218553327175002</v>
      </c>
      <c r="BQ142" s="21">
        <f>EXP(-LN(2)/25)*BQ141+(1-EXP(-LN(2)/25))/(LN(2)/25)*Calculateur!BL142*Calculateur!BN142*VLOOKUP('Données projet'!$B$11,Paramètres!$A$1:$I$89,3,0)*0.475*44/12</f>
        <v>18.885047543657841</v>
      </c>
      <c r="BR142" s="21">
        <f>EXP(-LN(2)/2)*BR141+(1-EXP(-LN(2)/2))/(LN(2)/2)*BL142*BO142*VLOOKUP('Données projet'!$B$11,Paramètres!$A$1:$I$89,3,0)*0.475*44/12</f>
        <v>0.40485731393448132</v>
      </c>
      <c r="BS142" s="22">
        <f t="shared" si="117"/>
        <v>43.508458184767321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1218.5485935558677</v>
      </c>
      <c r="S143" s="59">
        <f ca="1">AVERAGE(OFFSET($R$3,0,0,'Données projet'!$E$9+1,1))-AVERAGE(OFFSET($H$3,0,0,'Données projet'!$E$9+1,1))</f>
        <v>635.71275911100679</v>
      </c>
      <c r="T143" s="59">
        <f t="shared" si="142"/>
        <v>281.7776857269169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2.5579538487363607E-13</v>
      </c>
      <c r="AJ143" s="13">
        <f>AI143*VLOOKUP('Données projet'!$B$10,Paramètres!$A$1:$I$89,3,0)*VLOOKUP('Données projet'!$B$10,Paramètres!$A$1:$I$89,5,0)</f>
        <v>2.7533815227798186E-13</v>
      </c>
      <c r="AK143" s="13">
        <f t="shared" si="143"/>
        <v>3.6763598146902537E-12</v>
      </c>
      <c r="AL143" s="20">
        <f t="shared" si="112"/>
        <v>6.88254062580301E-12</v>
      </c>
      <c r="AM143" s="59">
        <f t="shared" si="113"/>
        <v>293.33333333334019</v>
      </c>
      <c r="AN143" s="59">
        <f ca="1">AVERAGE(OFFSET($AM$3,0,0,'Données projet'!$E$10+1,1))-AVERAGE(OFFSET($H$3,0,0,'Données projet'!$E$10+1,1))</f>
        <v>502.65044103360322</v>
      </c>
      <c r="AO143" s="59">
        <f t="shared" si="144"/>
        <v>321.65762891855167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110.24594100640664</v>
      </c>
      <c r="AV143" s="21">
        <f>EXP(-LN(2)/25)*AV142+(1-EXP(-LN(2)/25))/(LN(2)/25)*Calculateur!AQ143*Calculateur!AS143*VLOOKUP('Données projet'!$B$10,Paramètres!$A$1:$I$89,3,0)*0.475*44/12</f>
        <v>21.224358496487341</v>
      </c>
      <c r="AW143" s="21">
        <f>EXP(-LN(2)/2)*AW142+(1-EXP(-LN(2)/2))/(LN(2)/2)*AQ143*AT143*VLOOKUP('Données projet'!$B$10,Paramètres!$A$1:$I$89,3,0)*0.475*44/12</f>
        <v>0.25314530440342115</v>
      </c>
      <c r="AX143" s="21">
        <f t="shared" si="114"/>
        <v>131.7234448072974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7.3375000000000012</v>
      </c>
      <c r="BD143" s="12">
        <f>IF('Données projet'!$A$88&gt;35,BD142+BC143-BL142,IF(A143&lt;'Données projet'!$A$88,$BA$205^A143,IF(A143='Données projet'!$A$88,'Données projet'!$B$88,BD142+BC143-BL142)))</f>
        <v>350.56999999999988</v>
      </c>
      <c r="BE143" s="13">
        <f>BD143*VLOOKUP('Données projet'!$B$11,Paramètres!$A$1:$I$89,3,0)*VLOOKUP('Données projet'!$B$11,Paramètres!$A$1:$I$89,5,0)</f>
        <v>339.07130399999994</v>
      </c>
      <c r="BF143" s="13">
        <f t="shared" si="145"/>
        <v>79.308041414789827</v>
      </c>
      <c r="BG143" s="20">
        <f t="shared" si="115"/>
        <v>728.67735993075883</v>
      </c>
      <c r="BH143" s="59">
        <f t="shared" si="116"/>
        <v>1022.0106932640922</v>
      </c>
      <c r="BI143" s="59">
        <f ca="1">AVERAGE(OFFSET($BH$3,0,0,'Données projet'!$E$11+1,1))-AVERAGE(OFFSET($H$3,0,0,'Données projet'!$E$11+1,1))</f>
        <v>510.71380643466227</v>
      </c>
      <c r="BJ143" s="59">
        <f t="shared" si="146"/>
        <v>252.40654099948841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23.743642268288031</v>
      </c>
      <c r="BQ143" s="21">
        <f>EXP(-LN(2)/25)*BQ142+(1-EXP(-LN(2)/25))/(LN(2)/25)*Calculateur!BL143*Calculateur!BN143*VLOOKUP('Données projet'!$B$11,Paramètres!$A$1:$I$89,3,0)*0.475*44/12</f>
        <v>18.36863492545503</v>
      </c>
      <c r="BR143" s="21">
        <f>EXP(-LN(2)/2)*BR142+(1-EXP(-LN(2)/2))/(LN(2)/2)*BL143*BO143*VLOOKUP('Données projet'!$B$11,Paramètres!$A$1:$I$89,3,0)*0.475*44/12</f>
        <v>0.28627735209604266</v>
      </c>
      <c r="BS143" s="22">
        <f t="shared" si="117"/>
        <v>42.398554545839104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1235.8497027944395</v>
      </c>
      <c r="S144" s="59">
        <f ca="1">AVERAGE(OFFSET($R$3,0,0,'Données projet'!$E$9+1,1))-AVERAGE(OFFSET($H$3,0,0,'Données projet'!$E$9+1,1))</f>
        <v>635.71275911100679</v>
      </c>
      <c r="T144" s="59">
        <f t="shared" si="142"/>
        <v>281.7776857269169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2.5579538487363607E-13</v>
      </c>
      <c r="AJ144" s="13">
        <f>AI144*VLOOKUP('Données projet'!$B$10,Paramètres!$A$1:$I$89,3,0)*VLOOKUP('Données projet'!$B$10,Paramètres!$A$1:$I$89,5,0)</f>
        <v>2.7533815227798186E-13</v>
      </c>
      <c r="AK144" s="13">
        <f t="shared" si="143"/>
        <v>3.6763598146902537E-12</v>
      </c>
      <c r="AL144" s="20">
        <f t="shared" si="112"/>
        <v>6.88254062580301E-12</v>
      </c>
      <c r="AM144" s="59">
        <f t="shared" si="113"/>
        <v>293.33333333334019</v>
      </c>
      <c r="AN144" s="59">
        <f ca="1">AVERAGE(OFFSET($AM$3,0,0,'Données projet'!$E$10+1,1))-AVERAGE(OFFSET($H$3,0,0,'Données projet'!$E$10+1,1))</f>
        <v>502.65044103360322</v>
      </c>
      <c r="AO144" s="59">
        <f t="shared" si="144"/>
        <v>321.65762891855167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108.08408534665529</v>
      </c>
      <c r="AV144" s="21">
        <f>EXP(-LN(2)/25)*AV143+(1-EXP(-LN(2)/25))/(LN(2)/25)*Calculateur!AQ144*Calculateur!AS144*VLOOKUP('Données projet'!$B$10,Paramètres!$A$1:$I$89,3,0)*0.475*44/12</f>
        <v>20.643977297260388</v>
      </c>
      <c r="AW144" s="21">
        <f>EXP(-LN(2)/2)*AW143+(1-EXP(-LN(2)/2))/(LN(2)/2)*AQ144*AT144*VLOOKUP('Données projet'!$B$10,Paramètres!$A$1:$I$89,3,0)*0.475*44/12</f>
        <v>0.17900076136919188</v>
      </c>
      <c r="AX144" s="21">
        <f t="shared" si="114"/>
        <v>128.90706340528487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7.3375000000000012</v>
      </c>
      <c r="BD144" s="12">
        <f>IF('Données projet'!$A$88&gt;35,BD143+BC144-BL143,IF(A144&lt;'Données projet'!$A$88,$BA$205^A144,IF(A144='Données projet'!$A$88,'Données projet'!$B$88,BD143+BC144-BL143)))</f>
        <v>357.90749999999986</v>
      </c>
      <c r="BE144" s="13">
        <f>BD144*VLOOKUP('Données projet'!$B$11,Paramètres!$A$1:$I$89,3,0)*VLOOKUP('Données projet'!$B$11,Paramètres!$A$1:$I$89,5,0)</f>
        <v>346.1681339999999</v>
      </c>
      <c r="BF144" s="13">
        <f t="shared" si="145"/>
        <v>80.772985420490727</v>
      </c>
      <c r="BG144" s="20">
        <f t="shared" si="115"/>
        <v>743.58911632402123</v>
      </c>
      <c r="BH144" s="59">
        <f t="shared" si="116"/>
        <v>1036.9224496573545</v>
      </c>
      <c r="BI144" s="59">
        <f ca="1">AVERAGE(OFFSET($BH$3,0,0,'Données projet'!$E$11+1,1))-AVERAGE(OFFSET($H$3,0,0,'Données projet'!$E$11+1,1))</f>
        <v>510.71380643466227</v>
      </c>
      <c r="BJ144" s="59">
        <f t="shared" si="146"/>
        <v>252.40654099948841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23.278043925598688</v>
      </c>
      <c r="BQ144" s="21">
        <f>EXP(-LN(2)/25)*BQ143+(1-EXP(-LN(2)/25))/(LN(2)/25)*Calculateur!BL144*Calculateur!BN144*VLOOKUP('Données projet'!$B$11,Paramètres!$A$1:$I$89,3,0)*0.475*44/12</f>
        <v>17.866343637453934</v>
      </c>
      <c r="BR144" s="21">
        <f>EXP(-LN(2)/2)*BR143+(1-EXP(-LN(2)/2))/(LN(2)/2)*BL144*BO144*VLOOKUP('Données projet'!$B$11,Paramètres!$A$1:$I$89,3,0)*0.475*44/12</f>
        <v>0.20242865696724066</v>
      </c>
      <c r="BS144" s="22">
        <f t="shared" si="117"/>
        <v>41.346816220019861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1253.1445057223332</v>
      </c>
      <c r="S145" s="59">
        <f ca="1">AVERAGE(OFFSET($R$3,0,0,'Données projet'!$E$9+1,1))-AVERAGE(OFFSET($H$3,0,0,'Données projet'!$E$9+1,1))</f>
        <v>635.71275911100679</v>
      </c>
      <c r="T145" s="59">
        <f t="shared" si="142"/>
        <v>281.7776857269169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2.5579538487363607E-13</v>
      </c>
      <c r="AJ145" s="13">
        <f>AI145*VLOOKUP('Données projet'!$B$10,Paramètres!$A$1:$I$89,3,0)*VLOOKUP('Données projet'!$B$10,Paramètres!$A$1:$I$89,5,0)</f>
        <v>2.7533815227798186E-13</v>
      </c>
      <c r="AK145" s="13">
        <f t="shared" si="143"/>
        <v>3.6763598146902537E-12</v>
      </c>
      <c r="AL145" s="20">
        <f t="shared" si="112"/>
        <v>6.88254062580301E-12</v>
      </c>
      <c r="AM145" s="59">
        <f t="shared" si="113"/>
        <v>293.33333333334019</v>
      </c>
      <c r="AN145" s="59">
        <f ca="1">AVERAGE(OFFSET($AM$3,0,0,'Données projet'!$E$10+1,1))-AVERAGE(OFFSET($H$3,0,0,'Données projet'!$E$10+1,1))</f>
        <v>502.65044103360322</v>
      </c>
      <c r="AO145" s="59">
        <f t="shared" si="144"/>
        <v>321.65762891855167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105.96462235778991</v>
      </c>
      <c r="AV145" s="21">
        <f>EXP(-LN(2)/25)*AV144+(1-EXP(-LN(2)/25))/(LN(2)/25)*Calculateur!AQ145*Calculateur!AS145*VLOOKUP('Données projet'!$B$10,Paramètres!$A$1:$I$89,3,0)*0.475*44/12</f>
        <v>20.07946665244722</v>
      </c>
      <c r="AW145" s="21">
        <f>EXP(-LN(2)/2)*AW144+(1-EXP(-LN(2)/2))/(LN(2)/2)*AQ145*AT145*VLOOKUP('Données projet'!$B$10,Paramètres!$A$1:$I$89,3,0)*0.475*44/12</f>
        <v>0.12657265220171057</v>
      </c>
      <c r="AX145" s="21">
        <f t="shared" si="114"/>
        <v>126.17066166243885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7.3375000000000012</v>
      </c>
      <c r="BD145" s="12">
        <f>IF('Données projet'!$A$88&gt;35,BD144+BC145-BL144,IF(A145&lt;'Données projet'!$A$88,$BA$205^A145,IF(A145='Données projet'!$A$88,'Données projet'!$B$88,BD144+BC145-BL144)))</f>
        <v>365.24499999999983</v>
      </c>
      <c r="BE145" s="13">
        <f>BD145*VLOOKUP('Données projet'!$B$11,Paramètres!$A$1:$I$89,3,0)*VLOOKUP('Données projet'!$B$11,Paramètres!$A$1:$I$89,5,0)</f>
        <v>353.26496399999985</v>
      </c>
      <c r="BF145" s="13">
        <f t="shared" si="145"/>
        <v>82.234437497251108</v>
      </c>
      <c r="BG145" s="20">
        <f t="shared" si="115"/>
        <v>758.49479094104538</v>
      </c>
      <c r="BH145" s="59">
        <f t="shared" si="116"/>
        <v>1051.8281242743788</v>
      </c>
      <c r="BI145" s="59">
        <f ca="1">AVERAGE(OFFSET($BH$3,0,0,'Données projet'!$E$11+1,1))-AVERAGE(OFFSET($H$3,0,0,'Données projet'!$E$11+1,1))</f>
        <v>510.71380643466227</v>
      </c>
      <c r="BJ145" s="59">
        <f t="shared" si="146"/>
        <v>252.40654099948841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22.821575682422537</v>
      </c>
      <c r="BQ145" s="21">
        <f>EXP(-LN(2)/25)*BQ144+(1-EXP(-LN(2)/25))/(LN(2)/25)*Calculateur!BL145*Calculateur!BN145*VLOOKUP('Données projet'!$B$11,Paramètres!$A$1:$I$89,3,0)*0.475*44/12</f>
        <v>17.377787531137578</v>
      </c>
      <c r="BR145" s="21">
        <f>EXP(-LN(2)/2)*BR144+(1-EXP(-LN(2)/2))/(LN(2)/2)*BL145*BO145*VLOOKUP('Données projet'!$B$11,Paramètres!$A$1:$I$89,3,0)*0.475*44/12</f>
        <v>0.14313867604802133</v>
      </c>
      <c r="BS145" s="22">
        <f t="shared" si="117"/>
        <v>40.342501889608137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1270.4331318376567</v>
      </c>
      <c r="S146" s="59">
        <f ca="1">AVERAGE(OFFSET($R$3,0,0,'Données projet'!$E$9+1,1))-AVERAGE(OFFSET($H$3,0,0,'Données projet'!$E$9+1,1))</f>
        <v>635.71275911100679</v>
      </c>
      <c r="T146" s="59">
        <f t="shared" si="142"/>
        <v>281.7776857269169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2.5579538487363607E-13</v>
      </c>
      <c r="AJ146" s="13">
        <f>AI146*VLOOKUP('Données projet'!$B$10,Paramètres!$A$1:$I$89,3,0)*VLOOKUP('Données projet'!$B$10,Paramètres!$A$1:$I$89,5,0)</f>
        <v>2.7533815227798186E-13</v>
      </c>
      <c r="AK146" s="13">
        <f t="shared" si="143"/>
        <v>3.6763598146902537E-12</v>
      </c>
      <c r="AL146" s="20">
        <f t="shared" si="112"/>
        <v>6.88254062580301E-12</v>
      </c>
      <c r="AM146" s="59">
        <f t="shared" si="113"/>
        <v>293.33333333334019</v>
      </c>
      <c r="AN146" s="59">
        <f ca="1">AVERAGE(OFFSET($AM$3,0,0,'Données projet'!$E$10+1,1))-AVERAGE(OFFSET($H$3,0,0,'Données projet'!$E$10+1,1))</f>
        <v>502.65044103360322</v>
      </c>
      <c r="AO146" s="59">
        <f t="shared" si="144"/>
        <v>321.65762891855167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103.8867207453914</v>
      </c>
      <c r="AV146" s="21">
        <f>EXP(-LN(2)/25)*AV145+(1-EXP(-LN(2)/25))/(LN(2)/25)*Calculateur!AQ146*Calculateur!AS146*VLOOKUP('Données projet'!$B$10,Paramètres!$A$1:$I$89,3,0)*0.475*44/12</f>
        <v>19.530392580902792</v>
      </c>
      <c r="AW146" s="21">
        <f>EXP(-LN(2)/2)*AW145+(1-EXP(-LN(2)/2))/(LN(2)/2)*AQ146*AT146*VLOOKUP('Données projet'!$B$10,Paramètres!$A$1:$I$89,3,0)*0.475*44/12</f>
        <v>8.950038068459594E-2</v>
      </c>
      <c r="AX146" s="21">
        <f t="shared" si="114"/>
        <v>123.50661370697878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7.3375000000000012</v>
      </c>
      <c r="BD146" s="12">
        <f>IF('Données projet'!$A$88&gt;35,BD145+BC146-BL145,IF(A146&lt;'Données projet'!$A$88,$BA$205^A146,IF(A146='Données projet'!$A$88,'Données projet'!$B$88,BD145+BC146-BL145)))</f>
        <v>372.58249999999981</v>
      </c>
      <c r="BE146" s="13">
        <f>BD146*VLOOKUP('Données projet'!$B$11,Paramètres!$A$1:$I$89,3,0)*VLOOKUP('Données projet'!$B$11,Paramètres!$A$1:$I$89,5,0)</f>
        <v>360.3617939999998</v>
      </c>
      <c r="BF146" s="13">
        <f t="shared" si="145"/>
        <v>83.69247587993793</v>
      </c>
      <c r="BG146" s="20">
        <f t="shared" si="115"/>
        <v>773.39452004089162</v>
      </c>
      <c r="BH146" s="59">
        <f t="shared" si="116"/>
        <v>1066.7278533742249</v>
      </c>
      <c r="BI146" s="59">
        <f ca="1">AVERAGE(OFFSET($BH$3,0,0,'Données projet'!$E$11+1,1))-AVERAGE(OFFSET($H$3,0,0,'Données projet'!$E$11+1,1))</f>
        <v>510.71380643466227</v>
      </c>
      <c r="BJ146" s="59">
        <f t="shared" si="146"/>
        <v>252.40654099948841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22.374058503076935</v>
      </c>
      <c r="BQ146" s="21">
        <f>EXP(-LN(2)/25)*BQ145+(1-EXP(-LN(2)/25))/(LN(2)/25)*Calculateur!BL146*Calculateur!BN146*VLOOKUP('Données projet'!$B$11,Paramètres!$A$1:$I$89,3,0)*0.475*44/12</f>
        <v>16.902591017240493</v>
      </c>
      <c r="BR146" s="21">
        <f>EXP(-LN(2)/2)*BR145+(1-EXP(-LN(2)/2))/(LN(2)/2)*BL146*BO146*VLOOKUP('Données projet'!$B$11,Paramètres!$A$1:$I$89,3,0)*0.475*44/12</f>
        <v>0.10121432848362033</v>
      </c>
      <c r="BS146" s="22">
        <f t="shared" si="117"/>
        <v>39.377863848801049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1287.7157056881683</v>
      </c>
      <c r="S147" s="59">
        <f ca="1">AVERAGE(OFFSET($R$3,0,0,'Données projet'!$E$9+1,1))-AVERAGE(OFFSET($H$3,0,0,'Données projet'!$E$9+1,1))</f>
        <v>635.71275911100679</v>
      </c>
      <c r="T147" s="59">
        <f t="shared" si="142"/>
        <v>281.7776857269169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2.5579538487363607E-13</v>
      </c>
      <c r="AJ147" s="13">
        <f>AI147*VLOOKUP('Données projet'!$B$10,Paramètres!$A$1:$I$89,3,0)*VLOOKUP('Données projet'!$B$10,Paramètres!$A$1:$I$89,5,0)</f>
        <v>2.7533815227798186E-13</v>
      </c>
      <c r="AK147" s="13">
        <f t="shared" si="143"/>
        <v>3.6763598146902537E-12</v>
      </c>
      <c r="AL147" s="20">
        <f t="shared" si="112"/>
        <v>6.88254062580301E-12</v>
      </c>
      <c r="AM147" s="59">
        <f t="shared" si="113"/>
        <v>293.33333333334019</v>
      </c>
      <c r="AN147" s="59">
        <f ca="1">AVERAGE(OFFSET($AM$3,0,0,'Données projet'!$E$10+1,1))-AVERAGE(OFFSET($H$3,0,0,'Données projet'!$E$10+1,1))</f>
        <v>502.65044103360322</v>
      </c>
      <c r="AO147" s="59">
        <f t="shared" si="144"/>
        <v>321.65762891855167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101.8495655162172</v>
      </c>
      <c r="AV147" s="21">
        <f>EXP(-LN(2)/25)*AV146+(1-EXP(-LN(2)/25))/(LN(2)/25)*Calculateur!AQ147*Calculateur!AS147*VLOOKUP('Données projet'!$B$10,Paramètres!$A$1:$I$89,3,0)*0.475*44/12</f>
        <v>18.996332968719297</v>
      </c>
      <c r="AW147" s="21">
        <f>EXP(-LN(2)/2)*AW146+(1-EXP(-LN(2)/2))/(LN(2)/2)*AQ147*AT147*VLOOKUP('Données projet'!$B$10,Paramètres!$A$1:$I$89,3,0)*0.475*44/12</f>
        <v>6.3286326100855286E-2</v>
      </c>
      <c r="AX147" s="21">
        <f t="shared" si="114"/>
        <v>120.90918481103735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379.92</v>
      </c>
      <c r="BB147" s="12">
        <f>VLOOKUP(A147,'Données projet'!$A$87:$I$107,9,0)</f>
        <v>7.3375000000000012</v>
      </c>
      <c r="BC147" s="12">
        <f t="array" ref="BC147">INDEX(BB:BB,MIN(IF(ISNUMBER(BB147:BB343),ROW(BB147:BB343),"")))</f>
        <v>7.3375000000000012</v>
      </c>
      <c r="BD147" s="12">
        <f>IF('Données projet'!$A$88&gt;35,BD146+BC147-BL146,IF(A147&lt;'Données projet'!$A$88,$BA$205^A147,IF(A147='Données projet'!$A$88,'Données projet'!$B$88,BD146+BC147-BL146)))</f>
        <v>379.91999999999979</v>
      </c>
      <c r="BE147" s="13">
        <f>BD147*VLOOKUP('Données projet'!$B$11,Paramètres!$A$1:$I$89,3,0)*VLOOKUP('Données projet'!$B$11,Paramètres!$A$1:$I$89,5,0)</f>
        <v>367.45862399999976</v>
      </c>
      <c r="BF147" s="13">
        <f t="shared" si="145"/>
        <v>85.147175545724309</v>
      </c>
      <c r="BG147" s="20">
        <f t="shared" si="115"/>
        <v>788.28843420880264</v>
      </c>
      <c r="BH147" s="59">
        <f t="shared" si="116"/>
        <v>1081.621767542136</v>
      </c>
      <c r="BI147" s="59">
        <f ca="1">AVERAGE(OFFSET($BH$3,0,0,'Données projet'!$E$11+1,1))-AVERAGE(OFFSET($H$3,0,0,'Données projet'!$E$11+1,1))</f>
        <v>510.71380643466227</v>
      </c>
      <c r="BJ147" s="59">
        <f t="shared" si="146"/>
        <v>252.40654099948841</v>
      </c>
      <c r="BK147" s="15">
        <f>IF(ISNA(VLOOKUP(A147,'Données projet'!$A$87:$I$107,3,0)),0,VLOOKUP(A147,'Données projet'!$A$87:$I$107,3,0))</f>
        <v>10</v>
      </c>
      <c r="BL147" s="15">
        <f>IF(ISNA(VLOOKUP(A147,'Données projet'!$A$87:$I$107,4,0)),0,VLOOKUP(A147,'Données projet'!$A$87:$I$107,4,0))</f>
        <v>60.949999999999989</v>
      </c>
      <c r="BM147" s="16">
        <f>IF(ISNA(VLOOKUP(A147,'Données projet'!$A$87:$I$107,5,0)),0%,VLOOKUP(A147,'Données projet'!$A$87:$I$107,5,0)*VLOOKUP('Données projet'!$B$11,Paramètres!$A$1:$I$89,7,0))</f>
        <v>0.15049999999999999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0.1</v>
      </c>
      <c r="BP147" s="21">
        <f>EXP(-LN(2)/35)*BP146+(1-EXP(-LN(2)/35))/(LN(2)/35)*BL147*BM147*VLOOKUP('Données projet'!$B$11,Paramètres!$A$1:$I$89,3,0)*0.475*44/12</f>
        <v>31.743162186681992</v>
      </c>
      <c r="BQ147" s="21">
        <f>EXP(-LN(2)/25)*BQ146+(1-EXP(-LN(2)/25))/(LN(2)/25)*Calculateur!BL147*Calculateur!BN147*VLOOKUP('Données projet'!$B$11,Paramètres!$A$1:$I$89,3,0)*0.475*44/12</f>
        <v>22.022804834090849</v>
      </c>
      <c r="BR147" s="21">
        <f>EXP(-LN(2)/2)*BR146+(1-EXP(-LN(2)/2))/(LN(2)/2)*BL147*BO147*VLOOKUP('Données projet'!$B$11,Paramètres!$A$1:$I$89,3,0)*0.475*44/12</f>
        <v>5.6337397558836004</v>
      </c>
      <c r="BS147" s="22">
        <f t="shared" si="117"/>
        <v>59.399706776656444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1188.47005454134</v>
      </c>
      <c r="S148" s="59">
        <f ca="1">AVERAGE(OFFSET($R$3,0,0,'Données projet'!$E$9+1,1))-AVERAGE(OFFSET($H$3,0,0,'Données projet'!$E$9+1,1))</f>
        <v>635.71275911100679</v>
      </c>
      <c r="T148" s="59">
        <f t="shared" si="142"/>
        <v>281.7776857269169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2.5579538487363607E-13</v>
      </c>
      <c r="AJ148" s="13">
        <f>AI148*VLOOKUP('Données projet'!$B$10,Paramètres!$A$1:$I$89,3,0)*VLOOKUP('Données projet'!$B$10,Paramètres!$A$1:$I$89,5,0)</f>
        <v>2.7533815227798186E-13</v>
      </c>
      <c r="AK148" s="13">
        <f t="shared" si="143"/>
        <v>3.6763598146902537E-12</v>
      </c>
      <c r="AL148" s="20">
        <f t="shared" si="112"/>
        <v>6.88254062580301E-12</v>
      </c>
      <c r="AM148" s="59">
        <f t="shared" si="113"/>
        <v>293.33333333334019</v>
      </c>
      <c r="AN148" s="59">
        <f ca="1">AVERAGE(OFFSET($AM$3,0,0,'Données projet'!$E$10+1,1))-AVERAGE(OFFSET($H$3,0,0,'Données projet'!$E$10+1,1))</f>
        <v>502.65044103360322</v>
      </c>
      <c r="AO148" s="59">
        <f t="shared" si="144"/>
        <v>321.65762891855167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99.852357658545088</v>
      </c>
      <c r="AV148" s="21">
        <f>EXP(-LN(2)/25)*AV147+(1-EXP(-LN(2)/25))/(LN(2)/25)*Calculateur!AQ148*Calculateur!AS148*VLOOKUP('Données projet'!$B$10,Paramètres!$A$1:$I$89,3,0)*0.475*44/12</f>
        <v>18.476877244715933</v>
      </c>
      <c r="AW148" s="21">
        <f>EXP(-LN(2)/2)*AW147+(1-EXP(-LN(2)/2))/(LN(2)/2)*AQ148*AT148*VLOOKUP('Données projet'!$B$10,Paramètres!$A$1:$I$89,3,0)*0.475*44/12</f>
        <v>4.475019034229797E-2</v>
      </c>
      <c r="AX148" s="21">
        <f t="shared" si="114"/>
        <v>118.37398509360332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7.5191666666666634</v>
      </c>
      <c r="BD148" s="12">
        <f>IF('Données projet'!$A$88&gt;35,BD147+BC148-BL147,IF(A148&lt;'Données projet'!$A$88,$BA$205^A148,IF(A148='Données projet'!$A$88,'Données projet'!$B$88,BD147+BC148-BL147)))</f>
        <v>326.48916666666645</v>
      </c>
      <c r="BE148" s="13">
        <f>BD148*VLOOKUP('Données projet'!$B$11,Paramètres!$A$1:$I$89,3,0)*VLOOKUP('Données projet'!$B$11,Paramètres!$A$1:$I$89,5,0)</f>
        <v>315.78032199999979</v>
      </c>
      <c r="BF148" s="13">
        <f t="shared" si="145"/>
        <v>74.474690447846996</v>
      </c>
      <c r="BG148" s="20">
        <f t="shared" si="115"/>
        <v>679.69414667999979</v>
      </c>
      <c r="BH148" s="59">
        <f t="shared" si="116"/>
        <v>973.02748001333316</v>
      </c>
      <c r="BI148" s="59">
        <f ca="1">AVERAGE(OFFSET($BH$3,0,0,'Données projet'!$E$11+1,1))-AVERAGE(OFFSET($H$3,0,0,'Données projet'!$E$11+1,1))</f>
        <v>510.71380643466227</v>
      </c>
      <c r="BJ148" s="59">
        <f t="shared" si="146"/>
        <v>252.40654099948841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31.120698137618312</v>
      </c>
      <c r="BQ148" s="21">
        <f>EXP(-LN(2)/25)*BQ147+(1-EXP(-LN(2)/25))/(LN(2)/25)*Calculateur!BL148*Calculateur!BN148*VLOOKUP('Données projet'!$B$11,Paramètres!$A$1:$I$89,3,0)*0.475*44/12</f>
        <v>21.420590077773664</v>
      </c>
      <c r="BR148" s="21">
        <f>EXP(-LN(2)/2)*BR147+(1-EXP(-LN(2)/2))/(LN(2)/2)*BL148*BO148*VLOOKUP('Données projet'!$B$11,Paramètres!$A$1:$I$89,3,0)*0.475*44/12</f>
        <v>3.9836555848255388</v>
      </c>
      <c r="BS148" s="22">
        <f t="shared" si="117"/>
        <v>56.524943800217514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1206.1439968248908</v>
      </c>
      <c r="S149" s="59">
        <f ca="1">AVERAGE(OFFSET($R$3,0,0,'Données projet'!$E$9+1,1))-AVERAGE(OFFSET($H$3,0,0,'Données projet'!$E$9+1,1))</f>
        <v>635.71275911100679</v>
      </c>
      <c r="T149" s="59">
        <f t="shared" si="142"/>
        <v>281.7776857269169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2.5579538487363607E-13</v>
      </c>
      <c r="AJ149" s="13">
        <f>AI149*VLOOKUP('Données projet'!$B$10,Paramètres!$A$1:$I$89,3,0)*VLOOKUP('Données projet'!$B$10,Paramètres!$A$1:$I$89,5,0)</f>
        <v>2.7533815227798186E-13</v>
      </c>
      <c r="AK149" s="13">
        <f t="shared" si="143"/>
        <v>3.6763598146902537E-12</v>
      </c>
      <c r="AL149" s="20">
        <f t="shared" si="112"/>
        <v>6.88254062580301E-12</v>
      </c>
      <c r="AM149" s="59">
        <f t="shared" si="113"/>
        <v>293.33333333334019</v>
      </c>
      <c r="AN149" s="59">
        <f ca="1">AVERAGE(OFFSET($AM$3,0,0,'Données projet'!$E$10+1,1))-AVERAGE(OFFSET($H$3,0,0,'Données projet'!$E$10+1,1))</f>
        <v>502.65044103360322</v>
      </c>
      <c r="AO149" s="59">
        <f t="shared" si="144"/>
        <v>321.65762891855167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97.894313828785428</v>
      </c>
      <c r="AV149" s="21">
        <f>EXP(-LN(2)/25)*AV148+(1-EXP(-LN(2)/25))/(LN(2)/25)*Calculateur!AQ149*Calculateur!AS149*VLOOKUP('Données projet'!$B$10,Paramètres!$A$1:$I$89,3,0)*0.475*44/12</f>
        <v>17.971626064802432</v>
      </c>
      <c r="AW149" s="21">
        <f>EXP(-LN(2)/2)*AW148+(1-EXP(-LN(2)/2))/(LN(2)/2)*AQ149*AT149*VLOOKUP('Données projet'!$B$10,Paramètres!$A$1:$I$89,3,0)*0.475*44/12</f>
        <v>3.1643163050427643E-2</v>
      </c>
      <c r="AX149" s="21">
        <f t="shared" si="114"/>
        <v>115.8975830566383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7.5191666666666634</v>
      </c>
      <c r="BD149" s="12">
        <f>IF('Données projet'!$A$88&gt;35,BD148+BC149-BL148,IF(A149&lt;'Données projet'!$A$88,$BA$205^A149,IF(A149='Données projet'!$A$88,'Données projet'!$B$88,BD148+BC149-BL148)))</f>
        <v>334.0083333333331</v>
      </c>
      <c r="BE149" s="13">
        <f>BD149*VLOOKUP('Données projet'!$B$11,Paramètres!$A$1:$I$89,3,0)*VLOOKUP('Données projet'!$B$11,Paramètres!$A$1:$I$89,5,0)</f>
        <v>323.05285999999978</v>
      </c>
      <c r="BF149" s="13">
        <f t="shared" si="145"/>
        <v>75.988209111509335</v>
      </c>
      <c r="BG149" s="20">
        <f t="shared" si="115"/>
        <v>694.99652870254488</v>
      </c>
      <c r="BH149" s="59">
        <f t="shared" si="116"/>
        <v>988.32986203587825</v>
      </c>
      <c r="BI149" s="59">
        <f ca="1">AVERAGE(OFFSET($BH$3,0,0,'Données projet'!$E$11+1,1))-AVERAGE(OFFSET($H$3,0,0,'Données projet'!$E$11+1,1))</f>
        <v>510.71380643466227</v>
      </c>
      <c r="BJ149" s="59">
        <f t="shared" si="146"/>
        <v>252.40654099948841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30.510440228891188</v>
      </c>
      <c r="BQ149" s="21">
        <f>EXP(-LN(2)/25)*BQ148+(1-EXP(-LN(2)/25))/(LN(2)/25)*Calculateur!BL149*Calculateur!BN149*VLOOKUP('Données projet'!$B$11,Paramètres!$A$1:$I$89,3,0)*0.475*44/12</f>
        <v>20.834842915637068</v>
      </c>
      <c r="BR149" s="21">
        <f>EXP(-LN(2)/2)*BR148+(1-EXP(-LN(2)/2))/(LN(2)/2)*BL149*BO149*VLOOKUP('Données projet'!$B$11,Paramètres!$A$1:$I$89,3,0)*0.475*44/12</f>
        <v>2.8168698779418007</v>
      </c>
      <c r="BS149" s="22">
        <f t="shared" si="117"/>
        <v>54.162153022470051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1223.811121938046</v>
      </c>
      <c r="S150" s="59">
        <f ca="1">AVERAGE(OFFSET($R$3,0,0,'Données projet'!$E$9+1,1))-AVERAGE(OFFSET($H$3,0,0,'Données projet'!$E$9+1,1))</f>
        <v>635.71275911100679</v>
      </c>
      <c r="T150" s="59">
        <f t="shared" si="142"/>
        <v>281.7776857269169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2.5579538487363607E-13</v>
      </c>
      <c r="AJ150" s="13">
        <f>AI150*VLOOKUP('Données projet'!$B$10,Paramètres!$A$1:$I$89,3,0)*VLOOKUP('Données projet'!$B$10,Paramètres!$A$1:$I$89,5,0)</f>
        <v>2.7533815227798186E-13</v>
      </c>
      <c r="AK150" s="13">
        <f t="shared" si="143"/>
        <v>3.6763598146902537E-12</v>
      </c>
      <c r="AL150" s="20">
        <f t="shared" si="112"/>
        <v>6.88254062580301E-12</v>
      </c>
      <c r="AM150" s="59">
        <f t="shared" si="113"/>
        <v>293.33333333334019</v>
      </c>
      <c r="AN150" s="59">
        <f ca="1">AVERAGE(OFFSET($AM$3,0,0,'Données projet'!$E$10+1,1))-AVERAGE(OFFSET($H$3,0,0,'Données projet'!$E$10+1,1))</f>
        <v>502.65044103360322</v>
      </c>
      <c r="AO150" s="59">
        <f t="shared" si="144"/>
        <v>321.65762891855167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95.974666044238546</v>
      </c>
      <c r="AV150" s="21">
        <f>EXP(-LN(2)/25)*AV149+(1-EXP(-LN(2)/25))/(LN(2)/25)*Calculateur!AQ150*Calculateur!AS150*VLOOKUP('Données projet'!$B$10,Paramètres!$A$1:$I$89,3,0)*0.475*44/12</f>
        <v>17.480191004973669</v>
      </c>
      <c r="AW150" s="21">
        <f>EXP(-LN(2)/2)*AW149+(1-EXP(-LN(2)/2))/(LN(2)/2)*AQ150*AT150*VLOOKUP('Données projet'!$B$10,Paramètres!$A$1:$I$89,3,0)*0.475*44/12</f>
        <v>2.2375095171148985E-2</v>
      </c>
      <c r="AX150" s="21">
        <f t="shared" si="114"/>
        <v>113.47723214438336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7.5191666666666634</v>
      </c>
      <c r="BD150" s="12">
        <f>IF('Données projet'!$A$88&gt;35,BD149+BC150-BL149,IF(A150&lt;'Données projet'!$A$88,$BA$205^A150,IF(A150='Données projet'!$A$88,'Données projet'!$B$88,BD149+BC150-BL149)))</f>
        <v>341.52749999999975</v>
      </c>
      <c r="BE150" s="13">
        <f>BD150*VLOOKUP('Données projet'!$B$11,Paramètres!$A$1:$I$89,3,0)*VLOOKUP('Données projet'!$B$11,Paramètres!$A$1:$I$89,5,0)</f>
        <v>330.32539799999972</v>
      </c>
      <c r="BF150" s="13">
        <f t="shared" si="145"/>
        <v>77.497766609036603</v>
      </c>
      <c r="BG150" s="20">
        <f t="shared" si="115"/>
        <v>710.29201169407168</v>
      </c>
      <c r="BH150" s="59">
        <f t="shared" si="116"/>
        <v>1003.625345027405</v>
      </c>
      <c r="BI150" s="59">
        <f ca="1">AVERAGE(OFFSET($BH$3,0,0,'Données projet'!$E$11+1,1))-AVERAGE(OFFSET($H$3,0,0,'Données projet'!$E$11+1,1))</f>
        <v>510.71380643466227</v>
      </c>
      <c r="BJ150" s="59">
        <f t="shared" si="146"/>
        <v>252.40654099948841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29.912149105533633</v>
      </c>
      <c r="BQ150" s="21">
        <f>EXP(-LN(2)/25)*BQ149+(1-EXP(-LN(2)/25))/(LN(2)/25)*Calculateur!BL150*Calculateur!BN150*VLOOKUP('Données projet'!$B$11,Paramètres!$A$1:$I$89,3,0)*0.475*44/12</f>
        <v>20.265113040452203</v>
      </c>
      <c r="BR150" s="21">
        <f>EXP(-LN(2)/2)*BR149+(1-EXP(-LN(2)/2))/(LN(2)/2)*BL150*BO150*VLOOKUP('Données projet'!$B$11,Paramètres!$A$1:$I$89,3,0)*0.475*44/12</f>
        <v>1.9918277924127699</v>
      </c>
      <c r="BS150" s="22">
        <f t="shared" si="117"/>
        <v>52.169089938398606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1241.471577392686</v>
      </c>
      <c r="S151" s="59">
        <f ca="1">AVERAGE(OFFSET($R$3,0,0,'Données projet'!$E$9+1,1))-AVERAGE(OFFSET($H$3,0,0,'Données projet'!$E$9+1,1))</f>
        <v>635.71275911100679</v>
      </c>
      <c r="T151" s="59">
        <f t="shared" si="142"/>
        <v>281.7776857269169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2.5579538487363607E-13</v>
      </c>
      <c r="AJ151" s="13">
        <f>AI151*VLOOKUP('Données projet'!$B$10,Paramètres!$A$1:$I$89,3,0)*VLOOKUP('Données projet'!$B$10,Paramètres!$A$1:$I$89,5,0)</f>
        <v>2.7533815227798186E-13</v>
      </c>
      <c r="AK151" s="13">
        <f t="shared" si="143"/>
        <v>3.6763598146902537E-12</v>
      </c>
      <c r="AL151" s="20">
        <f t="shared" si="112"/>
        <v>6.88254062580301E-12</v>
      </c>
      <c r="AM151" s="59">
        <f t="shared" si="113"/>
        <v>293.33333333334019</v>
      </c>
      <c r="AN151" s="59">
        <f ca="1">AVERAGE(OFFSET($AM$3,0,0,'Données projet'!$E$10+1,1))-AVERAGE(OFFSET($H$3,0,0,'Données projet'!$E$10+1,1))</f>
        <v>502.65044103360322</v>
      </c>
      <c r="AO151" s="59">
        <f t="shared" si="144"/>
        <v>321.65762891855167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94.092661381877093</v>
      </c>
      <c r="AV151" s="21">
        <f>EXP(-LN(2)/25)*AV150+(1-EXP(-LN(2)/25))/(LN(2)/25)*Calculateur!AQ151*Calculateur!AS151*VLOOKUP('Données projet'!$B$10,Paramètres!$A$1:$I$89,3,0)*0.475*44/12</f>
        <v>17.002194262699369</v>
      </c>
      <c r="AW151" s="21">
        <f>EXP(-LN(2)/2)*AW150+(1-EXP(-LN(2)/2))/(LN(2)/2)*AQ151*AT151*VLOOKUP('Données projet'!$B$10,Paramètres!$A$1:$I$89,3,0)*0.475*44/12</f>
        <v>1.5821581525213822E-2</v>
      </c>
      <c r="AX151" s="21">
        <f t="shared" si="114"/>
        <v>111.11067722610167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7.5191666666666634</v>
      </c>
      <c r="BD151" s="12">
        <f>IF('Données projet'!$A$88&gt;35,BD150+BC151-BL150,IF(A151&lt;'Données projet'!$A$88,$BA$205^A151,IF(A151='Données projet'!$A$88,'Données projet'!$B$88,BD150+BC151-BL150)))</f>
        <v>349.0466666666664</v>
      </c>
      <c r="BE151" s="13">
        <f>BD151*VLOOKUP('Données projet'!$B$11,Paramètres!$A$1:$I$89,3,0)*VLOOKUP('Données projet'!$B$11,Paramètres!$A$1:$I$89,5,0)</f>
        <v>337.59793599999972</v>
      </c>
      <c r="BF151" s="13">
        <f t="shared" si="145"/>
        <v>79.003460193077288</v>
      </c>
      <c r="BG151" s="20">
        <f t="shared" si="115"/>
        <v>725.58076503627569</v>
      </c>
      <c r="BH151" s="59">
        <f t="shared" si="116"/>
        <v>1018.9140983696091</v>
      </c>
      <c r="BI151" s="59">
        <f ca="1">AVERAGE(OFFSET($BH$3,0,0,'Données projet'!$E$11+1,1))-AVERAGE(OFFSET($H$3,0,0,'Données projet'!$E$11+1,1))</f>
        <v>510.71380643466227</v>
      </c>
      <c r="BJ151" s="59">
        <f t="shared" si="146"/>
        <v>252.40654099948841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29.325590106183569</v>
      </c>
      <c r="BQ151" s="21">
        <f>EXP(-LN(2)/25)*BQ150+(1-EXP(-LN(2)/25))/(LN(2)/25)*Calculateur!BL151*Calculateur!BN151*VLOOKUP('Données projet'!$B$11,Paramètres!$A$1:$I$89,3,0)*0.475*44/12</f>
        <v>19.710962458665058</v>
      </c>
      <c r="BR151" s="21">
        <f>EXP(-LN(2)/2)*BR150+(1-EXP(-LN(2)/2))/(LN(2)/2)*BL151*BO151*VLOOKUP('Données projet'!$B$11,Paramètres!$A$1:$I$89,3,0)*0.475*44/12</f>
        <v>1.4084349389709006</v>
      </c>
      <c r="BS151" s="22">
        <f t="shared" si="117"/>
        <v>50.444987503819526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1259.1255047643972</v>
      </c>
      <c r="S152" s="59">
        <f ca="1">AVERAGE(OFFSET($R$3,0,0,'Données projet'!$E$9+1,1))-AVERAGE(OFFSET($H$3,0,0,'Données projet'!$E$9+1,1))</f>
        <v>635.71275911100679</v>
      </c>
      <c r="T152" s="59">
        <f t="shared" si="142"/>
        <v>281.7776857269169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2.5579538487363607E-13</v>
      </c>
      <c r="AJ152" s="13">
        <f>AI152*VLOOKUP('Données projet'!$B$10,Paramètres!$A$1:$I$89,3,0)*VLOOKUP('Données projet'!$B$10,Paramètres!$A$1:$I$89,5,0)</f>
        <v>2.7533815227798186E-13</v>
      </c>
      <c r="AK152" s="13">
        <f t="shared" si="143"/>
        <v>3.6763598146902537E-12</v>
      </c>
      <c r="AL152" s="20">
        <f t="shared" si="112"/>
        <v>6.88254062580301E-12</v>
      </c>
      <c r="AM152" s="59">
        <f t="shared" si="113"/>
        <v>293.33333333334019</v>
      </c>
      <c r="AN152" s="59">
        <f ca="1">AVERAGE(OFFSET($AM$3,0,0,'Données projet'!$E$10+1,1))-AVERAGE(OFFSET($H$3,0,0,'Données projet'!$E$10+1,1))</f>
        <v>502.65044103360322</v>
      </c>
      <c r="AO152" s="59">
        <f t="shared" si="144"/>
        <v>321.65762891855167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92.247561683035045</v>
      </c>
      <c r="AV152" s="21">
        <f>EXP(-LN(2)/25)*AV151+(1-EXP(-LN(2)/25))/(LN(2)/25)*Calculateur!AQ152*Calculateur!AS152*VLOOKUP('Données projet'!$B$10,Paramètres!$A$1:$I$89,3,0)*0.475*44/12</f>
        <v>16.537268366479317</v>
      </c>
      <c r="AW152" s="21">
        <f>EXP(-LN(2)/2)*AW151+(1-EXP(-LN(2)/2))/(LN(2)/2)*AQ152*AT152*VLOOKUP('Données projet'!$B$10,Paramètres!$A$1:$I$89,3,0)*0.475*44/12</f>
        <v>1.1187547585574492E-2</v>
      </c>
      <c r="AX152" s="21">
        <f t="shared" si="114"/>
        <v>108.79601759709995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7.5191666666666634</v>
      </c>
      <c r="BD152" s="12">
        <f>IF('Données projet'!$A$88&gt;35,BD151+BC152-BL151,IF(A152&lt;'Données projet'!$A$88,$BA$205^A152,IF(A152='Données projet'!$A$88,'Données projet'!$B$88,BD151+BC152-BL151)))</f>
        <v>356.56583333333305</v>
      </c>
      <c r="BE152" s="13">
        <f>BD152*VLOOKUP('Données projet'!$B$11,Paramètres!$A$1:$I$89,3,0)*VLOOKUP('Données projet'!$B$11,Paramètres!$A$1:$I$89,5,0)</f>
        <v>344.87047399999972</v>
      </c>
      <c r="BF152" s="13">
        <f t="shared" si="145"/>
        <v>80.505382686910082</v>
      </c>
      <c r="BG152" s="20">
        <f t="shared" si="115"/>
        <v>740.86295039636786</v>
      </c>
      <c r="BH152" s="59">
        <f t="shared" si="116"/>
        <v>1034.1962837297012</v>
      </c>
      <c r="BI152" s="59">
        <f ca="1">AVERAGE(OFFSET($BH$3,0,0,'Données projet'!$E$11+1,1))-AVERAGE(OFFSET($H$3,0,0,'Données projet'!$E$11+1,1))</f>
        <v>510.71380643466227</v>
      </c>
      <c r="BJ152" s="59">
        <f t="shared" si="146"/>
        <v>252.40654099948841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28.750533171045095</v>
      </c>
      <c r="BQ152" s="21">
        <f>EXP(-LN(2)/25)*BQ151+(1-EXP(-LN(2)/25))/(LN(2)/25)*Calculateur!BL152*Calculateur!BN152*VLOOKUP('Données projet'!$B$11,Paramètres!$A$1:$I$89,3,0)*0.475*44/12</f>
        <v>19.171965153678396</v>
      </c>
      <c r="BR152" s="21">
        <f>EXP(-LN(2)/2)*BR151+(1-EXP(-LN(2)/2))/(LN(2)/2)*BL152*BO152*VLOOKUP('Données projet'!$B$11,Paramètres!$A$1:$I$89,3,0)*0.475*44/12</f>
        <v>0.99591389620638504</v>
      </c>
      <c r="BS152" s="22">
        <f t="shared" si="117"/>
        <v>48.918412220929874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1276.7730400376977</v>
      </c>
      <c r="S153" s="59">
        <f ca="1">AVERAGE(OFFSET($R$3,0,0,'Données projet'!$E$9+1,1))-AVERAGE(OFFSET($H$3,0,0,'Données projet'!$E$9+1,1))</f>
        <v>635.71275911100679</v>
      </c>
      <c r="T153" s="59">
        <f t="shared" si="142"/>
        <v>281.7776857269169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2.5579538487363607E-13</v>
      </c>
      <c r="AJ153" s="13">
        <f>AI153*VLOOKUP('Données projet'!$B$10,Paramètres!$A$1:$I$89,3,0)*VLOOKUP('Données projet'!$B$10,Paramètres!$A$1:$I$89,5,0)</f>
        <v>2.7533815227798186E-13</v>
      </c>
      <c r="AK153" s="13">
        <f t="shared" si="143"/>
        <v>3.6763598146902537E-12</v>
      </c>
      <c r="AL153" s="20">
        <f t="shared" si="112"/>
        <v>6.88254062580301E-12</v>
      </c>
      <c r="AM153" s="59">
        <f t="shared" si="113"/>
        <v>293.33333333334019</v>
      </c>
      <c r="AN153" s="59">
        <f ca="1">AVERAGE(OFFSET($AM$3,0,0,'Données projet'!$E$10+1,1))-AVERAGE(OFFSET($H$3,0,0,'Données projet'!$E$10+1,1))</f>
        <v>502.65044103360322</v>
      </c>
      <c r="AO153" s="59">
        <f t="shared" si="144"/>
        <v>321.65762891855167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90.438643263887599</v>
      </c>
      <c r="AV153" s="21">
        <f>EXP(-LN(2)/25)*AV152+(1-EXP(-LN(2)/25))/(LN(2)/25)*Calculateur!AQ153*Calculateur!AS153*VLOOKUP('Données projet'!$B$10,Paramètres!$A$1:$I$89,3,0)*0.475*44/12</f>
        <v>16.085055893340794</v>
      </c>
      <c r="AW153" s="21">
        <f>EXP(-LN(2)/2)*AW152+(1-EXP(-LN(2)/2))/(LN(2)/2)*AQ153*AT153*VLOOKUP('Données projet'!$B$10,Paramètres!$A$1:$I$89,3,0)*0.475*44/12</f>
        <v>7.9107907626069108E-3</v>
      </c>
      <c r="AX153" s="21">
        <f t="shared" si="114"/>
        <v>106.531609947991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7.5191666666666634</v>
      </c>
      <c r="BD153" s="12">
        <f>IF('Données projet'!$A$88&gt;35,BD152+BC153-BL152,IF(A153&lt;'Données projet'!$A$88,$BA$205^A153,IF(A153='Données projet'!$A$88,'Données projet'!$B$88,BD152+BC153-BL152)))</f>
        <v>364.0849999999997</v>
      </c>
      <c r="BE153" s="13">
        <f>BD153*VLOOKUP('Données projet'!$B$11,Paramètres!$A$1:$I$89,3,0)*VLOOKUP('Données projet'!$B$11,Paramètres!$A$1:$I$89,5,0)</f>
        <v>352.14301199999971</v>
      </c>
      <c r="BF153" s="13">
        <f t="shared" si="145"/>
        <v>82.003622775261761</v>
      </c>
      <c r="BG153" s="20">
        <f t="shared" si="115"/>
        <v>756.13872223358032</v>
      </c>
      <c r="BH153" s="59">
        <f t="shared" si="116"/>
        <v>1049.4720555669137</v>
      </c>
      <c r="BI153" s="59">
        <f ca="1">AVERAGE(OFFSET($BH$3,0,0,'Données projet'!$E$11+1,1))-AVERAGE(OFFSET($H$3,0,0,'Données projet'!$E$11+1,1))</f>
        <v>510.71380643466227</v>
      </c>
      <c r="BJ153" s="59">
        <f t="shared" si="146"/>
        <v>252.40654099948841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28.186752751654591</v>
      </c>
      <c r="BQ153" s="21">
        <f>EXP(-LN(2)/25)*BQ152+(1-EXP(-LN(2)/25))/(LN(2)/25)*Calculateur!BL153*Calculateur!BN153*VLOOKUP('Données projet'!$B$11,Paramètres!$A$1:$I$89,3,0)*0.475*44/12</f>
        <v>18.647706758341233</v>
      </c>
      <c r="BR153" s="21">
        <f>EXP(-LN(2)/2)*BR152+(1-EXP(-LN(2)/2))/(LN(2)/2)*BL153*BO153*VLOOKUP('Données projet'!$B$11,Paramètres!$A$1:$I$89,3,0)*0.475*44/12</f>
        <v>0.70421746948545039</v>
      </c>
      <c r="BS153" s="22">
        <f t="shared" si="117"/>
        <v>47.538676979481274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1294.4143139252278</v>
      </c>
      <c r="S154" s="59">
        <f ca="1">AVERAGE(OFFSET($R$3,0,0,'Données projet'!$E$9+1,1))-AVERAGE(OFFSET($H$3,0,0,'Données projet'!$E$9+1,1))</f>
        <v>635.71275911100679</v>
      </c>
      <c r="T154" s="59">
        <f t="shared" si="142"/>
        <v>281.7776857269169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2.5579538487363607E-13</v>
      </c>
      <c r="AJ154" s="13">
        <f>AI154*VLOOKUP('Données projet'!$B$10,Paramètres!$A$1:$I$89,3,0)*VLOOKUP('Données projet'!$B$10,Paramètres!$A$1:$I$89,5,0)</f>
        <v>2.7533815227798186E-13</v>
      </c>
      <c r="AK154" s="13">
        <f t="shared" ref="AK154:AK203" si="164">EXP(-1.0587+0.8836*LN(AJ154)+0.284)</f>
        <v>3.6763598146902537E-12</v>
      </c>
      <c r="AL154" s="20">
        <f t="shared" ref="AL154:AL203" si="165">(AJ154+AK154)*0.475*44/12</f>
        <v>6.88254062580301E-12</v>
      </c>
      <c r="AM154" s="59">
        <f t="shared" si="113"/>
        <v>293.33333333334019</v>
      </c>
      <c r="AN154" s="59">
        <f ca="1">AVERAGE(OFFSET($AM$3,0,0,'Données projet'!$E$10+1,1))-AVERAGE(OFFSET($H$3,0,0,'Données projet'!$E$10+1,1))</f>
        <v>502.65044103360322</v>
      </c>
      <c r="AO154" s="59">
        <f t="shared" si="144"/>
        <v>321.65762891855167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88.665196631608353</v>
      </c>
      <c r="AV154" s="21">
        <f>EXP(-LN(2)/25)*AV153+(1-EXP(-LN(2)/25))/(LN(2)/25)*Calculateur!AQ154*Calculateur!AS154*VLOOKUP('Données projet'!$B$10,Paramètres!$A$1:$I$89,3,0)*0.475*44/12</f>
        <v>15.645209194061064</v>
      </c>
      <c r="AW154" s="21">
        <f>EXP(-LN(2)/2)*AW153+(1-EXP(-LN(2)/2))/(LN(2)/2)*AQ154*AT154*VLOOKUP('Données projet'!$B$10,Paramètres!$A$1:$I$89,3,0)*0.475*44/12</f>
        <v>5.5937737927872462E-3</v>
      </c>
      <c r="AX154" s="21">
        <f t="shared" ref="AX154:AX203" si="166">SUM(AU154:AW154)</f>
        <v>104.3159995994622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7.5191666666666634</v>
      </c>
      <c r="BD154" s="12">
        <f>IF('Données projet'!$A$88&gt;35,BD153+BC154-BL153,IF(A154&lt;'Données projet'!$A$88,$BA$205^A154,IF(A154='Données projet'!$A$88,'Données projet'!$B$88,BD153+BC154-BL153)))</f>
        <v>371.60416666666634</v>
      </c>
      <c r="BE154" s="13">
        <f>BD154*VLOOKUP('Données projet'!$B$11,Paramètres!$A$1:$I$89,3,0)*VLOOKUP('Données projet'!$B$11,Paramètres!$A$1:$I$89,5,0)</f>
        <v>359.41554999999971</v>
      </c>
      <c r="BF154" s="13">
        <f t="shared" ref="BF154:BF203" si="167">EXP(-1.0587+0.8836*LN(BE154)+0.284)</f>
        <v>83.498265270422635</v>
      </c>
      <c r="BG154" s="20">
        <f t="shared" ref="BG154:BG203" si="168">(BE154+BF154)*0.475*44/12</f>
        <v>771.40822826265219</v>
      </c>
      <c r="BH154" s="59">
        <f t="shared" si="116"/>
        <v>1064.7415615959856</v>
      </c>
      <c r="BI154" s="59">
        <f ca="1">AVERAGE(OFFSET($BH$3,0,0,'Données projet'!$E$11+1,1))-AVERAGE(OFFSET($H$3,0,0,'Données projet'!$E$11+1,1))</f>
        <v>510.71380643466227</v>
      </c>
      <c r="BJ154" s="59">
        <f t="shared" si="146"/>
        <v>252.40654099948841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27.634027722416231</v>
      </c>
      <c r="BQ154" s="21">
        <f>EXP(-LN(2)/25)*BQ153+(1-EXP(-LN(2)/25))/(LN(2)/25)*Calculateur!BL154*Calculateur!BN154*VLOOKUP('Données projet'!$B$11,Paramètres!$A$1:$I$89,3,0)*0.475*44/12</f>
        <v>18.137784236394115</v>
      </c>
      <c r="BR154" s="21">
        <f>EXP(-LN(2)/2)*BR153+(1-EXP(-LN(2)/2))/(LN(2)/2)*BL154*BO154*VLOOKUP('Données projet'!$B$11,Paramètres!$A$1:$I$89,3,0)*0.475*44/12</f>
        <v>0.49795694810319263</v>
      </c>
      <c r="BS154" s="22">
        <f t="shared" ref="BS154:BS203" si="169">SUM(BP154:BR154)</f>
        <v>46.269768906913541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1312.0494521633034</v>
      </c>
      <c r="S155" s="59">
        <f ca="1">AVERAGE(OFFSET($R$3,0,0,'Données projet'!$E$9+1,1))-AVERAGE(OFFSET($H$3,0,0,'Données projet'!$E$9+1,1))</f>
        <v>635.71275911100679</v>
      </c>
      <c r="T155" s="59">
        <f t="shared" si="142"/>
        <v>281.7776857269169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2.5579538487363607E-13</v>
      </c>
      <c r="AJ155" s="13">
        <f>AI155*VLOOKUP('Données projet'!$B$10,Paramètres!$A$1:$I$89,3,0)*VLOOKUP('Données projet'!$B$10,Paramètres!$A$1:$I$89,5,0)</f>
        <v>2.7533815227798186E-13</v>
      </c>
      <c r="AK155" s="13">
        <f t="shared" si="164"/>
        <v>3.6763598146902537E-12</v>
      </c>
      <c r="AL155" s="20">
        <f t="shared" si="165"/>
        <v>6.88254062580301E-12</v>
      </c>
      <c r="AM155" s="59">
        <f t="shared" si="113"/>
        <v>293.33333333334019</v>
      </c>
      <c r="AN155" s="59">
        <f ca="1">AVERAGE(OFFSET($AM$3,0,0,'Données projet'!$E$10+1,1))-AVERAGE(OFFSET($H$3,0,0,'Données projet'!$E$10+1,1))</f>
        <v>502.65044103360322</v>
      </c>
      <c r="AO155" s="59">
        <f t="shared" si="144"/>
        <v>321.65762891855167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86.926526206092461</v>
      </c>
      <c r="AV155" s="21">
        <f>EXP(-LN(2)/25)*AV154+(1-EXP(-LN(2)/25))/(LN(2)/25)*Calculateur!AQ155*Calculateur!AS155*VLOOKUP('Données projet'!$B$10,Paramètres!$A$1:$I$89,3,0)*0.475*44/12</f>
        <v>15.21739012590367</v>
      </c>
      <c r="AW155" s="21">
        <f>EXP(-LN(2)/2)*AW154+(1-EXP(-LN(2)/2))/(LN(2)/2)*AQ155*AT155*VLOOKUP('Données projet'!$B$10,Paramètres!$A$1:$I$89,3,0)*0.475*44/12</f>
        <v>3.9553953813034554E-3</v>
      </c>
      <c r="AX155" s="21">
        <f t="shared" si="166"/>
        <v>102.14787172737744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7.5191666666666634</v>
      </c>
      <c r="BD155" s="12">
        <f>IF('Données projet'!$A$88&gt;35,BD154+BC155-BL154,IF(A155&lt;'Données projet'!$A$88,$BA$205^A155,IF(A155='Données projet'!$A$88,'Données projet'!$B$88,BD154+BC155-BL154)))</f>
        <v>379.12333333333299</v>
      </c>
      <c r="BE155" s="13">
        <f>BD155*VLOOKUP('Données projet'!$B$11,Paramètres!$A$1:$I$89,3,0)*VLOOKUP('Données projet'!$B$11,Paramètres!$A$1:$I$89,5,0)</f>
        <v>366.68808799999971</v>
      </c>
      <c r="BF155" s="13">
        <f t="shared" si="167"/>
        <v>84.989391356215521</v>
      </c>
      <c r="BG155" s="20">
        <f t="shared" si="168"/>
        <v>786.67160987874149</v>
      </c>
      <c r="BH155" s="59">
        <f t="shared" si="116"/>
        <v>1080.0049432120747</v>
      </c>
      <c r="BI155" s="59">
        <f ca="1">AVERAGE(OFFSET($BH$3,0,0,'Données projet'!$E$11+1,1))-AVERAGE(OFFSET($H$3,0,0,'Données projet'!$E$11+1,1))</f>
        <v>510.71380643466227</v>
      </c>
      <c r="BJ155" s="59">
        <f t="shared" si="146"/>
        <v>252.40654099948841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27.092141293872256</v>
      </c>
      <c r="BQ155" s="21">
        <f>EXP(-LN(2)/25)*BQ154+(1-EXP(-LN(2)/25))/(LN(2)/25)*Calculateur!BL155*Calculateur!BN155*VLOOKUP('Données projet'!$B$11,Paramètres!$A$1:$I$89,3,0)*0.475*44/12</f>
        <v>17.641805572625298</v>
      </c>
      <c r="BR155" s="21">
        <f>EXP(-LN(2)/2)*BR154+(1-EXP(-LN(2)/2))/(LN(2)/2)*BL155*BO155*VLOOKUP('Données projet'!$B$11,Paramètres!$A$1:$I$89,3,0)*0.475*44/12</f>
        <v>0.35210873474272525</v>
      </c>
      <c r="BS155" s="22">
        <f t="shared" si="169"/>
        <v>45.086055601240282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1329.6785757859675</v>
      </c>
      <c r="S156" s="59">
        <f ca="1">AVERAGE(OFFSET($R$3,0,0,'Données projet'!$E$9+1,1))-AVERAGE(OFFSET($H$3,0,0,'Données projet'!$E$9+1,1))</f>
        <v>635.71275911100679</v>
      </c>
      <c r="T156" s="59">
        <f t="shared" si="142"/>
        <v>281.7776857269169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2.5579538487363607E-13</v>
      </c>
      <c r="AJ156" s="13">
        <f>AI156*VLOOKUP('Données projet'!$B$10,Paramètres!$A$1:$I$89,3,0)*VLOOKUP('Données projet'!$B$10,Paramètres!$A$1:$I$89,5,0)</f>
        <v>2.7533815227798186E-13</v>
      </c>
      <c r="AK156" s="13">
        <f t="shared" si="164"/>
        <v>3.6763598146902537E-12</v>
      </c>
      <c r="AL156" s="20">
        <f t="shared" si="165"/>
        <v>6.88254062580301E-12</v>
      </c>
      <c r="AM156" s="59">
        <f t="shared" si="113"/>
        <v>293.33333333334019</v>
      </c>
      <c r="AN156" s="59">
        <f ca="1">AVERAGE(OFFSET($AM$3,0,0,'Données projet'!$E$10+1,1))-AVERAGE(OFFSET($H$3,0,0,'Données projet'!$E$10+1,1))</f>
        <v>502.65044103360322</v>
      </c>
      <c r="AO156" s="59">
        <f t="shared" si="144"/>
        <v>321.65762891855167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85.221950047136687</v>
      </c>
      <c r="AV156" s="21">
        <f>EXP(-LN(2)/25)*AV155+(1-EXP(-LN(2)/25))/(LN(2)/25)*Calculateur!AQ156*Calculateur!AS156*VLOOKUP('Données projet'!$B$10,Paramètres!$A$1:$I$89,3,0)*0.475*44/12</f>
        <v>14.801269792663067</v>
      </c>
      <c r="AW156" s="21">
        <f>EXP(-LN(2)/2)*AW155+(1-EXP(-LN(2)/2))/(LN(2)/2)*AQ156*AT156*VLOOKUP('Données projet'!$B$10,Paramètres!$A$1:$I$89,3,0)*0.475*44/12</f>
        <v>2.7968868963936231E-3</v>
      </c>
      <c r="AX156" s="21">
        <f t="shared" si="166"/>
        <v>100.02601672669614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7.5191666666666634</v>
      </c>
      <c r="BD156" s="12">
        <f>IF('Données projet'!$A$88&gt;35,BD155+BC156-BL155,IF(A156&lt;'Données projet'!$A$88,$BA$205^A156,IF(A156='Données projet'!$A$88,'Données projet'!$B$88,BD155+BC156-BL155)))</f>
        <v>386.64249999999964</v>
      </c>
      <c r="BE156" s="13">
        <f>BD156*VLOOKUP('Données projet'!$B$11,Paramètres!$A$1:$I$89,3,0)*VLOOKUP('Données projet'!$B$11,Paramètres!$A$1:$I$89,5,0)</f>
        <v>373.96062599999971</v>
      </c>
      <c r="BF156" s="13">
        <f t="shared" si="167"/>
        <v>86.477078812062814</v>
      </c>
      <c r="BG156" s="20">
        <f t="shared" si="168"/>
        <v>801.92900254767562</v>
      </c>
      <c r="BH156" s="59">
        <f t="shared" si="116"/>
        <v>1095.262335881009</v>
      </c>
      <c r="BI156" s="59">
        <f ca="1">AVERAGE(OFFSET($BH$3,0,0,'Données projet'!$E$11+1,1))-AVERAGE(OFFSET($H$3,0,0,'Données projet'!$E$11+1,1))</f>
        <v>510.71380643466227</v>
      </c>
      <c r="BJ156" s="59">
        <f t="shared" si="146"/>
        <v>252.40654099948841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26.560880927673946</v>
      </c>
      <c r="BQ156" s="21">
        <f>EXP(-LN(2)/25)*BQ155+(1-EXP(-LN(2)/25))/(LN(2)/25)*Calculateur!BL156*Calculateur!BN156*VLOOKUP('Données projet'!$B$11,Paramètres!$A$1:$I$89,3,0)*0.475*44/12</f>
        <v>17.159389471499626</v>
      </c>
      <c r="BR156" s="21">
        <f>EXP(-LN(2)/2)*BR155+(1-EXP(-LN(2)/2))/(LN(2)/2)*BL156*BO156*VLOOKUP('Données projet'!$B$11,Paramètres!$A$1:$I$89,3,0)*0.475*44/12</f>
        <v>0.24897847405159634</v>
      </c>
      <c r="BS156" s="22">
        <f t="shared" si="169"/>
        <v>43.969248873225169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1347.3018013794547</v>
      </c>
      <c r="S157" s="59">
        <f ca="1">AVERAGE(OFFSET($R$3,0,0,'Données projet'!$E$9+1,1))-AVERAGE(OFFSET($H$3,0,0,'Données projet'!$E$9+1,1))</f>
        <v>635.71275911100679</v>
      </c>
      <c r="T157" s="59">
        <f t="shared" si="142"/>
        <v>281.7776857269169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2.5579538487363607E-13</v>
      </c>
      <c r="AJ157" s="13">
        <f>AI157*VLOOKUP('Données projet'!$B$10,Paramètres!$A$1:$I$89,3,0)*VLOOKUP('Données projet'!$B$10,Paramètres!$A$1:$I$89,5,0)</f>
        <v>2.7533815227798186E-13</v>
      </c>
      <c r="AK157" s="13">
        <f t="shared" si="164"/>
        <v>3.6763598146902537E-12</v>
      </c>
      <c r="AL157" s="20">
        <f t="shared" si="165"/>
        <v>6.88254062580301E-12</v>
      </c>
      <c r="AM157" s="59">
        <f t="shared" si="113"/>
        <v>293.33333333334019</v>
      </c>
      <c r="AN157" s="59">
        <f ca="1">AVERAGE(OFFSET($AM$3,0,0,'Données projet'!$E$10+1,1))-AVERAGE(OFFSET($H$3,0,0,'Données projet'!$E$10+1,1))</f>
        <v>502.65044103360322</v>
      </c>
      <c r="AO157" s="59">
        <f t="shared" si="144"/>
        <v>321.65762891855167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83.550799586969248</v>
      </c>
      <c r="AV157" s="21">
        <f>EXP(-LN(2)/25)*AV156+(1-EXP(-LN(2)/25))/(LN(2)/25)*Calculateur!AQ157*Calculateur!AS157*VLOOKUP('Données projet'!$B$10,Paramètres!$A$1:$I$89,3,0)*0.475*44/12</f>
        <v>14.396528291817747</v>
      </c>
      <c r="AW157" s="21">
        <f>EXP(-LN(2)/2)*AW156+(1-EXP(-LN(2)/2))/(LN(2)/2)*AQ157*AT157*VLOOKUP('Données projet'!$B$10,Paramètres!$A$1:$I$89,3,0)*0.475*44/12</f>
        <v>1.9776976906517277E-3</v>
      </c>
      <c r="AX157" s="21">
        <f t="shared" si="166"/>
        <v>97.949305576477641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7.5191666666666634</v>
      </c>
      <c r="BD157" s="12">
        <f>IF('Données projet'!$A$88&gt;35,BD156+BC157-BL156,IF(A157&lt;'Données projet'!$A$88,$BA$205^A157,IF(A157='Données projet'!$A$88,'Données projet'!$B$88,BD156+BC157-BL156)))</f>
        <v>394.16166666666629</v>
      </c>
      <c r="BE157" s="13">
        <f>BD157*VLOOKUP('Données projet'!$B$11,Paramètres!$A$1:$I$89,3,0)*VLOOKUP('Données projet'!$B$11,Paramètres!$A$1:$I$89,5,0)</f>
        <v>381.23316399999965</v>
      </c>
      <c r="BF157" s="13">
        <f t="shared" si="167"/>
        <v>87.961402219130861</v>
      </c>
      <c r="BG157" s="20">
        <f t="shared" si="168"/>
        <v>817.18053616498548</v>
      </c>
      <c r="BH157" s="59">
        <f t="shared" si="116"/>
        <v>1110.5138694983189</v>
      </c>
      <c r="BI157" s="59">
        <f ca="1">AVERAGE(OFFSET($BH$3,0,0,'Données projet'!$E$11+1,1))-AVERAGE(OFFSET($H$3,0,0,'Données projet'!$E$11+1,1))</f>
        <v>510.71380643466227</v>
      </c>
      <c r="BJ157" s="59">
        <f t="shared" si="146"/>
        <v>252.40654099948841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26.040038253219954</v>
      </c>
      <c r="BQ157" s="21">
        <f>EXP(-LN(2)/25)*BQ156+(1-EXP(-LN(2)/25))/(LN(2)/25)*Calculateur!BL157*Calculateur!BN157*VLOOKUP('Données projet'!$B$11,Paramètres!$A$1:$I$89,3,0)*0.475*44/12</f>
        <v>16.690165064028395</v>
      </c>
      <c r="BR157" s="21">
        <f>EXP(-LN(2)/2)*BR156+(1-EXP(-LN(2)/2))/(LN(2)/2)*BL157*BO157*VLOOKUP('Données projet'!$B$11,Paramètres!$A$1:$I$89,3,0)*0.475*44/12</f>
        <v>0.17605436737136265</v>
      </c>
      <c r="BS157" s="22">
        <f t="shared" si="169"/>
        <v>42.906257684619717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1249.8842383946057</v>
      </c>
      <c r="S158" s="59">
        <f ca="1">AVERAGE(OFFSET($R$3,0,0,'Données projet'!$E$9+1,1))-AVERAGE(OFFSET($H$3,0,0,'Données projet'!$E$9+1,1))</f>
        <v>635.71275911100679</v>
      </c>
      <c r="T158" s="59">
        <f t="shared" si="142"/>
        <v>281.7776857269169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2.5579538487363607E-13</v>
      </c>
      <c r="AJ158" s="13">
        <f>AI158*VLOOKUP('Données projet'!$B$10,Paramètres!$A$1:$I$89,3,0)*VLOOKUP('Données projet'!$B$10,Paramètres!$A$1:$I$89,5,0)</f>
        <v>2.7533815227798186E-13</v>
      </c>
      <c r="AK158" s="13">
        <f t="shared" si="164"/>
        <v>3.6763598146902537E-12</v>
      </c>
      <c r="AL158" s="20">
        <f t="shared" si="165"/>
        <v>6.88254062580301E-12</v>
      </c>
      <c r="AM158" s="59">
        <f t="shared" si="113"/>
        <v>293.33333333334019</v>
      </c>
      <c r="AN158" s="59">
        <f ca="1">AVERAGE(OFFSET($AM$3,0,0,'Données projet'!$E$10+1,1))-AVERAGE(OFFSET($H$3,0,0,'Données projet'!$E$10+1,1))</f>
        <v>502.65044103360322</v>
      </c>
      <c r="AO158" s="59">
        <f t="shared" si="144"/>
        <v>321.65762891855167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81.912419368024558</v>
      </c>
      <c r="AV158" s="21">
        <f>EXP(-LN(2)/25)*AV157+(1-EXP(-LN(2)/25))/(LN(2)/25)*Calculateur!AQ158*Calculateur!AS158*VLOOKUP('Données projet'!$B$10,Paramètres!$A$1:$I$89,3,0)*0.475*44/12</f>
        <v>14.002854468597471</v>
      </c>
      <c r="AW158" s="21">
        <f>EXP(-LN(2)/2)*AW157+(1-EXP(-LN(2)/2))/(LN(2)/2)*AQ158*AT158*VLOOKUP('Données projet'!$B$10,Paramètres!$A$1:$I$89,3,0)*0.475*44/12</f>
        <v>1.3984434481968116E-3</v>
      </c>
      <c r="AX158" s="21">
        <f t="shared" si="166"/>
        <v>95.91667228007023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7.5191666666666634</v>
      </c>
      <c r="BD158" s="12">
        <f>IF('Données projet'!$A$88&gt;35,BD157+BC158-BL157,IF(A158&lt;'Données projet'!$A$88,$BA$205^A158,IF(A158='Données projet'!$A$88,'Données projet'!$B$88,BD157+BC158-BL157)))</f>
        <v>401.68083333333294</v>
      </c>
      <c r="BE158" s="13">
        <f>BD158*VLOOKUP('Données projet'!$B$11,Paramètres!$A$1:$I$89,3,0)*VLOOKUP('Données projet'!$B$11,Paramètres!$A$1:$I$89,5,0)</f>
        <v>388.50570199999964</v>
      </c>
      <c r="BF158" s="13">
        <f t="shared" si="167"/>
        <v>89.442433150300388</v>
      </c>
      <c r="BG158" s="20">
        <f t="shared" si="168"/>
        <v>832.42633538677239</v>
      </c>
      <c r="BH158" s="59">
        <f t="shared" si="116"/>
        <v>1125.7596687201058</v>
      </c>
      <c r="BI158" s="59">
        <f ca="1">AVERAGE(OFFSET($BH$3,0,0,'Données projet'!$E$11+1,1))-AVERAGE(OFFSET($H$3,0,0,'Données projet'!$E$11+1,1))</f>
        <v>510.71380643466227</v>
      </c>
      <c r="BJ158" s="59">
        <f t="shared" si="146"/>
        <v>252.40654099948841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25.529408985929344</v>
      </c>
      <c r="BQ158" s="21">
        <f>EXP(-LN(2)/25)*BQ157+(1-EXP(-LN(2)/25))/(LN(2)/25)*Calculateur!BL158*Calculateur!BN158*VLOOKUP('Données projet'!$B$11,Paramètres!$A$1:$I$89,3,0)*0.475*44/12</f>
        <v>16.233771622654903</v>
      </c>
      <c r="BR158" s="21">
        <f>EXP(-LN(2)/2)*BR157+(1-EXP(-LN(2)/2))/(LN(2)/2)*BL158*BO158*VLOOKUP('Données projet'!$B$11,Paramètres!$A$1:$I$89,3,0)*0.475*44/12</f>
        <v>0.12448923702579819</v>
      </c>
      <c r="BS158" s="22">
        <f t="shared" si="169"/>
        <v>41.887669845610048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1267.8243467626037</v>
      </c>
      <c r="S159" s="59">
        <f ca="1">AVERAGE(OFFSET($R$3,0,0,'Données projet'!$E$9+1,1))-AVERAGE(OFFSET($H$3,0,0,'Données projet'!$E$9+1,1))</f>
        <v>635.71275911100679</v>
      </c>
      <c r="T159" s="59">
        <f t="shared" si="142"/>
        <v>281.7776857269169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2.5579538487363607E-13</v>
      </c>
      <c r="AJ159" s="13">
        <f>AI159*VLOOKUP('Données projet'!$B$10,Paramètres!$A$1:$I$89,3,0)*VLOOKUP('Données projet'!$B$10,Paramètres!$A$1:$I$89,5,0)</f>
        <v>2.7533815227798186E-13</v>
      </c>
      <c r="AK159" s="13">
        <f t="shared" si="164"/>
        <v>3.6763598146902537E-12</v>
      </c>
      <c r="AL159" s="20">
        <f t="shared" si="165"/>
        <v>6.88254062580301E-12</v>
      </c>
      <c r="AM159" s="59">
        <f t="shared" si="113"/>
        <v>293.33333333334019</v>
      </c>
      <c r="AN159" s="59">
        <f ca="1">AVERAGE(OFFSET($AM$3,0,0,'Données projet'!$E$10+1,1))-AVERAGE(OFFSET($H$3,0,0,'Données projet'!$E$10+1,1))</f>
        <v>502.65044103360322</v>
      </c>
      <c r="AO159" s="59">
        <f t="shared" si="144"/>
        <v>321.65762891855167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80.306166785860114</v>
      </c>
      <c r="AV159" s="21">
        <f>EXP(-LN(2)/25)*AV158+(1-EXP(-LN(2)/25))/(LN(2)/25)*Calculateur!AQ159*Calculateur!AS159*VLOOKUP('Données projet'!$B$10,Paramètres!$A$1:$I$89,3,0)*0.475*44/12</f>
        <v>13.619945676775561</v>
      </c>
      <c r="AW159" s="21">
        <f>EXP(-LN(2)/2)*AW158+(1-EXP(-LN(2)/2))/(LN(2)/2)*AQ159*AT159*VLOOKUP('Données projet'!$B$10,Paramètres!$A$1:$I$89,3,0)*0.475*44/12</f>
        <v>9.8884884532586385E-4</v>
      </c>
      <c r="AX159" s="21">
        <f t="shared" si="166"/>
        <v>93.927101311480996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409.2</v>
      </c>
      <c r="BB159" s="12">
        <f>VLOOKUP(A159,'Données projet'!$A$87:$I$107,9,0)</f>
        <v>7.5191666666666634</v>
      </c>
      <c r="BC159" s="12">
        <f t="array" ref="BC159">INDEX(BB:BB,MIN(IF(ISNUMBER(BB159:BB355),ROW(BB159:BB355),"")))</f>
        <v>7.5191666666666634</v>
      </c>
      <c r="BD159" s="12">
        <f>IF('Données projet'!$A$88&gt;35,BD158+BC159-BL158,IF(A159&lt;'Données projet'!$A$88,$BA$205^A159,IF(A159='Données projet'!$A$88,'Données projet'!$B$88,BD158+BC159-BL158)))</f>
        <v>409.19999999999959</v>
      </c>
      <c r="BE159" s="13">
        <f>BD159*VLOOKUP('Données projet'!$B$11,Paramètres!$A$1:$I$89,3,0)*VLOOKUP('Données projet'!$B$11,Paramètres!$A$1:$I$89,5,0)</f>
        <v>395.77823999999964</v>
      </c>
      <c r="BF159" s="13">
        <f t="shared" si="167"/>
        <v>90.920240345509228</v>
      </c>
      <c r="BG159" s="20">
        <f t="shared" si="168"/>
        <v>847.66651993509458</v>
      </c>
      <c r="BH159" s="59">
        <f t="shared" si="116"/>
        <v>1140.9998532684278</v>
      </c>
      <c r="BI159" s="59">
        <f ca="1">AVERAGE(OFFSET($BH$3,0,0,'Données projet'!$E$11+1,1))-AVERAGE(OFFSET($H$3,0,0,'Données projet'!$E$11+1,1))</f>
        <v>510.71380643466227</v>
      </c>
      <c r="BJ159" s="59">
        <f t="shared" si="146"/>
        <v>252.40654099948841</v>
      </c>
      <c r="BK159" s="15">
        <f>IF(ISNA(VLOOKUP(A159,'Données projet'!$A$87:$I$107,3,0)),0,VLOOKUP(A159,'Données projet'!$A$87:$I$107,3,0))</f>
        <v>11</v>
      </c>
      <c r="BL159" s="15">
        <f>IF(ISNA(VLOOKUP(A159,'Données projet'!$A$87:$I$107,4,0)),0,VLOOKUP(A159,'Données projet'!$A$87:$I$107,4,0))</f>
        <v>65.69</v>
      </c>
      <c r="BM159" s="16">
        <f>IF(ISNA(VLOOKUP(A159,'Données projet'!$A$87:$I$107,5,0)),0%,VLOOKUP(A159,'Données projet'!$A$87:$I$107,5,0)*VLOOKUP('Données projet'!$B$11,Paramètres!$A$1:$I$89,7,0))</f>
        <v>0.215</v>
      </c>
      <c r="BN159" s="16">
        <f>IF(ISNA(VLOOKUP(A159,'Données projet'!$A$87:$I$107,6,0)),0%,VLOOKUP(A159,'Données projet'!$A$87:$I$107,6,0)*VLOOKUP('Données projet'!$B$11,Paramètres!$A$1:$I$89,7,0))</f>
        <v>8.6000000000000007E-2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40.129633333113219</v>
      </c>
      <c r="BQ159" s="21">
        <f>EXP(-LN(2)/25)*BQ158+(1-EXP(-LN(2)/25))/(LN(2)/25)*Calculateur!BL159*Calculateur!BN159*VLOOKUP('Données projet'!$B$11,Paramètres!$A$1:$I$89,3,0)*0.475*44/12</f>
        <v>21.80641137318899</v>
      </c>
      <c r="BR159" s="21">
        <f>EXP(-LN(2)/2)*BR158+(1-EXP(-LN(2)/2))/(LN(2)/2)*BL159*BO159*VLOOKUP('Données projet'!$B$11,Paramètres!$A$1:$I$89,3,0)*0.475*44/12</f>
        <v>8.802718368568134E-2</v>
      </c>
      <c r="BS159" s="22">
        <f t="shared" si="169"/>
        <v>62.024071889987894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1285.7579189838214</v>
      </c>
      <c r="S160" s="59">
        <f ca="1">AVERAGE(OFFSET($R$3,0,0,'Données projet'!$E$9+1,1))-AVERAGE(OFFSET($H$3,0,0,'Données projet'!$E$9+1,1))</f>
        <v>635.71275911100679</v>
      </c>
      <c r="T160" s="59">
        <f t="shared" si="142"/>
        <v>281.7776857269169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2.5579538487363607E-13</v>
      </c>
      <c r="AJ160" s="13">
        <f>AI160*VLOOKUP('Données projet'!$B$10,Paramètres!$A$1:$I$89,3,0)*VLOOKUP('Données projet'!$B$10,Paramètres!$A$1:$I$89,5,0)</f>
        <v>2.7533815227798186E-13</v>
      </c>
      <c r="AK160" s="13">
        <f t="shared" si="164"/>
        <v>3.6763598146902537E-12</v>
      </c>
      <c r="AL160" s="20">
        <f t="shared" si="165"/>
        <v>6.88254062580301E-12</v>
      </c>
      <c r="AM160" s="59">
        <f t="shared" si="113"/>
        <v>293.33333333334019</v>
      </c>
      <c r="AN160" s="59">
        <f ca="1">AVERAGE(OFFSET($AM$3,0,0,'Données projet'!$E$10+1,1))-AVERAGE(OFFSET($H$3,0,0,'Données projet'!$E$10+1,1))</f>
        <v>502.65044103360322</v>
      </c>
      <c r="AO160" s="59">
        <f t="shared" si="144"/>
        <v>321.65762891855167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78.731411837114578</v>
      </c>
      <c r="AV160" s="21">
        <f>EXP(-LN(2)/25)*AV159+(1-EXP(-LN(2)/25))/(LN(2)/25)*Calculateur!AQ160*Calculateur!AS160*VLOOKUP('Données projet'!$B$10,Paramètres!$A$1:$I$89,3,0)*0.475*44/12</f>
        <v>13.24750754600232</v>
      </c>
      <c r="AW160" s="21">
        <f>EXP(-LN(2)/2)*AW159+(1-EXP(-LN(2)/2))/(LN(2)/2)*AQ160*AT160*VLOOKUP('Données projet'!$B$10,Paramètres!$A$1:$I$89,3,0)*0.475*44/12</f>
        <v>6.9922172409840578E-4</v>
      </c>
      <c r="AX160" s="21">
        <f t="shared" si="166"/>
        <v>91.979618604841008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7.6783333333333319</v>
      </c>
      <c r="BD160" s="12">
        <f>IF('Données projet'!$A$88&gt;35,BD159+BC160-BL159,IF(A160&lt;'Données projet'!$A$88,$BA$205^A160,IF(A160='Données projet'!$A$88,'Données projet'!$B$88,BD159+BC160-BL159)))</f>
        <v>351.18833333333293</v>
      </c>
      <c r="BE160" s="13">
        <f>BD160*VLOOKUP('Données projet'!$B$11,Paramètres!$A$1:$I$89,3,0)*VLOOKUP('Données projet'!$B$11,Paramètres!$A$1:$I$89,5,0)</f>
        <v>339.66935599999965</v>
      </c>
      <c r="BF160" s="13">
        <f t="shared" si="167"/>
        <v>79.431629410153604</v>
      </c>
      <c r="BG160" s="20">
        <f t="shared" si="168"/>
        <v>729.93421625601695</v>
      </c>
      <c r="BH160" s="59">
        <f t="shared" si="116"/>
        <v>1023.2675495893502</v>
      </c>
      <c r="BI160" s="59">
        <f ca="1">AVERAGE(OFFSET($BH$3,0,0,'Données projet'!$E$11+1,1))-AVERAGE(OFFSET($H$3,0,0,'Données projet'!$E$11+1,1))</f>
        <v>510.71380643466227</v>
      </c>
      <c r="BJ160" s="59">
        <f t="shared" si="146"/>
        <v>252.40654099948841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39.342715700110332</v>
      </c>
      <c r="BQ160" s="21">
        <f>EXP(-LN(2)/25)*BQ159+(1-EXP(-LN(2)/25))/(LN(2)/25)*Calculateur!BL160*Calculateur!BN160*VLOOKUP('Données projet'!$B$11,Paramètres!$A$1:$I$89,3,0)*0.475*44/12</f>
        <v>21.210113907439801</v>
      </c>
      <c r="BR160" s="21">
        <f>EXP(-LN(2)/2)*BR159+(1-EXP(-LN(2)/2))/(LN(2)/2)*BL160*BO160*VLOOKUP('Données projet'!$B$11,Paramètres!$A$1:$I$89,3,0)*0.475*44/12</f>
        <v>6.2244618512899107E-2</v>
      </c>
      <c r="BS160" s="22">
        <f t="shared" si="169"/>
        <v>60.615074226063037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1303.6850896497151</v>
      </c>
      <c r="S161" s="59">
        <f ca="1">AVERAGE(OFFSET($R$3,0,0,'Données projet'!$E$9+1,1))-AVERAGE(OFFSET($H$3,0,0,'Données projet'!$E$9+1,1))</f>
        <v>635.71275911100679</v>
      </c>
      <c r="T161" s="59">
        <f t="shared" si="142"/>
        <v>281.7776857269169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2.5579538487363607E-13</v>
      </c>
      <c r="AJ161" s="13">
        <f>AI161*VLOOKUP('Données projet'!$B$10,Paramètres!$A$1:$I$89,3,0)*VLOOKUP('Données projet'!$B$10,Paramètres!$A$1:$I$89,5,0)</f>
        <v>2.7533815227798186E-13</v>
      </c>
      <c r="AK161" s="13">
        <f t="shared" si="164"/>
        <v>3.6763598146902537E-12</v>
      </c>
      <c r="AL161" s="20">
        <f t="shared" si="165"/>
        <v>6.88254062580301E-12</v>
      </c>
      <c r="AM161" s="59">
        <f t="shared" si="113"/>
        <v>293.33333333334019</v>
      </c>
      <c r="AN161" s="59">
        <f ca="1">AVERAGE(OFFSET($AM$3,0,0,'Données projet'!$E$10+1,1))-AVERAGE(OFFSET($H$3,0,0,'Données projet'!$E$10+1,1))</f>
        <v>502.65044103360322</v>
      </c>
      <c r="AO161" s="59">
        <f t="shared" si="144"/>
        <v>321.65762891855167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77.187536872408259</v>
      </c>
      <c r="AV161" s="21">
        <f>EXP(-LN(2)/25)*AV160+(1-EXP(-LN(2)/25))/(LN(2)/25)*Calculateur!AQ161*Calculateur!AS161*VLOOKUP('Données projet'!$B$10,Paramètres!$A$1:$I$89,3,0)*0.475*44/12</f>
        <v>12.885253755500742</v>
      </c>
      <c r="AW161" s="21">
        <f>EXP(-LN(2)/2)*AW160+(1-EXP(-LN(2)/2))/(LN(2)/2)*AQ161*AT161*VLOOKUP('Données projet'!$B$10,Paramètres!$A$1:$I$89,3,0)*0.475*44/12</f>
        <v>4.9442442266293192E-4</v>
      </c>
      <c r="AX161" s="21">
        <f t="shared" si="166"/>
        <v>90.07328505233167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7.6783333333333319</v>
      </c>
      <c r="BD161" s="12">
        <f>IF('Données projet'!$A$88&gt;35,BD160+BC161-BL160,IF(A161&lt;'Données projet'!$A$88,$BA$205^A161,IF(A161='Données projet'!$A$88,'Données projet'!$B$88,BD160+BC161-BL160)))</f>
        <v>358.86666666666628</v>
      </c>
      <c r="BE161" s="13">
        <f>BD161*VLOOKUP('Données projet'!$B$11,Paramètres!$A$1:$I$89,3,0)*VLOOKUP('Données projet'!$B$11,Paramètres!$A$1:$I$89,5,0)</f>
        <v>347.09583999999967</v>
      </c>
      <c r="BF161" s="13">
        <f t="shared" si="167"/>
        <v>80.964224852451267</v>
      </c>
      <c r="BG161" s="20">
        <f t="shared" si="168"/>
        <v>745.53794628468529</v>
      </c>
      <c r="BH161" s="59">
        <f t="shared" si="116"/>
        <v>1038.8712796180187</v>
      </c>
      <c r="BI161" s="59">
        <f ca="1">AVERAGE(OFFSET($BH$3,0,0,'Données projet'!$E$11+1,1))-AVERAGE(OFFSET($H$3,0,0,'Données projet'!$E$11+1,1))</f>
        <v>510.71380643466227</v>
      </c>
      <c r="BJ161" s="59">
        <f t="shared" si="146"/>
        <v>252.40654099948841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38.571229041918272</v>
      </c>
      <c r="BQ161" s="21">
        <f>EXP(-LN(2)/25)*BQ160+(1-EXP(-LN(2)/25))/(LN(2)/25)*Calculateur!BL161*Calculateur!BN161*VLOOKUP('Données projet'!$B$11,Paramètres!$A$1:$I$89,3,0)*0.475*44/12</f>
        <v>20.630122227249444</v>
      </c>
      <c r="BR161" s="21">
        <f>EXP(-LN(2)/2)*BR160+(1-EXP(-LN(2)/2))/(LN(2)/2)*BL161*BO161*VLOOKUP('Données projet'!$B$11,Paramètres!$A$1:$I$89,3,0)*0.475*44/12</f>
        <v>4.4013591842840677E-2</v>
      </c>
      <c r="BS161" s="22">
        <f t="shared" si="169"/>
        <v>59.245364861010557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1321.6059881926162</v>
      </c>
      <c r="S162" s="59">
        <f ca="1">AVERAGE(OFFSET($R$3,0,0,'Données projet'!$E$9+1,1))-AVERAGE(OFFSET($H$3,0,0,'Données projet'!$E$9+1,1))</f>
        <v>635.71275911100679</v>
      </c>
      <c r="T162" s="59">
        <f t="shared" si="142"/>
        <v>281.7776857269169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2.5579538487363607E-13</v>
      </c>
      <c r="AJ162" s="13">
        <f>AI162*VLOOKUP('Données projet'!$B$10,Paramètres!$A$1:$I$89,3,0)*VLOOKUP('Données projet'!$B$10,Paramètres!$A$1:$I$89,5,0)</f>
        <v>2.7533815227798186E-13</v>
      </c>
      <c r="AK162" s="13">
        <f t="shared" si="164"/>
        <v>3.6763598146902537E-12</v>
      </c>
      <c r="AL162" s="20">
        <f t="shared" si="165"/>
        <v>6.88254062580301E-12</v>
      </c>
      <c r="AM162" s="59">
        <f t="shared" si="113"/>
        <v>293.33333333334019</v>
      </c>
      <c r="AN162" s="59">
        <f ca="1">AVERAGE(OFFSET($AM$3,0,0,'Données projet'!$E$10+1,1))-AVERAGE(OFFSET($H$3,0,0,'Données projet'!$E$10+1,1))</f>
        <v>502.65044103360322</v>
      </c>
      <c r="AO162" s="59">
        <f t="shared" si="144"/>
        <v>321.65762891855167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75.673936354089079</v>
      </c>
      <c r="AV162" s="21">
        <f>EXP(-LN(2)/25)*AV161+(1-EXP(-LN(2)/25))/(LN(2)/25)*Calculateur!AQ162*Calculateur!AS162*VLOOKUP('Données projet'!$B$10,Paramètres!$A$1:$I$89,3,0)*0.475*44/12</f>
        <v>12.532905813950528</v>
      </c>
      <c r="AW162" s="21">
        <f>EXP(-LN(2)/2)*AW161+(1-EXP(-LN(2)/2))/(LN(2)/2)*AQ162*AT162*VLOOKUP('Données projet'!$B$10,Paramètres!$A$1:$I$89,3,0)*0.475*44/12</f>
        <v>3.4961086204920289E-4</v>
      </c>
      <c r="AX162" s="21">
        <f t="shared" si="166"/>
        <v>88.207191778901645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7.6783333333333319</v>
      </c>
      <c r="BD162" s="12">
        <f>IF('Données projet'!$A$88&gt;35,BD161+BC162-BL161,IF(A162&lt;'Données projet'!$A$88,$BA$205^A162,IF(A162='Données projet'!$A$88,'Données projet'!$B$88,BD161+BC162-BL161)))</f>
        <v>366.54499999999962</v>
      </c>
      <c r="BE162" s="13">
        <f>BD162*VLOOKUP('Données projet'!$B$11,Paramètres!$A$1:$I$89,3,0)*VLOOKUP('Données projet'!$B$11,Paramètres!$A$1:$I$89,5,0)</f>
        <v>354.52232399999963</v>
      </c>
      <c r="BF162" s="13">
        <f t="shared" si="167"/>
        <v>82.493007805005064</v>
      </c>
      <c r="BG162" s="20">
        <f t="shared" si="168"/>
        <v>761.13503622704968</v>
      </c>
      <c r="BH162" s="59">
        <f t="shared" si="116"/>
        <v>1054.4683695603831</v>
      </c>
      <c r="BI162" s="59">
        <f ca="1">AVERAGE(OFFSET($BH$3,0,0,'Données projet'!$E$11+1,1))-AVERAGE(OFFSET($H$3,0,0,'Données projet'!$E$11+1,1))</f>
        <v>510.71380643466227</v>
      </c>
      <c r="BJ162" s="59">
        <f t="shared" si="146"/>
        <v>252.40654099948841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37.814870766532955</v>
      </c>
      <c r="BQ162" s="21">
        <f>EXP(-LN(2)/25)*BQ161+(1-EXP(-LN(2)/25))/(LN(2)/25)*Calculateur!BL162*Calculateur!BN162*VLOOKUP('Données projet'!$B$11,Paramètres!$A$1:$I$89,3,0)*0.475*44/12</f>
        <v>20.065990450054333</v>
      </c>
      <c r="BR162" s="21">
        <f>EXP(-LN(2)/2)*BR161+(1-EXP(-LN(2)/2))/(LN(2)/2)*BL162*BO162*VLOOKUP('Données projet'!$B$11,Paramètres!$A$1:$I$89,3,0)*0.475*44/12</f>
        <v>3.1122309256449557E-2</v>
      </c>
      <c r="BS162" s="22">
        <f t="shared" si="169"/>
        <v>57.911983525843738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1339.5207391717654</v>
      </c>
      <c r="S163" s="59">
        <f ca="1">AVERAGE(OFFSET($R$3,0,0,'Données projet'!$E$9+1,1))-AVERAGE(OFFSET($H$3,0,0,'Données projet'!$E$9+1,1))</f>
        <v>635.71275911100679</v>
      </c>
      <c r="T163" s="59">
        <f t="shared" si="142"/>
        <v>281.7776857269169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2.5579538487363607E-13</v>
      </c>
      <c r="AJ163" s="13">
        <f>AI163*VLOOKUP('Données projet'!$B$10,Paramètres!$A$1:$I$89,3,0)*VLOOKUP('Données projet'!$B$10,Paramètres!$A$1:$I$89,5,0)</f>
        <v>2.7533815227798186E-13</v>
      </c>
      <c r="AK163" s="13">
        <f t="shared" si="164"/>
        <v>3.6763598146902537E-12</v>
      </c>
      <c r="AL163" s="20">
        <f t="shared" si="165"/>
        <v>6.88254062580301E-12</v>
      </c>
      <c r="AM163" s="59">
        <f t="shared" si="113"/>
        <v>293.33333333334019</v>
      </c>
      <c r="AN163" s="59">
        <f ca="1">AVERAGE(OFFSET($AM$3,0,0,'Données projet'!$E$10+1,1))-AVERAGE(OFFSET($H$3,0,0,'Données projet'!$E$10+1,1))</f>
        <v>502.65044103360322</v>
      </c>
      <c r="AO163" s="59">
        <f t="shared" si="144"/>
        <v>321.65762891855167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74.19001661872899</v>
      </c>
      <c r="AV163" s="21">
        <f>EXP(-LN(2)/25)*AV162+(1-EXP(-LN(2)/25))/(LN(2)/25)*Calculateur!AQ163*Calculateur!AS163*VLOOKUP('Données projet'!$B$10,Paramètres!$A$1:$I$89,3,0)*0.475*44/12</f>
        <v>12.190192845391179</v>
      </c>
      <c r="AW163" s="21">
        <f>EXP(-LN(2)/2)*AW162+(1-EXP(-LN(2)/2))/(LN(2)/2)*AQ163*AT163*VLOOKUP('Données projet'!$B$10,Paramètres!$A$1:$I$89,3,0)*0.475*44/12</f>
        <v>2.4721221133146596E-4</v>
      </c>
      <c r="AX163" s="21">
        <f t="shared" si="166"/>
        <v>86.380456676331505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7.6783333333333319</v>
      </c>
      <c r="BD163" s="12">
        <f>IF('Données projet'!$A$88&gt;35,BD162+BC163-BL162,IF(A163&lt;'Données projet'!$A$88,$BA$205^A163,IF(A163='Données projet'!$A$88,'Données projet'!$B$88,BD162+BC163-BL162)))</f>
        <v>374.22333333333296</v>
      </c>
      <c r="BE163" s="13">
        <f>BD163*VLOOKUP('Données projet'!$B$11,Paramètres!$A$1:$I$89,3,0)*VLOOKUP('Données projet'!$B$11,Paramètres!$A$1:$I$89,5,0)</f>
        <v>361.94880799999964</v>
      </c>
      <c r="BF163" s="13">
        <f t="shared" si="167"/>
        <v>84.018067331968155</v>
      </c>
      <c r="BG163" s="20">
        <f t="shared" si="168"/>
        <v>776.72564120317713</v>
      </c>
      <c r="BH163" s="59">
        <f t="shared" si="116"/>
        <v>1070.0589745365105</v>
      </c>
      <c r="BI163" s="59">
        <f ca="1">AVERAGE(OFFSET($BH$3,0,0,'Données projet'!$E$11+1,1))-AVERAGE(OFFSET($H$3,0,0,'Données projet'!$E$11+1,1))</f>
        <v>510.71380643466227</v>
      </c>
      <c r="BJ163" s="59">
        <f t="shared" si="146"/>
        <v>252.40654099948841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37.07334421559495</v>
      </c>
      <c r="BQ163" s="21">
        <f>EXP(-LN(2)/25)*BQ162+(1-EXP(-LN(2)/25))/(LN(2)/25)*Calculateur!BL163*Calculateur!BN163*VLOOKUP('Données projet'!$B$11,Paramètres!$A$1:$I$89,3,0)*0.475*44/12</f>
        <v>19.517284885973019</v>
      </c>
      <c r="BR163" s="21">
        <f>EXP(-LN(2)/2)*BR162+(1-EXP(-LN(2)/2))/(LN(2)/2)*BL163*BO163*VLOOKUP('Données projet'!$B$11,Paramètres!$A$1:$I$89,3,0)*0.475*44/12</f>
        <v>2.2006795921420342E-2</v>
      </c>
      <c r="BS163" s="22">
        <f t="shared" si="169"/>
        <v>56.61263589748939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1357.4294625387638</v>
      </c>
      <c r="S164" s="59">
        <f ca="1">AVERAGE(OFFSET($R$3,0,0,'Données projet'!$E$9+1,1))-AVERAGE(OFFSET($H$3,0,0,'Données projet'!$E$9+1,1))</f>
        <v>635.71275911100679</v>
      </c>
      <c r="T164" s="59">
        <f t="shared" si="142"/>
        <v>281.7776857269169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2.5579538487363607E-13</v>
      </c>
      <c r="AJ164" s="13">
        <f>AI164*VLOOKUP('Données projet'!$B$10,Paramètres!$A$1:$I$89,3,0)*VLOOKUP('Données projet'!$B$10,Paramètres!$A$1:$I$89,5,0)</f>
        <v>2.7533815227798186E-13</v>
      </c>
      <c r="AK164" s="13">
        <f t="shared" si="164"/>
        <v>3.6763598146902537E-12</v>
      </c>
      <c r="AL164" s="20">
        <f t="shared" si="165"/>
        <v>6.88254062580301E-12</v>
      </c>
      <c r="AM164" s="59">
        <f t="shared" si="113"/>
        <v>293.33333333334019</v>
      </c>
      <c r="AN164" s="59">
        <f ca="1">AVERAGE(OFFSET($AM$3,0,0,'Données projet'!$E$10+1,1))-AVERAGE(OFFSET($H$3,0,0,'Données projet'!$E$10+1,1))</f>
        <v>502.65044103360322</v>
      </c>
      <c r="AO164" s="59">
        <f t="shared" si="144"/>
        <v>321.65762891855167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72.735195644277638</v>
      </c>
      <c r="AV164" s="21">
        <f>EXP(-LN(2)/25)*AV163+(1-EXP(-LN(2)/25))/(LN(2)/25)*Calculateur!AQ164*Calculateur!AS164*VLOOKUP('Données projet'!$B$10,Paramètres!$A$1:$I$89,3,0)*0.475*44/12</f>
        <v>11.856851380979576</v>
      </c>
      <c r="AW164" s="21">
        <f>EXP(-LN(2)/2)*AW163+(1-EXP(-LN(2)/2))/(LN(2)/2)*AQ164*AT164*VLOOKUP('Données projet'!$B$10,Paramètres!$A$1:$I$89,3,0)*0.475*44/12</f>
        <v>1.7480543102460145E-4</v>
      </c>
      <c r="AX164" s="21">
        <f t="shared" si="166"/>
        <v>84.592221830688246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7.6783333333333319</v>
      </c>
      <c r="BD164" s="12">
        <f>IF('Données projet'!$A$88&gt;35,BD163+BC164-BL163,IF(A164&lt;'Données projet'!$A$88,$BA$205^A164,IF(A164='Données projet'!$A$88,'Données projet'!$B$88,BD163+BC164-BL163)))</f>
        <v>381.9016666666663</v>
      </c>
      <c r="BE164" s="13">
        <f>BD164*VLOOKUP('Données projet'!$B$11,Paramètres!$A$1:$I$89,3,0)*VLOOKUP('Données projet'!$B$11,Paramètres!$A$1:$I$89,5,0)</f>
        <v>369.37529199999966</v>
      </c>
      <c r="BF164" s="13">
        <f t="shared" si="167"/>
        <v>85.539488633737008</v>
      </c>
      <c r="BG164" s="20">
        <f t="shared" si="168"/>
        <v>792.309909603758</v>
      </c>
      <c r="BH164" s="59">
        <f t="shared" si="116"/>
        <v>1085.6432429370914</v>
      </c>
      <c r="BI164" s="59">
        <f ca="1">AVERAGE(OFFSET($BH$3,0,0,'Données projet'!$E$11+1,1))-AVERAGE(OFFSET($H$3,0,0,'Données projet'!$E$11+1,1))</f>
        <v>510.71380643466227</v>
      </c>
      <c r="BJ164" s="59">
        <f t="shared" si="146"/>
        <v>252.40654099948841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36.346358548034303</v>
      </c>
      <c r="BQ164" s="21">
        <f>EXP(-LN(2)/25)*BQ163+(1-EXP(-LN(2)/25))/(LN(2)/25)*Calculateur!BL164*Calculateur!BN164*VLOOKUP('Données projet'!$B$11,Paramètres!$A$1:$I$89,3,0)*0.475*44/12</f>
        <v>18.983583704396683</v>
      </c>
      <c r="BR164" s="21">
        <f>EXP(-LN(2)/2)*BR163+(1-EXP(-LN(2)/2))/(LN(2)/2)*BL164*BO164*VLOOKUP('Données projet'!$B$11,Paramètres!$A$1:$I$89,3,0)*0.475*44/12</f>
        <v>1.5561154628224782E-2</v>
      </c>
      <c r="BS164" s="22">
        <f t="shared" si="169"/>
        <v>55.345503407059205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1375.3322738842521</v>
      </c>
      <c r="S165" s="59">
        <f ca="1">AVERAGE(OFFSET($R$3,0,0,'Données projet'!$E$9+1,1))-AVERAGE(OFFSET($H$3,0,0,'Données projet'!$E$9+1,1))</f>
        <v>635.71275911100679</v>
      </c>
      <c r="T165" s="59">
        <f t="shared" si="142"/>
        <v>281.7776857269169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2.5579538487363607E-13</v>
      </c>
      <c r="AJ165" s="13">
        <f>AI165*VLOOKUP('Données projet'!$B$10,Paramètres!$A$1:$I$89,3,0)*VLOOKUP('Données projet'!$B$10,Paramètres!$A$1:$I$89,5,0)</f>
        <v>2.7533815227798186E-13</v>
      </c>
      <c r="AK165" s="13">
        <f t="shared" si="164"/>
        <v>3.6763598146902537E-12</v>
      </c>
      <c r="AL165" s="20">
        <f t="shared" si="165"/>
        <v>6.88254062580301E-12</v>
      </c>
      <c r="AM165" s="59">
        <f t="shared" si="113"/>
        <v>293.33333333334019</v>
      </c>
      <c r="AN165" s="59">
        <f ca="1">AVERAGE(OFFSET($AM$3,0,0,'Données projet'!$E$10+1,1))-AVERAGE(OFFSET($H$3,0,0,'Données projet'!$E$10+1,1))</f>
        <v>502.65044103360322</v>
      </c>
      <c r="AO165" s="59">
        <f t="shared" si="144"/>
        <v>321.65762891855167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71.308902821782112</v>
      </c>
      <c r="AV165" s="21">
        <f>EXP(-LN(2)/25)*AV164+(1-EXP(-LN(2)/25))/(LN(2)/25)*Calculateur!AQ165*Calculateur!AS165*VLOOKUP('Données projet'!$B$10,Paramètres!$A$1:$I$89,3,0)*0.475*44/12</f>
        <v>11.532625156441974</v>
      </c>
      <c r="AW165" s="21">
        <f>EXP(-LN(2)/2)*AW164+(1-EXP(-LN(2)/2))/(LN(2)/2)*AQ165*AT165*VLOOKUP('Données projet'!$B$10,Paramètres!$A$1:$I$89,3,0)*0.475*44/12</f>
        <v>1.2360610566573298E-4</v>
      </c>
      <c r="AX165" s="21">
        <f t="shared" si="166"/>
        <v>82.841651584329753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7.6783333333333319</v>
      </c>
      <c r="BD165" s="12">
        <f>IF('Données projet'!$A$88&gt;35,BD164+BC165-BL164,IF(A165&lt;'Données projet'!$A$88,$BA$205^A165,IF(A165='Données projet'!$A$88,'Données projet'!$B$88,BD164+BC165-BL164)))</f>
        <v>389.57999999999964</v>
      </c>
      <c r="BE165" s="13">
        <f>BD165*VLOOKUP('Données projet'!$B$11,Paramètres!$A$1:$I$89,3,0)*VLOOKUP('Données projet'!$B$11,Paramètres!$A$1:$I$89,5,0)</f>
        <v>376.80177599999968</v>
      </c>
      <c r="BF165" s="13">
        <f t="shared" si="167"/>
        <v>87.057353288824828</v>
      </c>
      <c r="BG165" s="20">
        <f t="shared" si="168"/>
        <v>807.88798351136938</v>
      </c>
      <c r="BH165" s="59">
        <f t="shared" si="116"/>
        <v>1101.2213168447026</v>
      </c>
      <c r="BI165" s="59">
        <f ca="1">AVERAGE(OFFSET($BH$3,0,0,'Données projet'!$E$11+1,1))-AVERAGE(OFFSET($H$3,0,0,'Données projet'!$E$11+1,1))</f>
        <v>510.71380643466227</v>
      </c>
      <c r="BJ165" s="59">
        <f t="shared" si="146"/>
        <v>252.40654099948841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35.633628625997048</v>
      </c>
      <c r="BQ165" s="21">
        <f>EXP(-LN(2)/25)*BQ164+(1-EXP(-LN(2)/25))/(LN(2)/25)*Calculateur!BL165*Calculateur!BN165*VLOOKUP('Données projet'!$B$11,Paramètres!$A$1:$I$89,3,0)*0.475*44/12</f>
        <v>18.464476609696675</v>
      </c>
      <c r="BR165" s="21">
        <f>EXP(-LN(2)/2)*BR164+(1-EXP(-LN(2)/2))/(LN(2)/2)*BL165*BO165*VLOOKUP('Données projet'!$B$11,Paramètres!$A$1:$I$89,3,0)*0.475*44/12</f>
        <v>1.1003397960710173E-2</v>
      </c>
      <c r="BS165" s="22">
        <f t="shared" si="169"/>
        <v>54.109108633654429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1393.2292846674368</v>
      </c>
      <c r="S166" s="59">
        <f ca="1">AVERAGE(OFFSET($R$3,0,0,'Données projet'!$E$9+1,1))-AVERAGE(OFFSET($H$3,0,0,'Données projet'!$E$9+1,1))</f>
        <v>635.71275911100679</v>
      </c>
      <c r="T166" s="59">
        <f t="shared" si="142"/>
        <v>281.7776857269169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2.5579538487363607E-13</v>
      </c>
      <c r="AJ166" s="13">
        <f>AI166*VLOOKUP('Données projet'!$B$10,Paramètres!$A$1:$I$89,3,0)*VLOOKUP('Données projet'!$B$10,Paramètres!$A$1:$I$89,5,0)</f>
        <v>2.7533815227798186E-13</v>
      </c>
      <c r="AK166" s="13">
        <f t="shared" si="164"/>
        <v>3.6763598146902537E-12</v>
      </c>
      <c r="AL166" s="20">
        <f t="shared" si="165"/>
        <v>6.88254062580301E-12</v>
      </c>
      <c r="AM166" s="59">
        <f t="shared" si="113"/>
        <v>293.33333333334019</v>
      </c>
      <c r="AN166" s="59">
        <f ca="1">AVERAGE(OFFSET($AM$3,0,0,'Données projet'!$E$10+1,1))-AVERAGE(OFFSET($H$3,0,0,'Données projet'!$E$10+1,1))</f>
        <v>502.65044103360322</v>
      </c>
      <c r="AO166" s="59">
        <f t="shared" si="144"/>
        <v>321.65762891855167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69.910578731583001</v>
      </c>
      <c r="AV166" s="21">
        <f>EXP(-LN(2)/25)*AV165+(1-EXP(-LN(2)/25))/(LN(2)/25)*Calculateur!AQ166*Calculateur!AS166*VLOOKUP('Données projet'!$B$10,Paramètres!$A$1:$I$89,3,0)*0.475*44/12</f>
        <v>11.217264915064669</v>
      </c>
      <c r="AW166" s="21">
        <f>EXP(-LN(2)/2)*AW165+(1-EXP(-LN(2)/2))/(LN(2)/2)*AQ166*AT166*VLOOKUP('Données projet'!$B$10,Paramètres!$A$1:$I$89,3,0)*0.475*44/12</f>
        <v>8.7402715512300723E-5</v>
      </c>
      <c r="AX166" s="21">
        <f t="shared" si="166"/>
        <v>81.127931049363184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7.6783333333333319</v>
      </c>
      <c r="BD166" s="12">
        <f>IF('Données projet'!$A$88&gt;35,BD165+BC166-BL165,IF(A166&lt;'Données projet'!$A$88,$BA$205^A166,IF(A166='Données projet'!$A$88,'Données projet'!$B$88,BD165+BC166-BL165)))</f>
        <v>397.25833333333298</v>
      </c>
      <c r="BE166" s="13">
        <f>BD166*VLOOKUP('Données projet'!$B$11,Paramètres!$A$1:$I$89,3,0)*VLOOKUP('Données projet'!$B$11,Paramètres!$A$1:$I$89,5,0)</f>
        <v>384.22825999999969</v>
      </c>
      <c r="BF166" s="13">
        <f t="shared" si="167"/>
        <v>88.571739476126965</v>
      </c>
      <c r="BG166" s="20">
        <f t="shared" si="168"/>
        <v>823.45999908758722</v>
      </c>
      <c r="BH166" s="59">
        <f t="shared" si="116"/>
        <v>1116.7933324209205</v>
      </c>
      <c r="BI166" s="59">
        <f ca="1">AVERAGE(OFFSET($BH$3,0,0,'Données projet'!$E$11+1,1))-AVERAGE(OFFSET($H$3,0,0,'Données projet'!$E$11+1,1))</f>
        <v>510.71380643466227</v>
      </c>
      <c r="BJ166" s="59">
        <f t="shared" si="146"/>
        <v>252.40654099948841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34.93487490300862</v>
      </c>
      <c r="BQ166" s="21">
        <f>EXP(-LN(2)/25)*BQ165+(1-EXP(-LN(2)/25))/(LN(2)/25)*Calculateur!BL166*Calculateur!BN166*VLOOKUP('Données projet'!$B$11,Paramètres!$A$1:$I$89,3,0)*0.475*44/12</f>
        <v>17.959564525799895</v>
      </c>
      <c r="BR166" s="21">
        <f>EXP(-LN(2)/2)*BR165+(1-EXP(-LN(2)/2))/(LN(2)/2)*BL166*BO166*VLOOKUP('Données projet'!$B$11,Paramètres!$A$1:$I$89,3,0)*0.475*44/12</f>
        <v>7.7805773141123918E-3</v>
      </c>
      <c r="BS166" s="22">
        <f t="shared" si="169"/>
        <v>52.902220006122626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1411.1206024299286</v>
      </c>
      <c r="S167" s="59">
        <f ca="1">AVERAGE(OFFSET($R$3,0,0,'Données projet'!$E$9+1,1))-AVERAGE(OFFSET($H$3,0,0,'Données projet'!$E$9+1,1))</f>
        <v>635.71275911100679</v>
      </c>
      <c r="T167" s="59">
        <f t="shared" si="142"/>
        <v>281.7776857269169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2.5579538487363607E-13</v>
      </c>
      <c r="AJ167" s="13">
        <f>AI167*VLOOKUP('Données projet'!$B$10,Paramètres!$A$1:$I$89,3,0)*VLOOKUP('Données projet'!$B$10,Paramètres!$A$1:$I$89,5,0)</f>
        <v>2.7533815227798186E-13</v>
      </c>
      <c r="AK167" s="13">
        <f t="shared" si="164"/>
        <v>3.6763598146902537E-12</v>
      </c>
      <c r="AL167" s="20">
        <f t="shared" si="165"/>
        <v>6.88254062580301E-12</v>
      </c>
      <c r="AM167" s="59">
        <f t="shared" si="113"/>
        <v>293.33333333334019</v>
      </c>
      <c r="AN167" s="59">
        <f ca="1">AVERAGE(OFFSET($AM$3,0,0,'Données projet'!$E$10+1,1))-AVERAGE(OFFSET($H$3,0,0,'Données projet'!$E$10+1,1))</f>
        <v>502.65044103360322</v>
      </c>
      <c r="AO167" s="59">
        <f t="shared" si="144"/>
        <v>321.65762891855167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68.539674923899213</v>
      </c>
      <c r="AV167" s="21">
        <f>EXP(-LN(2)/25)*AV166+(1-EXP(-LN(2)/25))/(LN(2)/25)*Calculateur!AQ167*Calculateur!AS167*VLOOKUP('Données projet'!$B$10,Paramètres!$A$1:$I$89,3,0)*0.475*44/12</f>
        <v>10.910528216071901</v>
      </c>
      <c r="AW167" s="21">
        <f>EXP(-LN(2)/2)*AW166+(1-EXP(-LN(2)/2))/(LN(2)/2)*AQ167*AT167*VLOOKUP('Données projet'!$B$10,Paramètres!$A$1:$I$89,3,0)*0.475*44/12</f>
        <v>6.1803052832866491E-5</v>
      </c>
      <c r="AX167" s="21">
        <f t="shared" si="166"/>
        <v>79.450264943023939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7.6783333333333319</v>
      </c>
      <c r="BD167" s="12">
        <f>IF('Données projet'!$A$88&gt;35,BD166+BC167-BL166,IF(A167&lt;'Données projet'!$A$88,$BA$205^A167,IF(A167='Données projet'!$A$88,'Données projet'!$B$88,BD166+BC167-BL166)))</f>
        <v>404.93666666666633</v>
      </c>
      <c r="BE167" s="13">
        <f>BD167*VLOOKUP('Données projet'!$B$11,Paramètres!$A$1:$I$89,3,0)*VLOOKUP('Données projet'!$B$11,Paramètres!$A$1:$I$89,5,0)</f>
        <v>391.65474399999971</v>
      </c>
      <c r="BF167" s="13">
        <f t="shared" si="167"/>
        <v>90.082722179516836</v>
      </c>
      <c r="BG167" s="20">
        <f t="shared" si="168"/>
        <v>839.02608692932472</v>
      </c>
      <c r="BH167" s="59">
        <f t="shared" si="116"/>
        <v>1132.359420262658</v>
      </c>
      <c r="BI167" s="59">
        <f ca="1">AVERAGE(OFFSET($BH$3,0,0,'Données projet'!$E$11+1,1))-AVERAGE(OFFSET($H$3,0,0,'Données projet'!$E$11+1,1))</f>
        <v>510.71380643466227</v>
      </c>
      <c r="BJ167" s="59">
        <f t="shared" si="146"/>
        <v>252.40654099948841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34.249823314330307</v>
      </c>
      <c r="BQ167" s="21">
        <f>EXP(-LN(2)/25)*BQ166+(1-EXP(-LN(2)/25))/(LN(2)/25)*Calculateur!BL167*Calculateur!BN167*VLOOKUP('Données projet'!$B$11,Paramètres!$A$1:$I$89,3,0)*0.475*44/12</f>
        <v>17.468459289389447</v>
      </c>
      <c r="BR167" s="21">
        <f>EXP(-LN(2)/2)*BR166+(1-EXP(-LN(2)/2))/(LN(2)/2)*BL167*BO167*VLOOKUP('Données projet'!$B$11,Paramètres!$A$1:$I$89,3,0)*0.475*44/12</f>
        <v>5.5016989803550872E-3</v>
      </c>
      <c r="BS167" s="22">
        <f t="shared" si="169"/>
        <v>51.723784302700111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1304.6863158641488</v>
      </c>
      <c r="S168" s="59">
        <f ca="1">AVERAGE(OFFSET($R$3,0,0,'Données projet'!$E$9+1,1))-AVERAGE(OFFSET($H$3,0,0,'Données projet'!$E$9+1,1))</f>
        <v>635.71275911100679</v>
      </c>
      <c r="T168" s="59">
        <f t="shared" si="142"/>
        <v>281.7776857269169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2.5579538487363607E-13</v>
      </c>
      <c r="AJ168" s="13">
        <f>AI168*VLOOKUP('Données projet'!$B$10,Paramètres!$A$1:$I$89,3,0)*VLOOKUP('Données projet'!$B$10,Paramètres!$A$1:$I$89,5,0)</f>
        <v>2.7533815227798186E-13</v>
      </c>
      <c r="AK168" s="13">
        <f t="shared" si="164"/>
        <v>3.6763598146902537E-12</v>
      </c>
      <c r="AL168" s="20">
        <f t="shared" si="165"/>
        <v>6.88254062580301E-12</v>
      </c>
      <c r="AM168" s="59">
        <f t="shared" si="113"/>
        <v>293.33333333334019</v>
      </c>
      <c r="AN168" s="59">
        <f ca="1">AVERAGE(OFFSET($AM$3,0,0,'Données projet'!$E$10+1,1))-AVERAGE(OFFSET($H$3,0,0,'Données projet'!$E$10+1,1))</f>
        <v>502.65044103360322</v>
      </c>
      <c r="AO168" s="59">
        <f t="shared" si="144"/>
        <v>321.65762891855167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67.195653703715351</v>
      </c>
      <c r="AV168" s="21">
        <f>EXP(-LN(2)/25)*AV167+(1-EXP(-LN(2)/25))/(LN(2)/25)*Calculateur!AQ168*Calculateur!AS168*VLOOKUP('Données projet'!$B$10,Paramètres!$A$1:$I$89,3,0)*0.475*44/12</f>
        <v>10.612179248243672</v>
      </c>
      <c r="AW168" s="21">
        <f>EXP(-LN(2)/2)*AW167+(1-EXP(-LN(2)/2))/(LN(2)/2)*AQ168*AT168*VLOOKUP('Données projet'!$B$10,Paramètres!$A$1:$I$89,3,0)*0.475*44/12</f>
        <v>4.3701357756150361E-5</v>
      </c>
      <c r="AX168" s="21">
        <f t="shared" si="166"/>
        <v>77.807876653316782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7.6783333333333319</v>
      </c>
      <c r="BD168" s="12">
        <f>IF('Données projet'!$A$88&gt;35,BD167+BC168-BL167,IF(A168&lt;'Données projet'!$A$88,$BA$205^A168,IF(A168='Données projet'!$A$88,'Données projet'!$B$88,BD167+BC168-BL167)))</f>
        <v>412.61499999999967</v>
      </c>
      <c r="BE168" s="13">
        <f>BD168*VLOOKUP('Données projet'!$B$11,Paramètres!$A$1:$I$89,3,0)*VLOOKUP('Données projet'!$B$11,Paramètres!$A$1:$I$89,5,0)</f>
        <v>399.08122799999967</v>
      </c>
      <c r="BF168" s="13">
        <f t="shared" si="167"/>
        <v>91.590373376485019</v>
      </c>
      <c r="BG168" s="20">
        <f t="shared" si="168"/>
        <v>854.58637239737743</v>
      </c>
      <c r="BH168" s="59">
        <f t="shared" si="116"/>
        <v>1147.9197057307108</v>
      </c>
      <c r="BI168" s="59">
        <f ca="1">AVERAGE(OFFSET($BH$3,0,0,'Données projet'!$E$11+1,1))-AVERAGE(OFFSET($H$3,0,0,'Données projet'!$E$11+1,1))</f>
        <v>510.71380643466227</v>
      </c>
      <c r="BJ168" s="59">
        <f t="shared" si="146"/>
        <v>252.40654099948841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33.578205169465761</v>
      </c>
      <c r="BQ168" s="21">
        <f>EXP(-LN(2)/25)*BQ167+(1-EXP(-LN(2)/25))/(LN(2)/25)*Calculateur!BL168*Calculateur!BN168*VLOOKUP('Données projet'!$B$11,Paramètres!$A$1:$I$89,3,0)*0.475*44/12</f>
        <v>16.990783351494745</v>
      </c>
      <c r="BR168" s="21">
        <f>EXP(-LN(2)/2)*BR167+(1-EXP(-LN(2)/2))/(LN(2)/2)*BL168*BO168*VLOOKUP('Données projet'!$B$11,Paramètres!$A$1:$I$89,3,0)*0.475*44/12</f>
        <v>3.8902886570561963E-3</v>
      </c>
      <c r="BS168" s="22">
        <f t="shared" si="169"/>
        <v>50.572878809617556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1322.8599172985942</v>
      </c>
      <c r="S169" s="59">
        <f ca="1">AVERAGE(OFFSET($R$3,0,0,'Données projet'!$E$9+1,1))-AVERAGE(OFFSET($H$3,0,0,'Données projet'!$E$9+1,1))</f>
        <v>635.71275911100679</v>
      </c>
      <c r="T169" s="59">
        <f t="shared" si="142"/>
        <v>281.7776857269169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2.5579538487363607E-13</v>
      </c>
      <c r="AJ169" s="13">
        <f>AI169*VLOOKUP('Données projet'!$B$10,Paramètres!$A$1:$I$89,3,0)*VLOOKUP('Données projet'!$B$10,Paramètres!$A$1:$I$89,5,0)</f>
        <v>2.7533815227798186E-13</v>
      </c>
      <c r="AK169" s="13">
        <f t="shared" si="164"/>
        <v>3.6763598146902537E-12</v>
      </c>
      <c r="AL169" s="20">
        <f t="shared" si="165"/>
        <v>6.88254062580301E-12</v>
      </c>
      <c r="AM169" s="59">
        <f t="shared" si="113"/>
        <v>293.33333333334019</v>
      </c>
      <c r="AN169" s="59">
        <f ca="1">AVERAGE(OFFSET($AM$3,0,0,'Données projet'!$E$10+1,1))-AVERAGE(OFFSET($H$3,0,0,'Données projet'!$E$10+1,1))</f>
        <v>502.65044103360322</v>
      </c>
      <c r="AO169" s="59">
        <f t="shared" si="144"/>
        <v>321.65762891855167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65.877987919887289</v>
      </c>
      <c r="AV169" s="21">
        <f>EXP(-LN(2)/25)*AV168+(1-EXP(-LN(2)/25))/(LN(2)/25)*Calculateur!AQ169*Calculateur!AS169*VLOOKUP('Données projet'!$B$10,Paramètres!$A$1:$I$89,3,0)*0.475*44/12</f>
        <v>10.321988648630196</v>
      </c>
      <c r="AW169" s="21">
        <f>EXP(-LN(2)/2)*AW168+(1-EXP(-LN(2)/2))/(LN(2)/2)*AQ169*AT169*VLOOKUP('Données projet'!$B$10,Paramètres!$A$1:$I$89,3,0)*0.475*44/12</f>
        <v>3.0901526416433245E-5</v>
      </c>
      <c r="AX169" s="21">
        <f t="shared" si="166"/>
        <v>76.2000074700439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7.6783333333333319</v>
      </c>
      <c r="BD169" s="12">
        <f>IF('Données projet'!$A$88&gt;35,BD168+BC169-BL168,IF(A169&lt;'Données projet'!$A$88,$BA$205^A169,IF(A169='Données projet'!$A$88,'Données projet'!$B$88,BD168+BC169-BL168)))</f>
        <v>420.29333333333301</v>
      </c>
      <c r="BE169" s="13">
        <f>BD169*VLOOKUP('Données projet'!$B$11,Paramètres!$A$1:$I$89,3,0)*VLOOKUP('Données projet'!$B$11,Paramètres!$A$1:$I$89,5,0)</f>
        <v>406.50771199999974</v>
      </c>
      <c r="BF169" s="13">
        <f t="shared" si="167"/>
        <v>93.094762212339802</v>
      </c>
      <c r="BG169" s="20">
        <f t="shared" si="168"/>
        <v>870.14097591982454</v>
      </c>
      <c r="BH169" s="59">
        <f t="shared" si="116"/>
        <v>1163.4743092531578</v>
      </c>
      <c r="BI169" s="59">
        <f ca="1">AVERAGE(OFFSET($BH$3,0,0,'Données projet'!$E$11+1,1))-AVERAGE(OFFSET($H$3,0,0,'Données projet'!$E$11+1,1))</f>
        <v>510.71380643466227</v>
      </c>
      <c r="BJ169" s="59">
        <f t="shared" si="146"/>
        <v>252.40654099948841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32.919757046775395</v>
      </c>
      <c r="BQ169" s="21">
        <f>EXP(-LN(2)/25)*BQ168+(1-EXP(-LN(2)/25))/(LN(2)/25)*Calculateur!BL169*Calculateur!BN169*VLOOKUP('Données projet'!$B$11,Paramètres!$A$1:$I$89,3,0)*0.475*44/12</f>
        <v>16.526169487241656</v>
      </c>
      <c r="BR169" s="21">
        <f>EXP(-LN(2)/2)*BR168+(1-EXP(-LN(2)/2))/(LN(2)/2)*BL169*BO169*VLOOKUP('Données projet'!$B$11,Paramètres!$A$1:$I$89,3,0)*0.475*44/12</f>
        <v>2.750849490177544E-3</v>
      </c>
      <c r="BS169" s="22">
        <f t="shared" si="169"/>
        <v>49.448677383507224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1341.0272050710876</v>
      </c>
      <c r="S170" s="59">
        <f ca="1">AVERAGE(OFFSET($R$3,0,0,'Données projet'!$E$9+1,1))-AVERAGE(OFFSET($H$3,0,0,'Données projet'!$E$9+1,1))</f>
        <v>635.71275911100679</v>
      </c>
      <c r="T170" s="59">
        <f t="shared" si="142"/>
        <v>281.7776857269169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2.5579538487363607E-13</v>
      </c>
      <c r="AJ170" s="13">
        <f>AI170*VLOOKUP('Données projet'!$B$10,Paramètres!$A$1:$I$89,3,0)*VLOOKUP('Données projet'!$B$10,Paramètres!$A$1:$I$89,5,0)</f>
        <v>2.7533815227798186E-13</v>
      </c>
      <c r="AK170" s="13">
        <f t="shared" si="164"/>
        <v>3.6763598146902537E-12</v>
      </c>
      <c r="AL170" s="20">
        <f t="shared" si="165"/>
        <v>6.88254062580301E-12</v>
      </c>
      <c r="AM170" s="59">
        <f t="shared" si="113"/>
        <v>293.33333333334019</v>
      </c>
      <c r="AN170" s="59">
        <f ca="1">AVERAGE(OFFSET($AM$3,0,0,'Données projet'!$E$10+1,1))-AVERAGE(OFFSET($H$3,0,0,'Données projet'!$E$10+1,1))</f>
        <v>502.65044103360322</v>
      </c>
      <c r="AO170" s="59">
        <f t="shared" si="144"/>
        <v>321.65762891855167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64.586160758383329</v>
      </c>
      <c r="AV170" s="21">
        <f>EXP(-LN(2)/25)*AV169+(1-EXP(-LN(2)/25))/(LN(2)/25)*Calculateur!AQ170*Calculateur!AS170*VLOOKUP('Données projet'!$B$10,Paramètres!$A$1:$I$89,3,0)*0.475*44/12</f>
        <v>10.039733326223612</v>
      </c>
      <c r="AW170" s="21">
        <f>EXP(-LN(2)/2)*AW169+(1-EXP(-LN(2)/2))/(LN(2)/2)*AQ170*AT170*VLOOKUP('Données projet'!$B$10,Paramètres!$A$1:$I$89,3,0)*0.475*44/12</f>
        <v>2.1850678878075181E-5</v>
      </c>
      <c r="AX170" s="21">
        <f t="shared" si="166"/>
        <v>74.625915935285818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7.6783333333333319</v>
      </c>
      <c r="BD170" s="12">
        <f>IF('Données projet'!$A$88&gt;35,BD169+BC170-BL169,IF(A170&lt;'Données projet'!$A$88,$BA$205^A170,IF(A170='Données projet'!$A$88,'Données projet'!$B$88,BD169+BC170-BL169)))</f>
        <v>427.97166666666635</v>
      </c>
      <c r="BE170" s="13">
        <f>BD170*VLOOKUP('Données projet'!$B$11,Paramètres!$A$1:$I$89,3,0)*VLOOKUP('Données projet'!$B$11,Paramètres!$A$1:$I$89,5,0)</f>
        <v>413.9341959999997</v>
      </c>
      <c r="BF170" s="13">
        <f t="shared" si="167"/>
        <v>94.595955161317576</v>
      </c>
      <c r="BG170" s="20">
        <f t="shared" si="168"/>
        <v>885.69001327262743</v>
      </c>
      <c r="BH170" s="59">
        <f t="shared" si="116"/>
        <v>1179.0233466059608</v>
      </c>
      <c r="BI170" s="59">
        <f ca="1">AVERAGE(OFFSET($BH$3,0,0,'Données projet'!$E$11+1,1))-AVERAGE(OFFSET($H$3,0,0,'Données projet'!$E$11+1,1))</f>
        <v>510.71380643466227</v>
      </c>
      <c r="BJ170" s="59">
        <f t="shared" si="146"/>
        <v>252.40654099948841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32.274220690157286</v>
      </c>
      <c r="BQ170" s="21">
        <f>EXP(-LN(2)/25)*BQ169+(1-EXP(-LN(2)/25))/(LN(2)/25)*Calculateur!BL170*Calculateur!BN170*VLOOKUP('Données projet'!$B$11,Paramètres!$A$1:$I$89,3,0)*0.475*44/12</f>
        <v>16.074260513539549</v>
      </c>
      <c r="BR170" s="21">
        <f>EXP(-LN(2)/2)*BR169+(1-EXP(-LN(2)/2))/(LN(2)/2)*BL170*BO170*VLOOKUP('Données projet'!$B$11,Paramètres!$A$1:$I$89,3,0)*0.475*44/12</f>
        <v>1.9451443285280986E-3</v>
      </c>
      <c r="BS170" s="22">
        <f t="shared" si="169"/>
        <v>48.350426348025366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1359.1883039291858</v>
      </c>
      <c r="S171" s="59">
        <f ca="1">AVERAGE(OFFSET($R$3,0,0,'Données projet'!$E$9+1,1))-AVERAGE(OFFSET($H$3,0,0,'Données projet'!$E$9+1,1))</f>
        <v>635.71275911100679</v>
      </c>
      <c r="T171" s="59">
        <f t="shared" si="142"/>
        <v>281.7776857269169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2.5579538487363607E-13</v>
      </c>
      <c r="AJ171" s="13">
        <f>AI171*VLOOKUP('Données projet'!$B$10,Paramètres!$A$1:$I$89,3,0)*VLOOKUP('Données projet'!$B$10,Paramètres!$A$1:$I$89,5,0)</f>
        <v>2.7533815227798186E-13</v>
      </c>
      <c r="AK171" s="13">
        <f t="shared" si="164"/>
        <v>3.6763598146902537E-12</v>
      </c>
      <c r="AL171" s="20">
        <f t="shared" si="165"/>
        <v>6.88254062580301E-12</v>
      </c>
      <c r="AM171" s="59">
        <f t="shared" si="113"/>
        <v>293.33333333334019</v>
      </c>
      <c r="AN171" s="59">
        <f ca="1">AVERAGE(OFFSET($AM$3,0,0,'Données projet'!$E$10+1,1))-AVERAGE(OFFSET($H$3,0,0,'Données projet'!$E$10+1,1))</f>
        <v>502.65044103360322</v>
      </c>
      <c r="AO171" s="59">
        <f t="shared" si="144"/>
        <v>321.65762891855167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63.319665539579695</v>
      </c>
      <c r="AV171" s="21">
        <f>EXP(-LN(2)/25)*AV170+(1-EXP(-LN(2)/25))/(LN(2)/25)*Calculateur!AQ171*Calculateur!AS171*VLOOKUP('Données projet'!$B$10,Paramètres!$A$1:$I$89,3,0)*0.475*44/12</f>
        <v>9.7651962904513976</v>
      </c>
      <c r="AW171" s="21">
        <f>EXP(-LN(2)/2)*AW170+(1-EXP(-LN(2)/2))/(LN(2)/2)*AQ171*AT171*VLOOKUP('Données projet'!$B$10,Paramètres!$A$1:$I$89,3,0)*0.475*44/12</f>
        <v>1.5450763208216623E-5</v>
      </c>
      <c r="AX171" s="21">
        <f t="shared" si="166"/>
        <v>73.084877280794302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>
        <f>VLOOKUP(A171,'Données projet'!$A$87:$I$107,2,0)</f>
        <v>435.65</v>
      </c>
      <c r="BB171" s="12">
        <f>VLOOKUP(A171,'Données projet'!$A$87:$I$107,9,0)</f>
        <v>7.6783333333333319</v>
      </c>
      <c r="BC171" s="12">
        <f t="array" ref="BC171">INDEX(BB:BB,MIN(IF(ISNUMBER(BB171:BB367),ROW(BB171:BB367),"")))</f>
        <v>7.6783333333333319</v>
      </c>
      <c r="BD171" s="12">
        <f>IF('Données projet'!$A$88&gt;35,BD170+BC171-BL170,IF(A171&lt;'Données projet'!$A$88,$BA$205^A171,IF(A171='Données projet'!$A$88,'Données projet'!$B$88,BD170+BC171-BL170)))</f>
        <v>435.64999999999969</v>
      </c>
      <c r="BE171" s="13">
        <f>BD171*VLOOKUP('Données projet'!$B$11,Paramètres!$A$1:$I$89,3,0)*VLOOKUP('Données projet'!$B$11,Paramètres!$A$1:$I$89,5,0)</f>
        <v>421.36067999999966</v>
      </c>
      <c r="BF171" s="13">
        <f t="shared" si="167"/>
        <v>96.094016175803517</v>
      </c>
      <c r="BG171" s="20">
        <f t="shared" si="168"/>
        <v>901.23359583952379</v>
      </c>
      <c r="BH171" s="59">
        <f t="shared" si="116"/>
        <v>1194.566929172857</v>
      </c>
      <c r="BI171" s="59">
        <f ca="1">AVERAGE(OFFSET($BH$3,0,0,'Données projet'!$E$11+1,1))-AVERAGE(OFFSET($H$3,0,0,'Données projet'!$E$11+1,1))</f>
        <v>510.71380643466227</v>
      </c>
      <c r="BJ171" s="59">
        <f t="shared" si="146"/>
        <v>252.40654099948841</v>
      </c>
      <c r="BK171" s="15">
        <f>IF(ISNA(VLOOKUP(A171,'Données projet'!$A$87:$I$107,3,0)),0,VLOOKUP(A171,'Données projet'!$A$87:$I$107,3,0))</f>
        <v>12</v>
      </c>
      <c r="BL171" s="15">
        <f>IF(ISNA(VLOOKUP(A171,'Données projet'!$A$87:$I$107,4,0)),0,VLOOKUP(A171,'Données projet'!$A$87:$I$107,4,0))</f>
        <v>71.37</v>
      </c>
      <c r="BM171" s="16">
        <f>IF(ISNA(VLOOKUP(A171,'Données projet'!$A$87:$I$107,5,0)),0%,VLOOKUP(A171,'Données projet'!$A$87:$I$107,5,0)*VLOOKUP('Données projet'!$B$11,Paramètres!$A$1:$I$89,7,0))</f>
        <v>0.215</v>
      </c>
      <c r="BN171" s="16">
        <f>IF(ISNA(VLOOKUP(A171,'Données projet'!$A$87:$I$107,6,0)),0%,VLOOKUP(A171,'Données projet'!$A$87:$I$107,6,0)*VLOOKUP('Données projet'!$B$11,Paramètres!$A$1:$I$89,7,0))</f>
        <v>8.6000000000000007E-2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48.047903807214283</v>
      </c>
      <c r="BQ171" s="21">
        <f>EXP(-LN(2)/25)*BQ170+(1-EXP(-LN(2)/25))/(LN(2)/25)*Calculateur!BL171*Calculateur!BN171*VLOOKUP('Données projet'!$B$11,Paramètres!$A$1:$I$89,3,0)*0.475*44/12</f>
        <v>22.171493821611847</v>
      </c>
      <c r="BR171" s="21">
        <f>EXP(-LN(2)/2)*BR170+(1-EXP(-LN(2)/2))/(LN(2)/2)*BL171*BO171*VLOOKUP('Données projet'!$B$11,Paramètres!$A$1:$I$89,3,0)*0.475*44/12</f>
        <v>1.3754247450887722E-3</v>
      </c>
      <c r="BS171" s="22">
        <f t="shared" si="169"/>
        <v>70.220773053571222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1377.3433340288634</v>
      </c>
      <c r="S172" s="59">
        <f ca="1">AVERAGE(OFFSET($R$3,0,0,'Données projet'!$E$9+1,1))-AVERAGE(OFFSET($H$3,0,0,'Données projet'!$E$9+1,1))</f>
        <v>635.71275911100679</v>
      </c>
      <c r="T172" s="59">
        <f t="shared" si="142"/>
        <v>281.7776857269169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2.5579538487363607E-13</v>
      </c>
      <c r="AJ172" s="13">
        <f>AI172*VLOOKUP('Données projet'!$B$10,Paramètres!$A$1:$I$89,3,0)*VLOOKUP('Données projet'!$B$10,Paramètres!$A$1:$I$89,5,0)</f>
        <v>2.7533815227798186E-13</v>
      </c>
      <c r="AK172" s="13">
        <f t="shared" si="164"/>
        <v>3.6763598146902537E-12</v>
      </c>
      <c r="AL172" s="20">
        <f t="shared" si="165"/>
        <v>6.88254062580301E-12</v>
      </c>
      <c r="AM172" s="59">
        <f t="shared" si="113"/>
        <v>293.33333333334019</v>
      </c>
      <c r="AN172" s="59">
        <f ca="1">AVERAGE(OFFSET($AM$3,0,0,'Données projet'!$E$10+1,1))-AVERAGE(OFFSET($H$3,0,0,'Données projet'!$E$10+1,1))</f>
        <v>502.65044103360322</v>
      </c>
      <c r="AO172" s="59">
        <f t="shared" si="144"/>
        <v>321.65762891855167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62.07800551953099</v>
      </c>
      <c r="AV172" s="21">
        <f>EXP(-LN(2)/25)*AV171+(1-EXP(-LN(2)/25))/(LN(2)/25)*Calculateur!AQ172*Calculateur!AS172*VLOOKUP('Données projet'!$B$10,Paramètres!$A$1:$I$89,3,0)*0.475*44/12</f>
        <v>9.4981664843596505</v>
      </c>
      <c r="AW172" s="21">
        <f>EXP(-LN(2)/2)*AW171+(1-EXP(-LN(2)/2))/(LN(2)/2)*AQ172*AT172*VLOOKUP('Données projet'!$B$10,Paramètres!$A$1:$I$89,3,0)*0.475*44/12</f>
        <v>1.092533943903759E-5</v>
      </c>
      <c r="AX172" s="21">
        <f t="shared" si="166"/>
        <v>71.576182929230072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7.688333333333337</v>
      </c>
      <c r="BD172" s="12">
        <f>IF('Données projet'!$A$88&gt;35,BD171+BC172-BL171,IF(A172&lt;'Données projet'!$A$88,$BA$205^A172,IF(A172='Données projet'!$A$88,'Données projet'!$B$88,BD171+BC172-BL171)))</f>
        <v>371.96833333333302</v>
      </c>
      <c r="BE172" s="13">
        <f>BD172*VLOOKUP('Données projet'!$B$11,Paramètres!$A$1:$I$89,3,0)*VLOOKUP('Données projet'!$B$11,Paramètres!$A$1:$I$89,5,0)</f>
        <v>359.76777199999975</v>
      </c>
      <c r="BF172" s="13">
        <f t="shared" si="167"/>
        <v>83.570563558559556</v>
      </c>
      <c r="BG172" s="20">
        <f t="shared" si="168"/>
        <v>772.14760109782401</v>
      </c>
      <c r="BH172" s="59">
        <f t="shared" si="116"/>
        <v>1065.4809344311573</v>
      </c>
      <c r="BI172" s="59">
        <f ca="1">AVERAGE(OFFSET($BH$3,0,0,'Données projet'!$E$11+1,1))-AVERAGE(OFFSET($H$3,0,0,'Données projet'!$E$11+1,1))</f>
        <v>510.71380643466227</v>
      </c>
      <c r="BJ172" s="59">
        <f t="shared" si="146"/>
        <v>252.40654099948841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47.105713719882374</v>
      </c>
      <c r="BQ172" s="21">
        <f>EXP(-LN(2)/25)*BQ171+(1-EXP(-LN(2)/25))/(LN(2)/25)*Calculateur!BL172*Calculateur!BN172*VLOOKUP('Données projet'!$B$11,Paramètres!$A$1:$I$89,3,0)*0.475*44/12</f>
        <v>21.565213157111685</v>
      </c>
      <c r="BR172" s="21">
        <f>EXP(-LN(2)/2)*BR171+(1-EXP(-LN(2)/2))/(LN(2)/2)*BL172*BO172*VLOOKUP('Données projet'!$B$11,Paramètres!$A$1:$I$89,3,0)*0.475*44/12</f>
        <v>9.7257216426404941E-4</v>
      </c>
      <c r="BS172" s="22">
        <f t="shared" si="169"/>
        <v>68.671899449158317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1395.4924111791279</v>
      </c>
      <c r="S173" s="59">
        <f ca="1">AVERAGE(OFFSET($R$3,0,0,'Données projet'!$E$9+1,1))-AVERAGE(OFFSET($H$3,0,0,'Données projet'!$E$9+1,1))</f>
        <v>635.71275911100679</v>
      </c>
      <c r="T173" s="59">
        <f t="shared" si="142"/>
        <v>281.7776857269169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2.5579538487363607E-13</v>
      </c>
      <c r="AJ173" s="13">
        <f>AI173*VLOOKUP('Données projet'!$B$10,Paramètres!$A$1:$I$89,3,0)*VLOOKUP('Données projet'!$B$10,Paramètres!$A$1:$I$89,5,0)</f>
        <v>2.7533815227798186E-13</v>
      </c>
      <c r="AK173" s="13">
        <f t="shared" si="164"/>
        <v>3.6763598146902537E-12</v>
      </c>
      <c r="AL173" s="20">
        <f t="shared" si="165"/>
        <v>6.88254062580301E-12</v>
      </c>
      <c r="AM173" s="59">
        <f t="shared" si="113"/>
        <v>293.33333333334019</v>
      </c>
      <c r="AN173" s="59">
        <f ca="1">AVERAGE(OFFSET($AM$3,0,0,'Données projet'!$E$10+1,1))-AVERAGE(OFFSET($H$3,0,0,'Données projet'!$E$10+1,1))</f>
        <v>502.65044103360322</v>
      </c>
      <c r="AO173" s="59">
        <f t="shared" si="144"/>
        <v>321.65762891855167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60.860693695137613</v>
      </c>
      <c r="AV173" s="21">
        <f>EXP(-LN(2)/25)*AV172+(1-EXP(-LN(2)/25))/(LN(2)/25)*Calculateur!AQ173*Calculateur!AS173*VLOOKUP('Données projet'!$B$10,Paramètres!$A$1:$I$89,3,0)*0.475*44/12</f>
        <v>9.2384386223579682</v>
      </c>
      <c r="AW173" s="21">
        <f>EXP(-LN(2)/2)*AW172+(1-EXP(-LN(2)/2))/(LN(2)/2)*AQ173*AT173*VLOOKUP('Données projet'!$B$10,Paramètres!$A$1:$I$89,3,0)*0.475*44/12</f>
        <v>7.7253816041083113E-6</v>
      </c>
      <c r="AX173" s="21">
        <f t="shared" si="166"/>
        <v>70.099140042877195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7.688333333333337</v>
      </c>
      <c r="BD173" s="12">
        <f>IF('Données projet'!$A$88&gt;35,BD172+BC173-BL172,IF(A173&lt;'Données projet'!$A$88,$BA$205^A173,IF(A173='Données projet'!$A$88,'Données projet'!$B$88,BD172+BC173-BL172)))</f>
        <v>379.65666666666635</v>
      </c>
      <c r="BE173" s="13">
        <f>BD173*VLOOKUP('Données projet'!$B$11,Paramètres!$A$1:$I$89,3,0)*VLOOKUP('Données projet'!$B$11,Paramètres!$A$1:$I$89,5,0)</f>
        <v>367.20392799999973</v>
      </c>
      <c r="BF173" s="13">
        <f t="shared" si="167"/>
        <v>85.095025204163747</v>
      </c>
      <c r="BG173" s="20">
        <f t="shared" si="168"/>
        <v>787.754010163918</v>
      </c>
      <c r="BH173" s="59">
        <f t="shared" si="116"/>
        <v>1081.0873434972514</v>
      </c>
      <c r="BI173" s="59">
        <f ca="1">AVERAGE(OFFSET($BH$3,0,0,'Données projet'!$E$11+1,1))-AVERAGE(OFFSET($H$3,0,0,'Données projet'!$E$11+1,1))</f>
        <v>510.71380643466227</v>
      </c>
      <c r="BJ173" s="59">
        <f t="shared" si="146"/>
        <v>252.40654099948841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46.181999405483836</v>
      </c>
      <c r="BQ173" s="21">
        <f>EXP(-LN(2)/25)*BQ172+(1-EXP(-LN(2)/25))/(LN(2)/25)*Calculateur!BL173*Calculateur!BN173*VLOOKUP('Données projet'!$B$11,Paramètres!$A$1:$I$89,3,0)*0.475*44/12</f>
        <v>20.975511269265194</v>
      </c>
      <c r="BR173" s="21">
        <f>EXP(-LN(2)/2)*BR172+(1-EXP(-LN(2)/2))/(LN(2)/2)*BL173*BO173*VLOOKUP('Données projet'!$B$11,Paramètres!$A$1:$I$89,3,0)*0.475*44/12</f>
        <v>6.8771237254438623E-4</v>
      </c>
      <c r="BS173" s="22">
        <f t="shared" si="169"/>
        <v>67.158198387121573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1413.6356470697069</v>
      </c>
      <c r="S174" s="59">
        <f ca="1">AVERAGE(OFFSET($R$3,0,0,'Données projet'!$E$9+1,1))-AVERAGE(OFFSET($H$3,0,0,'Données projet'!$E$9+1,1))</f>
        <v>635.71275911100679</v>
      </c>
      <c r="T174" s="59">
        <f t="shared" si="142"/>
        <v>281.7776857269169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2.5579538487363607E-13</v>
      </c>
      <c r="AJ174" s="13">
        <f>AI174*VLOOKUP('Données projet'!$B$10,Paramètres!$A$1:$I$89,3,0)*VLOOKUP('Données projet'!$B$10,Paramètres!$A$1:$I$89,5,0)</f>
        <v>2.7533815227798186E-13</v>
      </c>
      <c r="AK174" s="13">
        <f t="shared" si="164"/>
        <v>3.6763598146902537E-12</v>
      </c>
      <c r="AL174" s="20">
        <f t="shared" si="165"/>
        <v>6.88254062580301E-12</v>
      </c>
      <c r="AM174" s="59">
        <f t="shared" si="113"/>
        <v>293.33333333334019</v>
      </c>
      <c r="AN174" s="59">
        <f ca="1">AVERAGE(OFFSET($AM$3,0,0,'Données projet'!$E$10+1,1))-AVERAGE(OFFSET($H$3,0,0,'Données projet'!$E$10+1,1))</f>
        <v>502.65044103360322</v>
      </c>
      <c r="AO174" s="59">
        <f t="shared" si="144"/>
        <v>321.65762891855167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59.667252613133691</v>
      </c>
      <c r="AV174" s="21">
        <f>EXP(-LN(2)/25)*AV173+(1-EXP(-LN(2)/25))/(LN(2)/25)*Calculateur!AQ174*Calculateur!AS174*VLOOKUP('Données projet'!$B$10,Paramètres!$A$1:$I$89,3,0)*0.475*44/12</f>
        <v>8.985813032401218</v>
      </c>
      <c r="AW174" s="21">
        <f>EXP(-LN(2)/2)*AW173+(1-EXP(-LN(2)/2))/(LN(2)/2)*AQ174*AT174*VLOOKUP('Données projet'!$B$10,Paramètres!$A$1:$I$89,3,0)*0.475*44/12</f>
        <v>5.4626697195187952E-6</v>
      </c>
      <c r="AX174" s="21">
        <f t="shared" si="166"/>
        <v>68.653071108204628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7.688333333333337</v>
      </c>
      <c r="BD174" s="12">
        <f>IF('Données projet'!$A$88&gt;35,BD173+BC174-BL173,IF(A174&lt;'Données projet'!$A$88,$BA$205^A174,IF(A174='Données projet'!$A$88,'Données projet'!$B$88,BD173+BC174-BL173)))</f>
        <v>387.34499999999969</v>
      </c>
      <c r="BE174" s="13">
        <f>BD174*VLOOKUP('Données projet'!$B$11,Paramètres!$A$1:$I$89,3,0)*VLOOKUP('Données projet'!$B$11,Paramètres!$A$1:$I$89,5,0)</f>
        <v>374.64008399999972</v>
      </c>
      <c r="BF174" s="13">
        <f t="shared" si="167"/>
        <v>86.615897380176207</v>
      </c>
      <c r="BG174" s="20">
        <f t="shared" si="168"/>
        <v>803.35416757047312</v>
      </c>
      <c r="BH174" s="59">
        <f t="shared" si="116"/>
        <v>1096.6875009038065</v>
      </c>
      <c r="BI174" s="59">
        <f ca="1">AVERAGE(OFFSET($BH$3,0,0,'Données projet'!$E$11+1,1))-AVERAGE(OFFSET($H$3,0,0,'Données projet'!$E$11+1,1))</f>
        <v>510.71380643466227</v>
      </c>
      <c r="BJ174" s="59">
        <f t="shared" si="146"/>
        <v>252.40654099948841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45.276398565380553</v>
      </c>
      <c r="BQ174" s="21">
        <f>EXP(-LN(2)/25)*BQ173+(1-EXP(-LN(2)/25))/(LN(2)/25)*Calculateur!BL174*Calculateur!BN174*VLOOKUP('Données projet'!$B$11,Paramètres!$A$1:$I$89,3,0)*0.475*44/12</f>
        <v>20.401934810552941</v>
      </c>
      <c r="BR174" s="21">
        <f>EXP(-LN(2)/2)*BR173+(1-EXP(-LN(2)/2))/(LN(2)/2)*BL174*BO174*VLOOKUP('Données projet'!$B$11,Paramètres!$A$1:$I$89,3,0)*0.475*44/12</f>
        <v>4.8628608213202481E-4</v>
      </c>
      <c r="BS174" s="22">
        <f t="shared" si="169"/>
        <v>65.678819662015627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1431.7731494832431</v>
      </c>
      <c r="S175" s="59">
        <f ca="1">AVERAGE(OFFSET($R$3,0,0,'Données projet'!$E$9+1,1))-AVERAGE(OFFSET($H$3,0,0,'Données projet'!$E$9+1,1))</f>
        <v>635.71275911100679</v>
      </c>
      <c r="T175" s="59">
        <f t="shared" si="142"/>
        <v>281.7776857269169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2.5579538487363607E-13</v>
      </c>
      <c r="AJ175" s="13">
        <f>AI175*VLOOKUP('Données projet'!$B$10,Paramètres!$A$1:$I$89,3,0)*VLOOKUP('Données projet'!$B$10,Paramètres!$A$1:$I$89,5,0)</f>
        <v>2.7533815227798186E-13</v>
      </c>
      <c r="AK175" s="13">
        <f t="shared" si="164"/>
        <v>3.6763598146902537E-12</v>
      </c>
      <c r="AL175" s="20">
        <f t="shared" si="165"/>
        <v>6.88254062580301E-12</v>
      </c>
      <c r="AM175" s="59">
        <f t="shared" si="113"/>
        <v>293.33333333334019</v>
      </c>
      <c r="AN175" s="59">
        <f ca="1">AVERAGE(OFFSET($AM$3,0,0,'Données projet'!$E$10+1,1))-AVERAGE(OFFSET($H$3,0,0,'Données projet'!$E$10+1,1))</f>
        <v>502.65044103360322</v>
      </c>
      <c r="AO175" s="59">
        <f t="shared" si="144"/>
        <v>321.65762891855167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58.497214182820677</v>
      </c>
      <c r="AV175" s="21">
        <f>EXP(-LN(2)/25)*AV174+(1-EXP(-LN(2)/25))/(LN(2)/25)*Calculateur!AQ175*Calculateur!AS175*VLOOKUP('Données projet'!$B$10,Paramètres!$A$1:$I$89,3,0)*0.475*44/12</f>
        <v>8.7400955024868363</v>
      </c>
      <c r="AW175" s="21">
        <f>EXP(-LN(2)/2)*AW174+(1-EXP(-LN(2)/2))/(LN(2)/2)*AQ175*AT175*VLOOKUP('Données projet'!$B$10,Paramètres!$A$1:$I$89,3,0)*0.475*44/12</f>
        <v>3.8626908020541557E-6</v>
      </c>
      <c r="AX175" s="21">
        <f t="shared" si="166"/>
        <v>67.237313547998312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7.688333333333337</v>
      </c>
      <c r="BD175" s="12">
        <f>IF('Données projet'!$A$88&gt;35,BD174+BC175-BL174,IF(A175&lt;'Données projet'!$A$88,$BA$205^A175,IF(A175='Données projet'!$A$88,'Données projet'!$B$88,BD174+BC175-BL174)))</f>
        <v>395.03333333333302</v>
      </c>
      <c r="BE175" s="13">
        <f>BD175*VLOOKUP('Données projet'!$B$11,Paramètres!$A$1:$I$89,3,0)*VLOOKUP('Données projet'!$B$11,Paramètres!$A$1:$I$89,5,0)</f>
        <v>382.0762399999997</v>
      </c>
      <c r="BF175" s="13">
        <f t="shared" si="167"/>
        <v>88.133259545087228</v>
      </c>
      <c r="BG175" s="20">
        <f t="shared" si="168"/>
        <v>818.94821170769308</v>
      </c>
      <c r="BH175" s="59">
        <f t="shared" si="116"/>
        <v>1112.2815450410264</v>
      </c>
      <c r="BI175" s="59">
        <f ca="1">AVERAGE(OFFSET($BH$3,0,0,'Données projet'!$E$11+1,1))-AVERAGE(OFFSET($H$3,0,0,'Données projet'!$E$11+1,1))</f>
        <v>510.71380643466227</v>
      </c>
      <c r="BJ175" s="59">
        <f t="shared" si="146"/>
        <v>252.40654099948841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44.388556005389724</v>
      </c>
      <c r="BQ175" s="21">
        <f>EXP(-LN(2)/25)*BQ174+(1-EXP(-LN(2)/25))/(LN(2)/25)*Calculateur!BL175*Calculateur!BN175*VLOOKUP('Données projet'!$B$11,Paramètres!$A$1:$I$89,3,0)*0.475*44/12</f>
        <v>19.844042830267249</v>
      </c>
      <c r="BR175" s="21">
        <f>EXP(-LN(2)/2)*BR174+(1-EXP(-LN(2)/2))/(LN(2)/2)*BL175*BO175*VLOOKUP('Données projet'!$B$11,Paramètres!$A$1:$I$89,3,0)*0.475*44/12</f>
        <v>3.4385618627219317E-4</v>
      </c>
      <c r="BS175" s="22">
        <f t="shared" si="169"/>
        <v>64.232942691843249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1449.9050224932876</v>
      </c>
      <c r="S176" s="59">
        <f ca="1">AVERAGE(OFFSET($R$3,0,0,'Données projet'!$E$9+1,1))-AVERAGE(OFFSET($H$3,0,0,'Données projet'!$E$9+1,1))</f>
        <v>635.71275911100679</v>
      </c>
      <c r="T176" s="59">
        <f t="shared" si="142"/>
        <v>281.7776857269169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2.5579538487363607E-13</v>
      </c>
      <c r="AJ176" s="13">
        <f>AI176*VLOOKUP('Données projet'!$B$10,Paramètres!$A$1:$I$89,3,0)*VLOOKUP('Données projet'!$B$10,Paramètres!$A$1:$I$89,5,0)</f>
        <v>2.7533815227798186E-13</v>
      </c>
      <c r="AK176" s="13">
        <f t="shared" si="164"/>
        <v>3.6763598146902537E-12</v>
      </c>
      <c r="AL176" s="20">
        <f t="shared" si="165"/>
        <v>6.88254062580301E-12</v>
      </c>
      <c r="AM176" s="59">
        <f t="shared" si="113"/>
        <v>293.33333333334019</v>
      </c>
      <c r="AN176" s="59">
        <f ca="1">AVERAGE(OFFSET($AM$3,0,0,'Données projet'!$E$10+1,1))-AVERAGE(OFFSET($H$3,0,0,'Données projet'!$E$10+1,1))</f>
        <v>502.65044103360322</v>
      </c>
      <c r="AO176" s="59">
        <f t="shared" si="144"/>
        <v>321.65762891855167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57.350119492473127</v>
      </c>
      <c r="AV176" s="21">
        <f>EXP(-LN(2)/25)*AV175+(1-EXP(-LN(2)/25))/(LN(2)/25)*Calculateur!AQ176*Calculateur!AS176*VLOOKUP('Données projet'!$B$10,Paramètres!$A$1:$I$89,3,0)*0.475*44/12</f>
        <v>8.5010971313496864</v>
      </c>
      <c r="AW176" s="21">
        <f>EXP(-LN(2)/2)*AW175+(1-EXP(-LN(2)/2))/(LN(2)/2)*AQ176*AT176*VLOOKUP('Données projet'!$B$10,Paramètres!$A$1:$I$89,3,0)*0.475*44/12</f>
        <v>2.7313348597593976E-6</v>
      </c>
      <c r="AX176" s="21">
        <f t="shared" si="166"/>
        <v>65.851219355157667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7.688333333333337</v>
      </c>
      <c r="BD176" s="12">
        <f>IF('Données projet'!$A$88&gt;35,BD175+BC176-BL175,IF(A176&lt;'Données projet'!$A$88,$BA$205^A176,IF(A176='Données projet'!$A$88,'Données projet'!$B$88,BD175+BC176-BL175)))</f>
        <v>402.72166666666635</v>
      </c>
      <c r="BE176" s="13">
        <f>BD176*VLOOKUP('Données projet'!$B$11,Paramètres!$A$1:$I$89,3,0)*VLOOKUP('Données projet'!$B$11,Paramètres!$A$1:$I$89,5,0)</f>
        <v>389.51239599999968</v>
      </c>
      <c r="BF176" s="13">
        <f t="shared" si="167"/>
        <v>89.647187887544248</v>
      </c>
      <c r="BG176" s="20">
        <f t="shared" si="168"/>
        <v>834.53627527080562</v>
      </c>
      <c r="BH176" s="59">
        <f t="shared" si="116"/>
        <v>1127.8696086041389</v>
      </c>
      <c r="BI176" s="59">
        <f ca="1">AVERAGE(OFFSET($BH$3,0,0,'Données projet'!$E$11+1,1))-AVERAGE(OFFSET($H$3,0,0,'Données projet'!$E$11+1,1))</f>
        <v>510.71380643466227</v>
      </c>
      <c r="BJ176" s="59">
        <f t="shared" si="146"/>
        <v>252.40654099948841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43.518123496469826</v>
      </c>
      <c r="BQ176" s="21">
        <f>EXP(-LN(2)/25)*BQ175+(1-EXP(-LN(2)/25))/(LN(2)/25)*Calculateur!BL176*Calculateur!BN176*VLOOKUP('Données projet'!$B$11,Paramètres!$A$1:$I$89,3,0)*0.475*44/12</f>
        <v>19.301406435520732</v>
      </c>
      <c r="BR176" s="21">
        <f>EXP(-LN(2)/2)*BR175+(1-EXP(-LN(2)/2))/(LN(2)/2)*BL176*BO176*VLOOKUP('Données projet'!$B$11,Paramètres!$A$1:$I$89,3,0)*0.475*44/12</f>
        <v>2.4314304106601243E-4</v>
      </c>
      <c r="BS176" s="22">
        <f t="shared" si="169"/>
        <v>62.819773075031627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1468.0313666492473</v>
      </c>
      <c r="S177" s="59">
        <f ca="1">AVERAGE(OFFSET($R$3,0,0,'Données projet'!$E$9+1,1))-AVERAGE(OFFSET($H$3,0,0,'Données projet'!$E$9+1,1))</f>
        <v>635.71275911100679</v>
      </c>
      <c r="T177" s="59">
        <f t="shared" si="142"/>
        <v>281.7776857269169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2.5579538487363607E-13</v>
      </c>
      <c r="AJ177" s="13">
        <f>AI177*VLOOKUP('Données projet'!$B$10,Paramètres!$A$1:$I$89,3,0)*VLOOKUP('Données projet'!$B$10,Paramètres!$A$1:$I$89,5,0)</f>
        <v>2.7533815227798186E-13</v>
      </c>
      <c r="AK177" s="13">
        <f t="shared" si="164"/>
        <v>3.6763598146902537E-12</v>
      </c>
      <c r="AL177" s="20">
        <f t="shared" si="165"/>
        <v>6.88254062580301E-12</v>
      </c>
      <c r="AM177" s="59">
        <f t="shared" si="113"/>
        <v>293.33333333334019</v>
      </c>
      <c r="AN177" s="59">
        <f ca="1">AVERAGE(OFFSET($AM$3,0,0,'Données projet'!$E$10+1,1))-AVERAGE(OFFSET($H$3,0,0,'Données projet'!$E$10+1,1))</f>
        <v>502.65044103360322</v>
      </c>
      <c r="AO177" s="59">
        <f t="shared" si="144"/>
        <v>321.65762891855167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56.22551862934462</v>
      </c>
      <c r="AV177" s="21">
        <f>EXP(-LN(2)/25)*AV176+(1-EXP(-LN(2)/25))/(LN(2)/25)*Calculateur!AQ177*Calculateur!AS177*VLOOKUP('Données projet'!$B$10,Paramètres!$A$1:$I$89,3,0)*0.475*44/12</f>
        <v>8.2686341832396604</v>
      </c>
      <c r="AW177" s="21">
        <f>EXP(-LN(2)/2)*AW176+(1-EXP(-LN(2)/2))/(LN(2)/2)*AQ177*AT177*VLOOKUP('Données projet'!$B$10,Paramètres!$A$1:$I$89,3,0)*0.475*44/12</f>
        <v>1.9313454010270778E-6</v>
      </c>
      <c r="AX177" s="21">
        <f t="shared" si="166"/>
        <v>64.49415474392967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7.688333333333337</v>
      </c>
      <c r="BD177" s="12">
        <f>IF('Données projet'!$A$88&gt;35,BD176+BC177-BL176,IF(A177&lt;'Données projet'!$A$88,$BA$205^A177,IF(A177='Données projet'!$A$88,'Données projet'!$B$88,BD176+BC177-BL176)))</f>
        <v>410.40999999999968</v>
      </c>
      <c r="BE177" s="13">
        <f>BD177*VLOOKUP('Données projet'!$B$11,Paramètres!$A$1:$I$89,3,0)*VLOOKUP('Données projet'!$B$11,Paramètres!$A$1:$I$89,5,0)</f>
        <v>396.94855199999972</v>
      </c>
      <c r="BF177" s="13">
        <f t="shared" si="167"/>
        <v>91.157755520722489</v>
      </c>
      <c r="BG177" s="20">
        <f t="shared" si="168"/>
        <v>850.11848559859118</v>
      </c>
      <c r="BH177" s="59">
        <f t="shared" si="116"/>
        <v>1143.4518189319244</v>
      </c>
      <c r="BI177" s="59">
        <f ca="1">AVERAGE(OFFSET($BH$3,0,0,'Données projet'!$E$11+1,1))-AVERAGE(OFFSET($H$3,0,0,'Données projet'!$E$11+1,1))</f>
        <v>510.71380643466227</v>
      </c>
      <c r="BJ177" s="59">
        <f t="shared" si="146"/>
        <v>252.40654099948841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42.664759638138442</v>
      </c>
      <c r="BQ177" s="21">
        <f>EXP(-LN(2)/25)*BQ176+(1-EXP(-LN(2)/25))/(LN(2)/25)*Calculateur!BL177*Calculateur!BN177*VLOOKUP('Données projet'!$B$11,Paramètres!$A$1:$I$89,3,0)*0.475*44/12</f>
        <v>18.773608461524567</v>
      </c>
      <c r="BR177" s="21">
        <f>EXP(-LN(2)/2)*BR176+(1-EXP(-LN(2)/2))/(LN(2)/2)*BL177*BO177*VLOOKUP('Données projet'!$B$11,Paramètres!$A$1:$I$89,3,0)*0.475*44/12</f>
        <v>1.7192809313609661E-4</v>
      </c>
      <c r="BS177" s="22">
        <f t="shared" si="169"/>
        <v>61.438540027756147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1025.6477076892454</v>
      </c>
      <c r="S178" s="59">
        <f ca="1">AVERAGE(OFFSET($R$3,0,0,'Données projet'!$E$9+1,1))-AVERAGE(OFFSET($H$3,0,0,'Données projet'!$E$9+1,1))</f>
        <v>635.71275911100679</v>
      </c>
      <c r="T178" s="59">
        <f t="shared" si="142"/>
        <v>281.7776857269169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2.5579538487363607E-13</v>
      </c>
      <c r="AJ178" s="13">
        <f>AI178*VLOOKUP('Données projet'!$B$10,Paramètres!$A$1:$I$89,3,0)*VLOOKUP('Données projet'!$B$10,Paramètres!$A$1:$I$89,5,0)</f>
        <v>2.7533815227798186E-13</v>
      </c>
      <c r="AK178" s="13">
        <f t="shared" si="164"/>
        <v>3.6763598146902537E-12</v>
      </c>
      <c r="AL178" s="20">
        <f t="shared" si="165"/>
        <v>6.88254062580301E-12</v>
      </c>
      <c r="AM178" s="59">
        <f t="shared" si="113"/>
        <v>293.33333333334019</v>
      </c>
      <c r="AN178" s="59">
        <f ca="1">AVERAGE(OFFSET($AM$3,0,0,'Données projet'!$E$10+1,1))-AVERAGE(OFFSET($H$3,0,0,'Données projet'!$E$10+1,1))</f>
        <v>502.65044103360322</v>
      </c>
      <c r="AO178" s="59">
        <f t="shared" si="144"/>
        <v>321.65762891855167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55.12297050320327</v>
      </c>
      <c r="AV178" s="21">
        <f>EXP(-LN(2)/25)*AV177+(1-EXP(-LN(2)/25))/(LN(2)/25)*Calculateur!AQ178*Calculateur!AS178*VLOOKUP('Données projet'!$B$10,Paramètres!$A$1:$I$89,3,0)*0.475*44/12</f>
        <v>8.0425279466703987</v>
      </c>
      <c r="AW178" s="21">
        <f>EXP(-LN(2)/2)*AW177+(1-EXP(-LN(2)/2))/(LN(2)/2)*AQ178*AT178*VLOOKUP('Données projet'!$B$10,Paramètres!$A$1:$I$89,3,0)*0.475*44/12</f>
        <v>1.3656674298796988E-6</v>
      </c>
      <c r="AX178" s="21">
        <f t="shared" si="166"/>
        <v>63.165499815541096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7.688333333333337</v>
      </c>
      <c r="BD178" s="12">
        <f>IF('Données projet'!$A$88&gt;35,BD177+BC178-BL177,IF(A178&lt;'Données projet'!$A$88,$BA$205^A178,IF(A178='Données projet'!$A$88,'Données projet'!$B$88,BD177+BC178-BL177)))</f>
        <v>418.09833333333302</v>
      </c>
      <c r="BE178" s="13">
        <f>BD178*VLOOKUP('Données projet'!$B$11,Paramètres!$A$1:$I$89,3,0)*VLOOKUP('Données projet'!$B$11,Paramètres!$A$1:$I$89,5,0)</f>
        <v>404.3847079999997</v>
      </c>
      <c r="BF178" s="13">
        <f t="shared" si="167"/>
        <v>92.665032661718087</v>
      </c>
      <c r="BG178" s="20">
        <f t="shared" si="168"/>
        <v>865.6949649858251</v>
      </c>
      <c r="BH178" s="59">
        <f t="shared" si="116"/>
        <v>1159.0282983191585</v>
      </c>
      <c r="BI178" s="59">
        <f ca="1">AVERAGE(OFFSET($BH$3,0,0,'Données projet'!$E$11+1,1))-AVERAGE(OFFSET($H$3,0,0,'Données projet'!$E$11+1,1))</f>
        <v>510.71380643466227</v>
      </c>
      <c r="BJ178" s="59">
        <f t="shared" si="146"/>
        <v>252.40654099948841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41.828129724568377</v>
      </c>
      <c r="BQ178" s="21">
        <f>EXP(-LN(2)/25)*BQ177+(1-EXP(-LN(2)/25))/(LN(2)/25)*Calculateur!BL178*Calculateur!BN178*VLOOKUP('Données projet'!$B$11,Paramètres!$A$1:$I$89,3,0)*0.475*44/12</f>
        <v>18.260243150883017</v>
      </c>
      <c r="BR178" s="21">
        <f>EXP(-LN(2)/2)*BR177+(1-EXP(-LN(2)/2))/(LN(2)/2)*BL178*BO178*VLOOKUP('Données projet'!$B$11,Paramètres!$A$1:$I$89,3,0)*0.475*44/12</f>
        <v>1.2157152053300624E-4</v>
      </c>
      <c r="BS178" s="22">
        <f t="shared" si="169"/>
        <v>60.088494446971929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1037.3201327854931</v>
      </c>
      <c r="S179" s="59">
        <f ca="1">AVERAGE(OFFSET($R$3,0,0,'Données projet'!$E$9+1,1))-AVERAGE(OFFSET($H$3,0,0,'Données projet'!$E$9+1,1))</f>
        <v>635.71275911100679</v>
      </c>
      <c r="T179" s="59">
        <f t="shared" si="142"/>
        <v>281.7776857269169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2.5579538487363607E-13</v>
      </c>
      <c r="AJ179" s="13">
        <f>AI179*VLOOKUP('Données projet'!$B$10,Paramètres!$A$1:$I$89,3,0)*VLOOKUP('Données projet'!$B$10,Paramètres!$A$1:$I$89,5,0)</f>
        <v>2.7533815227798186E-13</v>
      </c>
      <c r="AK179" s="13">
        <f t="shared" si="164"/>
        <v>3.6763598146902537E-12</v>
      </c>
      <c r="AL179" s="20">
        <f t="shared" si="165"/>
        <v>6.88254062580301E-12</v>
      </c>
      <c r="AM179" s="59">
        <f t="shared" si="113"/>
        <v>293.33333333334019</v>
      </c>
      <c r="AN179" s="59">
        <f ca="1">AVERAGE(OFFSET($AM$3,0,0,'Données projet'!$E$10+1,1))-AVERAGE(OFFSET($H$3,0,0,'Données projet'!$E$10+1,1))</f>
        <v>502.65044103360322</v>
      </c>
      <c r="AO179" s="59">
        <f t="shared" si="144"/>
        <v>321.65762891855167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54.042042673327593</v>
      </c>
      <c r="AV179" s="21">
        <f>EXP(-LN(2)/25)*AV178+(1-EXP(-LN(2)/25))/(LN(2)/25)*Calculateur!AQ179*Calculateur!AS179*VLOOKUP('Données projet'!$B$10,Paramètres!$A$1:$I$89,3,0)*0.475*44/12</f>
        <v>7.8226045970305336</v>
      </c>
      <c r="AW179" s="21">
        <f>EXP(-LN(2)/2)*AW178+(1-EXP(-LN(2)/2))/(LN(2)/2)*AQ179*AT179*VLOOKUP('Données projet'!$B$10,Paramètres!$A$1:$I$89,3,0)*0.475*44/12</f>
        <v>9.6567270051353891E-7</v>
      </c>
      <c r="AX179" s="21">
        <f t="shared" si="166"/>
        <v>61.864648236030824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7.688333333333337</v>
      </c>
      <c r="BD179" s="12">
        <f>IF('Données projet'!$A$88&gt;35,BD178+BC179-BL178,IF(A179&lt;'Données projet'!$A$88,$BA$205^A179,IF(A179='Données projet'!$A$88,'Données projet'!$B$88,BD178+BC179-BL178)))</f>
        <v>425.78666666666635</v>
      </c>
      <c r="BE179" s="13">
        <f>BD179*VLOOKUP('Données projet'!$B$11,Paramètres!$A$1:$I$89,3,0)*VLOOKUP('Données projet'!$B$11,Paramètres!$A$1:$I$89,5,0)</f>
        <v>411.82086399999974</v>
      </c>
      <c r="BF179" s="13">
        <f t="shared" si="167"/>
        <v>94.169086797374149</v>
      </c>
      <c r="BG179" s="20">
        <f t="shared" si="168"/>
        <v>881.26583097209289</v>
      </c>
      <c r="BH179" s="59">
        <f t="shared" si="116"/>
        <v>1174.5991643054263</v>
      </c>
      <c r="BI179" s="59">
        <f ca="1">AVERAGE(OFFSET($BH$3,0,0,'Données projet'!$E$11+1,1))-AVERAGE(OFFSET($H$3,0,0,'Données projet'!$E$11+1,1))</f>
        <v>510.71380643466227</v>
      </c>
      <c r="BJ179" s="59">
        <f t="shared" si="146"/>
        <v>252.40654099948841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41.007905613309561</v>
      </c>
      <c r="BQ179" s="21">
        <f>EXP(-LN(2)/25)*BQ178+(1-EXP(-LN(2)/25))/(LN(2)/25)*Calculateur!BL179*Calculateur!BN179*VLOOKUP('Données projet'!$B$11,Paramètres!$A$1:$I$89,3,0)*0.475*44/12</f>
        <v>17.760915841657667</v>
      </c>
      <c r="BR179" s="21">
        <f>EXP(-LN(2)/2)*BR178+(1-EXP(-LN(2)/2))/(LN(2)/2)*BL179*BO179*VLOOKUP('Données projet'!$B$11,Paramètres!$A$1:$I$89,3,0)*0.475*44/12</f>
        <v>8.5964046568048319E-5</v>
      </c>
      <c r="BS179" s="22">
        <f t="shared" si="169"/>
        <v>58.768907419013793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1048.9888334111897</v>
      </c>
      <c r="S180" s="59">
        <f ca="1">AVERAGE(OFFSET($R$3,0,0,'Données projet'!$E$9+1,1))-AVERAGE(OFFSET($H$3,0,0,'Données projet'!$E$9+1,1))</f>
        <v>635.71275911100679</v>
      </c>
      <c r="T180" s="59">
        <f t="shared" si="142"/>
        <v>281.7776857269169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2.5579538487363607E-13</v>
      </c>
      <c r="AJ180" s="13">
        <f>AI180*VLOOKUP('Données projet'!$B$10,Paramètres!$A$1:$I$89,3,0)*VLOOKUP('Données projet'!$B$10,Paramètres!$A$1:$I$89,5,0)</f>
        <v>2.7533815227798186E-13</v>
      </c>
      <c r="AK180" s="13">
        <f t="shared" si="164"/>
        <v>3.6763598146902537E-12</v>
      </c>
      <c r="AL180" s="20">
        <f t="shared" si="165"/>
        <v>6.88254062580301E-12</v>
      </c>
      <c r="AM180" s="59">
        <f t="shared" si="113"/>
        <v>293.33333333334019</v>
      </c>
      <c r="AN180" s="59">
        <f ca="1">AVERAGE(OFFSET($AM$3,0,0,'Données projet'!$E$10+1,1))-AVERAGE(OFFSET($H$3,0,0,'Données projet'!$E$10+1,1))</f>
        <v>502.65044103360322</v>
      </c>
      <c r="AO180" s="59">
        <f t="shared" si="144"/>
        <v>321.65762891855167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52.982311178894903</v>
      </c>
      <c r="AV180" s="21">
        <f>EXP(-LN(2)/25)*AV179+(1-EXP(-LN(2)/25))/(LN(2)/25)*Calculateur!AQ180*Calculateur!AS180*VLOOKUP('Données projet'!$B$10,Paramètres!$A$1:$I$89,3,0)*0.475*44/12</f>
        <v>7.6086950629518366</v>
      </c>
      <c r="AW180" s="21">
        <f>EXP(-LN(2)/2)*AW179+(1-EXP(-LN(2)/2))/(LN(2)/2)*AQ180*AT180*VLOOKUP('Données projet'!$B$10,Paramètres!$A$1:$I$89,3,0)*0.475*44/12</f>
        <v>6.8283371493984939E-7</v>
      </c>
      <c r="AX180" s="21">
        <f t="shared" si="166"/>
        <v>60.591006924680457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7.688333333333337</v>
      </c>
      <c r="BD180" s="12">
        <f>IF('Données projet'!$A$88&gt;35,BD179+BC180-BL179,IF(A180&lt;'Données projet'!$A$88,$BA$205^A180,IF(A180='Données projet'!$A$88,'Données projet'!$B$88,BD179+BC180-BL179)))</f>
        <v>433.47499999999968</v>
      </c>
      <c r="BE180" s="13">
        <f>BD180*VLOOKUP('Données projet'!$B$11,Paramètres!$A$1:$I$89,3,0)*VLOOKUP('Données projet'!$B$11,Paramètres!$A$1:$I$89,5,0)</f>
        <v>419.25701999999967</v>
      </c>
      <c r="BF180" s="13">
        <f t="shared" si="167"/>
        <v>95.669982837789078</v>
      </c>
      <c r="BG180" s="20">
        <f t="shared" si="168"/>
        <v>896.83119660914872</v>
      </c>
      <c r="BH180" s="59">
        <f t="shared" si="116"/>
        <v>1190.164529942482</v>
      </c>
      <c r="BI180" s="59">
        <f ca="1">AVERAGE(OFFSET($BH$3,0,0,'Données projet'!$E$11+1,1))-AVERAGE(OFFSET($H$3,0,0,'Données projet'!$E$11+1,1))</f>
        <v>510.71380643466227</v>
      </c>
      <c r="BJ180" s="59">
        <f t="shared" si="146"/>
        <v>252.40654099948841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40.203765596585221</v>
      </c>
      <c r="BQ180" s="21">
        <f>EXP(-LN(2)/25)*BQ179+(1-EXP(-LN(2)/25))/(LN(2)/25)*Calculateur!BL180*Calculateur!BN180*VLOOKUP('Données projet'!$B$11,Paramètres!$A$1:$I$89,3,0)*0.475*44/12</f>
        <v>17.275242663961567</v>
      </c>
      <c r="BR180" s="21">
        <f>EXP(-LN(2)/2)*BR179+(1-EXP(-LN(2)/2))/(LN(2)/2)*BL180*BO180*VLOOKUP('Données projet'!$B$11,Paramètres!$A$1:$I$89,3,0)*0.475*44/12</f>
        <v>6.0785760266503129E-5</v>
      </c>
      <c r="BS180" s="22">
        <f t="shared" si="169"/>
        <v>57.47906904630706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810.79455072925271</v>
      </c>
      <c r="S181" s="59">
        <f ca="1">AVERAGE(OFFSET($R$3,0,0,'Données projet'!$E$9+1,1))-AVERAGE(OFFSET($H$3,0,0,'Données projet'!$E$9+1,1))</f>
        <v>635.71275911100679</v>
      </c>
      <c r="T181" s="59">
        <f t="shared" si="142"/>
        <v>281.7776857269169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2.5579538487363607E-13</v>
      </c>
      <c r="AJ181" s="13">
        <f>AI181*VLOOKUP('Données projet'!$B$10,Paramètres!$A$1:$I$89,3,0)*VLOOKUP('Données projet'!$B$10,Paramètres!$A$1:$I$89,5,0)</f>
        <v>2.7533815227798186E-13</v>
      </c>
      <c r="AK181" s="13">
        <f t="shared" si="164"/>
        <v>3.6763598146902537E-12</v>
      </c>
      <c r="AL181" s="20">
        <f t="shared" si="165"/>
        <v>6.88254062580301E-12</v>
      </c>
      <c r="AM181" s="59">
        <f t="shared" si="113"/>
        <v>293.33333333334019</v>
      </c>
      <c r="AN181" s="59">
        <f ca="1">AVERAGE(OFFSET($AM$3,0,0,'Données projet'!$E$10+1,1))-AVERAGE(OFFSET($H$3,0,0,'Données projet'!$E$10+1,1))</f>
        <v>502.65044103360322</v>
      </c>
      <c r="AO181" s="59">
        <f t="shared" si="144"/>
        <v>321.65762891855167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51.943360372695651</v>
      </c>
      <c r="AV181" s="21">
        <f>EXP(-LN(2)/25)*AV180+(1-EXP(-LN(2)/25))/(LN(2)/25)*Calculateur!AQ181*Calculateur!AS181*VLOOKUP('Données projet'!$B$10,Paramètres!$A$1:$I$89,3,0)*0.475*44/12</f>
        <v>7.4006348963315354</v>
      </c>
      <c r="AW181" s="21">
        <f>EXP(-LN(2)/2)*AW180+(1-EXP(-LN(2)/2))/(LN(2)/2)*AQ181*AT181*VLOOKUP('Données projet'!$B$10,Paramètres!$A$1:$I$89,3,0)*0.475*44/12</f>
        <v>4.8283635025676946E-7</v>
      </c>
      <c r="AX181" s="21">
        <f t="shared" si="166"/>
        <v>59.343995751863538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7.688333333333337</v>
      </c>
      <c r="BD181" s="12">
        <f>IF('Données projet'!$A$88&gt;35,BD180+BC181-BL180,IF(A181&lt;'Données projet'!$A$88,$BA$205^A181,IF(A181='Données projet'!$A$88,'Données projet'!$B$88,BD180+BC181-BL180)))</f>
        <v>441.16333333333301</v>
      </c>
      <c r="BE181" s="13">
        <f>BD181*VLOOKUP('Données projet'!$B$11,Paramètres!$A$1:$I$89,3,0)*VLOOKUP('Données projet'!$B$11,Paramètres!$A$1:$I$89,5,0)</f>
        <v>426.69317599999971</v>
      </c>
      <c r="BF181" s="13">
        <f t="shared" si="167"/>
        <v>97.167783258626656</v>
      </c>
      <c r="BG181" s="20">
        <f t="shared" si="168"/>
        <v>912.39117070877421</v>
      </c>
      <c r="BH181" s="59">
        <f t="shared" si="116"/>
        <v>1205.7245040421076</v>
      </c>
      <c r="BI181" s="59">
        <f ca="1">AVERAGE(OFFSET($BH$3,0,0,'Données projet'!$E$11+1,1))-AVERAGE(OFFSET($H$3,0,0,'Données projet'!$E$11+1,1))</f>
        <v>510.71380643466227</v>
      </c>
      <c r="BJ181" s="59">
        <f t="shared" si="146"/>
        <v>252.40654099948841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39.415394275111865</v>
      </c>
      <c r="BQ181" s="21">
        <f>EXP(-LN(2)/25)*BQ180+(1-EXP(-LN(2)/25))/(LN(2)/25)*Calculateur!BL181*Calculateur!BN181*VLOOKUP('Données projet'!$B$11,Paramètres!$A$1:$I$89,3,0)*0.475*44/12</f>
        <v>16.80285024485001</v>
      </c>
      <c r="BR181" s="21">
        <f>EXP(-LN(2)/2)*BR180+(1-EXP(-LN(2)/2))/(LN(2)/2)*BL181*BO181*VLOOKUP('Données projet'!$B$11,Paramètres!$A$1:$I$89,3,0)*0.475*44/12</f>
        <v>4.2982023284024166E-5</v>
      </c>
      <c r="BS181" s="22">
        <f t="shared" si="169"/>
        <v>56.218287501985152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817.99425539682284</v>
      </c>
      <c r="S182" s="59">
        <f ca="1">AVERAGE(OFFSET($R$3,0,0,'Données projet'!$E$9+1,1))-AVERAGE(OFFSET($H$3,0,0,'Données projet'!$E$9+1,1))</f>
        <v>635.71275911100679</v>
      </c>
      <c r="T182" s="59">
        <f t="shared" si="142"/>
        <v>281.7776857269169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2.5579538487363607E-13</v>
      </c>
      <c r="AJ182" s="13">
        <f>AI182*VLOOKUP('Données projet'!$B$10,Paramètres!$A$1:$I$89,3,0)*VLOOKUP('Données projet'!$B$10,Paramètres!$A$1:$I$89,5,0)</f>
        <v>2.7533815227798186E-13</v>
      </c>
      <c r="AK182" s="13">
        <f t="shared" si="164"/>
        <v>3.6763598146902537E-12</v>
      </c>
      <c r="AL182" s="20">
        <f t="shared" si="165"/>
        <v>6.88254062580301E-12</v>
      </c>
      <c r="AM182" s="59">
        <f t="shared" si="113"/>
        <v>293.33333333334019</v>
      </c>
      <c r="AN182" s="59">
        <f ca="1">AVERAGE(OFFSET($AM$3,0,0,'Données projet'!$E$10+1,1))-AVERAGE(OFFSET($H$3,0,0,'Données projet'!$E$10+1,1))</f>
        <v>502.65044103360322</v>
      </c>
      <c r="AO182" s="59">
        <f t="shared" si="144"/>
        <v>321.65762891855167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50.924782758108549</v>
      </c>
      <c r="AV182" s="21">
        <f>EXP(-LN(2)/25)*AV181+(1-EXP(-LN(2)/25))/(LN(2)/25)*Calculateur!AQ182*Calculateur!AS182*VLOOKUP('Données projet'!$B$10,Paramètres!$A$1:$I$89,3,0)*0.475*44/12</f>
        <v>7.1982641459088743</v>
      </c>
      <c r="AW182" s="21">
        <f>EXP(-LN(2)/2)*AW181+(1-EXP(-LN(2)/2))/(LN(2)/2)*AQ182*AT182*VLOOKUP('Données projet'!$B$10,Paramètres!$A$1:$I$89,3,0)*0.475*44/12</f>
        <v>3.414168574699247E-7</v>
      </c>
      <c r="AX182" s="21">
        <f t="shared" si="166"/>
        <v>58.123047245434279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7.688333333333337</v>
      </c>
      <c r="BD182" s="12">
        <f>IF('Données projet'!$A$88&gt;35,BD181+BC182-BL181,IF(A182&lt;'Données projet'!$A$88,$BA$205^A182,IF(A182='Données projet'!$A$88,'Données projet'!$B$88,BD181+BC182-BL181)))</f>
        <v>448.85166666666635</v>
      </c>
      <c r="BE182" s="13">
        <f>BD182*VLOOKUP('Données projet'!$B$11,Paramètres!$A$1:$I$89,3,0)*VLOOKUP('Données projet'!$B$11,Paramètres!$A$1:$I$89,5,0)</f>
        <v>434.12933199999975</v>
      </c>
      <c r="BF182" s="13">
        <f t="shared" si="167"/>
        <v>98.662548233225337</v>
      </c>
      <c r="BG182" s="20">
        <f t="shared" si="168"/>
        <v>927.94585807286694</v>
      </c>
      <c r="BH182" s="59">
        <f t="shared" si="116"/>
        <v>1221.2791914062002</v>
      </c>
      <c r="BI182" s="59">
        <f ca="1">AVERAGE(OFFSET($BH$3,0,0,'Données projet'!$E$11+1,1))-AVERAGE(OFFSET($H$3,0,0,'Données projet'!$E$11+1,1))</f>
        <v>510.71380643466227</v>
      </c>
      <c r="BJ182" s="59">
        <f t="shared" si="146"/>
        <v>252.40654099948841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38.642482434393578</v>
      </c>
      <c r="BQ182" s="21">
        <f>EXP(-LN(2)/25)*BQ181+(1-EXP(-LN(2)/25))/(LN(2)/25)*Calculateur!BL182*Calculateur!BN182*VLOOKUP('Données projet'!$B$11,Paramètres!$A$1:$I$89,3,0)*0.475*44/12</f>
        <v>16.343375421281095</v>
      </c>
      <c r="BR182" s="21">
        <f>EXP(-LN(2)/2)*BR181+(1-EXP(-LN(2)/2))/(LN(2)/2)*BL182*BO182*VLOOKUP('Données projet'!$B$11,Paramètres!$A$1:$I$89,3,0)*0.475*44/12</f>
        <v>3.0392880133251568E-5</v>
      </c>
      <c r="BS182" s="22">
        <f t="shared" si="169"/>
        <v>54.985888248554808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825.19187883242989</v>
      </c>
      <c r="S183" s="59">
        <f ca="1">AVERAGE(OFFSET($R$3,0,0,'Données projet'!$E$9+1,1))-AVERAGE(OFFSET($H$3,0,0,'Données projet'!$E$9+1,1))</f>
        <v>635.71275911100679</v>
      </c>
      <c r="T183" s="59">
        <f t="shared" si="142"/>
        <v>281.7776857269169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2.5579538487363607E-13</v>
      </c>
      <c r="AJ183" s="13">
        <f>AI183*VLOOKUP('Données projet'!$B$10,Paramètres!$A$1:$I$89,3,0)*VLOOKUP('Données projet'!$B$10,Paramètres!$A$1:$I$89,5,0)</f>
        <v>2.7533815227798186E-13</v>
      </c>
      <c r="AK183" s="13">
        <f t="shared" si="164"/>
        <v>3.6763598146902537E-12</v>
      </c>
      <c r="AL183" s="20">
        <f t="shared" si="165"/>
        <v>6.88254062580301E-12</v>
      </c>
      <c r="AM183" s="59">
        <f t="shared" si="113"/>
        <v>293.33333333334019</v>
      </c>
      <c r="AN183" s="59">
        <f ca="1">AVERAGE(OFFSET($AM$3,0,0,'Données projet'!$E$10+1,1))-AVERAGE(OFFSET($H$3,0,0,'Données projet'!$E$10+1,1))</f>
        <v>502.65044103360322</v>
      </c>
      <c r="AO183" s="59">
        <f t="shared" si="144"/>
        <v>321.65762891855167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49.926178829272502</v>
      </c>
      <c r="AV183" s="21">
        <f>EXP(-LN(2)/25)*AV182+(1-EXP(-LN(2)/25))/(LN(2)/25)*Calculateur!AQ183*Calculateur!AS183*VLOOKUP('Données projet'!$B$10,Paramètres!$A$1:$I$89,3,0)*0.475*44/12</f>
        <v>7.0014272342987365</v>
      </c>
      <c r="AW183" s="21">
        <f>EXP(-LN(2)/2)*AW182+(1-EXP(-LN(2)/2))/(LN(2)/2)*AQ183*AT183*VLOOKUP('Données projet'!$B$10,Paramètres!$A$1:$I$89,3,0)*0.475*44/12</f>
        <v>2.4141817512838473E-7</v>
      </c>
      <c r="AX183" s="21">
        <f t="shared" si="166"/>
        <v>56.927606304989418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456.54</v>
      </c>
      <c r="BB183" s="12">
        <f>VLOOKUP(A183,'Données projet'!$A$87:$I$107,9,0)</f>
        <v>7.688333333333337</v>
      </c>
      <c r="BC183" s="12">
        <f t="array" ref="BC183">INDEX(BB:BB,MIN(IF(ISNUMBER(BB183:BB379),ROW(BB183:BB379),"")))</f>
        <v>7.688333333333337</v>
      </c>
      <c r="BD183" s="12">
        <f>IF('Données projet'!$A$88&gt;35,BD182+BC183-BL182,IF(A183&lt;'Données projet'!$A$88,$BA$205^A183,IF(A183='Données projet'!$A$88,'Données projet'!$B$88,BD182+BC183-BL182)))</f>
        <v>456.53999999999968</v>
      </c>
      <c r="BE183" s="13">
        <f>BD183*VLOOKUP('Données projet'!$B$11,Paramètres!$A$1:$I$89,3,0)*VLOOKUP('Données projet'!$B$11,Paramètres!$A$1:$I$89,5,0)</f>
        <v>441.56548799999968</v>
      </c>
      <c r="BF183" s="13">
        <f t="shared" si="167"/>
        <v>100.15433575539794</v>
      </c>
      <c r="BG183" s="20">
        <f t="shared" si="168"/>
        <v>943.49535970731733</v>
      </c>
      <c r="BH183" s="59">
        <f t="shared" si="116"/>
        <v>1236.8286930406507</v>
      </c>
      <c r="BI183" s="59">
        <f ca="1">AVERAGE(OFFSET($BH$3,0,0,'Données projet'!$E$11+1,1))-AVERAGE(OFFSET($H$3,0,0,'Données projet'!$E$11+1,1))</f>
        <v>510.71380643466227</v>
      </c>
      <c r="BJ183" s="59">
        <f t="shared" si="146"/>
        <v>252.40654099948841</v>
      </c>
      <c r="BK183" s="15">
        <f>IF(ISNA(VLOOKUP(A183,'Données projet'!$A$87:$I$107,3,0)),0,VLOOKUP(A183,'Données projet'!$A$87:$I$107,3,0))</f>
        <v>13</v>
      </c>
      <c r="BL183" s="15">
        <f>IF(ISNA(VLOOKUP(A183,'Données projet'!$A$87:$I$107,4,0)),0,VLOOKUP(A183,'Données projet'!$A$87:$I$107,4,0))</f>
        <v>175.59000000000003</v>
      </c>
      <c r="BM183" s="16">
        <f>IF(ISNA(VLOOKUP(A183,'Données projet'!$A$87:$I$107,5,0)),0%,VLOOKUP(A183,'Données projet'!$A$87:$I$107,5,0)*VLOOKUP('Données projet'!$B$11,Paramètres!$A$1:$I$89,7,0))</f>
        <v>0.215</v>
      </c>
      <c r="BN183" s="16">
        <f>IF(ISNA(VLOOKUP(A183,'Données projet'!$A$87:$I$107,6,0)),0%,VLOOKUP(A183,'Données projet'!$A$87:$I$107,6,0)*VLOOKUP('Données projet'!$B$11,Paramètres!$A$1:$I$89,7,0))</f>
        <v>8.6000000000000007E-2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78.24941836713279</v>
      </c>
      <c r="BQ183" s="21">
        <f>EXP(-LN(2)/25)*BQ182+(1-EXP(-LN(2)/25))/(LN(2)/25)*Calculateur!BL183*Calculateur!BN183*VLOOKUP('Données projet'!$B$11,Paramètres!$A$1:$I$89,3,0)*0.475*44/12</f>
        <v>31.978769070254863</v>
      </c>
      <c r="BR183" s="21">
        <f>EXP(-LN(2)/2)*BR182+(1-EXP(-LN(2)/2))/(LN(2)/2)*BL183*BO183*VLOOKUP('Données projet'!$B$11,Paramètres!$A$1:$I$89,3,0)*0.475*44/12</f>
        <v>2.1491011642012087E-5</v>
      </c>
      <c r="BS183" s="22">
        <f t="shared" si="169"/>
        <v>110.22820892839928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662.52947757666561</v>
      </c>
      <c r="S184" s="59">
        <f ca="1">AVERAGE(OFFSET($R$3,0,0,'Données projet'!$E$9+1,1))-AVERAGE(OFFSET($H$3,0,0,'Données projet'!$E$9+1,1))</f>
        <v>635.71275911100679</v>
      </c>
      <c r="T184" s="59">
        <f t="shared" si="142"/>
        <v>281.7776857269169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2.5579538487363607E-13</v>
      </c>
      <c r="AJ184" s="13">
        <f>AI184*VLOOKUP('Données projet'!$B$10,Paramètres!$A$1:$I$89,3,0)*VLOOKUP('Données projet'!$B$10,Paramètres!$A$1:$I$89,5,0)</f>
        <v>2.7533815227798186E-13</v>
      </c>
      <c r="AK184" s="13">
        <f t="shared" si="164"/>
        <v>3.6763598146902537E-12</v>
      </c>
      <c r="AL184" s="20">
        <f t="shared" si="165"/>
        <v>6.88254062580301E-12</v>
      </c>
      <c r="AM184" s="59">
        <f t="shared" si="113"/>
        <v>293.33333333334019</v>
      </c>
      <c r="AN184" s="59">
        <f ca="1">AVERAGE(OFFSET($AM$3,0,0,'Données projet'!$E$10+1,1))-AVERAGE(OFFSET($H$3,0,0,'Données projet'!$E$10+1,1))</f>
        <v>502.65044103360322</v>
      </c>
      <c r="AO184" s="59">
        <f t="shared" si="144"/>
        <v>321.65762891855167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48.947156914392671</v>
      </c>
      <c r="AV184" s="21">
        <f>EXP(-LN(2)/25)*AV183+(1-EXP(-LN(2)/25))/(LN(2)/25)*Calculateur!AQ184*Calculateur!AS184*VLOOKUP('Données projet'!$B$10,Paramètres!$A$1:$I$89,3,0)*0.475*44/12</f>
        <v>6.8099728383877816</v>
      </c>
      <c r="AW184" s="21">
        <f>EXP(-LN(2)/2)*AW183+(1-EXP(-LN(2)/2))/(LN(2)/2)*AQ184*AT184*VLOOKUP('Données projet'!$B$10,Paramètres!$A$1:$I$89,3,0)*0.475*44/12</f>
        <v>1.7070842873496235E-7</v>
      </c>
      <c r="AX184" s="21">
        <f t="shared" si="166"/>
        <v>55.757129923488883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4.7974999999999994</v>
      </c>
      <c r="BD184" s="12">
        <f>IF('Données projet'!$A$88&gt;35,BD183+BC184-BL183,IF(A184&lt;'Données projet'!$A$88,$BA$205^A184,IF(A184='Données projet'!$A$88,'Données projet'!$B$88,BD183+BC184-BL183)))</f>
        <v>285.74749999999966</v>
      </c>
      <c r="BE184" s="13">
        <f>BD184*VLOOKUP('Données projet'!$B$11,Paramètres!$A$1:$I$89,3,0)*VLOOKUP('Données projet'!$B$11,Paramètres!$A$1:$I$89,5,0)</f>
        <v>276.37498199999965</v>
      </c>
      <c r="BF184" s="13">
        <f t="shared" si="167"/>
        <v>66.200358347294468</v>
      </c>
      <c r="BG184" s="20">
        <f t="shared" si="168"/>
        <v>596.65205110487057</v>
      </c>
      <c r="BH184" s="59">
        <f t="shared" si="116"/>
        <v>889.98538443820394</v>
      </c>
      <c r="BI184" s="59">
        <f ca="1">AVERAGE(OFFSET($BH$3,0,0,'Données projet'!$E$11+1,1))-AVERAGE(OFFSET($H$3,0,0,'Données projet'!$E$11+1,1))</f>
        <v>510.71380643466227</v>
      </c>
      <c r="BJ184" s="59">
        <f t="shared" si="146"/>
        <v>252.40654099948841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76.714995000385827</v>
      </c>
      <c r="BQ184" s="21">
        <f>EXP(-LN(2)/25)*BQ183+(1-EXP(-LN(2)/25))/(LN(2)/25)*Calculateur!BL184*Calculateur!BN184*VLOOKUP('Données projet'!$B$11,Paramètres!$A$1:$I$89,3,0)*0.475*44/12</f>
        <v>31.104307948338366</v>
      </c>
      <c r="BR184" s="21">
        <f>EXP(-LN(2)/2)*BR183+(1-EXP(-LN(2)/2))/(LN(2)/2)*BL184*BO184*VLOOKUP('Données projet'!$B$11,Paramètres!$A$1:$I$89,3,0)*0.475*44/12</f>
        <v>1.5196440066625787E-5</v>
      </c>
      <c r="BS184" s="22">
        <f t="shared" si="169"/>
        <v>107.81931814516425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666.95278829809979</v>
      </c>
      <c r="S185" s="59">
        <f ca="1">AVERAGE(OFFSET($R$3,0,0,'Données projet'!$E$9+1,1))-AVERAGE(OFFSET($H$3,0,0,'Données projet'!$E$9+1,1))</f>
        <v>635.71275911100679</v>
      </c>
      <c r="T185" s="59">
        <f t="shared" si="142"/>
        <v>281.7776857269169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2.5579538487363607E-13</v>
      </c>
      <c r="AJ185" s="13">
        <f>AI185*VLOOKUP('Données projet'!$B$10,Paramètres!$A$1:$I$89,3,0)*VLOOKUP('Données projet'!$B$10,Paramètres!$A$1:$I$89,5,0)</f>
        <v>2.7533815227798186E-13</v>
      </c>
      <c r="AK185" s="13">
        <f t="shared" si="164"/>
        <v>3.6763598146902537E-12</v>
      </c>
      <c r="AL185" s="20">
        <f t="shared" si="165"/>
        <v>6.88254062580301E-12</v>
      </c>
      <c r="AM185" s="59">
        <f t="shared" si="113"/>
        <v>293.33333333334019</v>
      </c>
      <c r="AN185" s="59">
        <f ca="1">AVERAGE(OFFSET($AM$3,0,0,'Données projet'!$E$10+1,1))-AVERAGE(OFFSET($H$3,0,0,'Données projet'!$E$10+1,1))</f>
        <v>502.65044103360322</v>
      </c>
      <c r="AO185" s="59">
        <f t="shared" si="144"/>
        <v>321.65762891855167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47.98733302211923</v>
      </c>
      <c r="AV185" s="21">
        <f>EXP(-LN(2)/25)*AV184+(1-EXP(-LN(2)/25))/(LN(2)/25)*Calculateur!AQ185*Calculateur!AS185*VLOOKUP('Données projet'!$B$10,Paramètres!$A$1:$I$89,3,0)*0.475*44/12</f>
        <v>6.6237537730011606</v>
      </c>
      <c r="AW185" s="21">
        <f>EXP(-LN(2)/2)*AW184+(1-EXP(-LN(2)/2))/(LN(2)/2)*AQ185*AT185*VLOOKUP('Données projet'!$B$10,Paramètres!$A$1:$I$89,3,0)*0.475*44/12</f>
        <v>1.2070908756419236E-7</v>
      </c>
      <c r="AX185" s="21">
        <f t="shared" si="166"/>
        <v>54.611086915829482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4.7974999999999994</v>
      </c>
      <c r="BD185" s="12">
        <f>IF('Données projet'!$A$88&gt;35,BD184+BC185-BL184,IF(A185&lt;'Données projet'!$A$88,$BA$205^A185,IF(A185='Données projet'!$A$88,'Données projet'!$B$88,BD184+BC185-BL184)))</f>
        <v>290.54499999999967</v>
      </c>
      <c r="BE185" s="13">
        <f>BD185*VLOOKUP('Données projet'!$B$11,Paramètres!$A$1:$I$89,3,0)*VLOOKUP('Données projet'!$B$11,Paramètres!$A$1:$I$89,5,0)</f>
        <v>281.01512399999973</v>
      </c>
      <c r="BF185" s="13">
        <f t="shared" si="167"/>
        <v>67.181488559705002</v>
      </c>
      <c r="BG185" s="20">
        <f t="shared" si="168"/>
        <v>606.44243354148568</v>
      </c>
      <c r="BH185" s="59">
        <f t="shared" si="116"/>
        <v>899.77576687481906</v>
      </c>
      <c r="BI185" s="59">
        <f ca="1">AVERAGE(OFFSET($BH$3,0,0,'Données projet'!$E$11+1,1))-AVERAGE(OFFSET($H$3,0,0,'Données projet'!$E$11+1,1))</f>
        <v>510.71380643466227</v>
      </c>
      <c r="BJ185" s="59">
        <f t="shared" si="146"/>
        <v>252.40654099948841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75.210660739954932</v>
      </c>
      <c r="BQ185" s="21">
        <f>EXP(-LN(2)/25)*BQ184+(1-EXP(-LN(2)/25))/(LN(2)/25)*Calculateur!BL185*Calculateur!BN185*VLOOKUP('Données projet'!$B$11,Paramètres!$A$1:$I$89,3,0)*0.475*44/12</f>
        <v>30.253759011786588</v>
      </c>
      <c r="BR185" s="21">
        <f>EXP(-LN(2)/2)*BR184+(1-EXP(-LN(2)/2))/(LN(2)/2)*BL185*BO185*VLOOKUP('Données projet'!$B$11,Paramètres!$A$1:$I$89,3,0)*0.475*44/12</f>
        <v>1.0745505821006045E-5</v>
      </c>
      <c r="BS185" s="22">
        <f t="shared" si="169"/>
        <v>105.46443049724733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671.37495775152649</v>
      </c>
      <c r="S186" s="59">
        <f ca="1">AVERAGE(OFFSET($R$3,0,0,'Données projet'!$E$9+1,1))-AVERAGE(OFFSET($H$3,0,0,'Données projet'!$E$9+1,1))</f>
        <v>635.71275911100679</v>
      </c>
      <c r="T186" s="59">
        <f t="shared" si="142"/>
        <v>281.7776857269169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2.5579538487363607E-13</v>
      </c>
      <c r="AJ186" s="13">
        <f>AI186*VLOOKUP('Données projet'!$B$10,Paramètres!$A$1:$I$89,3,0)*VLOOKUP('Données projet'!$B$10,Paramètres!$A$1:$I$89,5,0)</f>
        <v>2.7533815227798186E-13</v>
      </c>
      <c r="AK186" s="13">
        <f t="shared" si="164"/>
        <v>3.6763598146902537E-12</v>
      </c>
      <c r="AL186" s="20">
        <f t="shared" si="165"/>
        <v>6.88254062580301E-12</v>
      </c>
      <c r="AM186" s="59">
        <f t="shared" si="113"/>
        <v>293.33333333334019</v>
      </c>
      <c r="AN186" s="59">
        <f ca="1">AVERAGE(OFFSET($AM$3,0,0,'Données projet'!$E$10+1,1))-AVERAGE(OFFSET($H$3,0,0,'Données projet'!$E$10+1,1))</f>
        <v>502.65044103360322</v>
      </c>
      <c r="AO186" s="59">
        <f t="shared" si="144"/>
        <v>321.65762891855167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47.046330690938504</v>
      </c>
      <c r="AV186" s="21">
        <f>EXP(-LN(2)/25)*AV185+(1-EXP(-LN(2)/25))/(LN(2)/25)*Calculateur!AQ186*Calculateur!AS186*VLOOKUP('Données projet'!$B$10,Paramètres!$A$1:$I$89,3,0)*0.475*44/12</f>
        <v>6.4426268777503717</v>
      </c>
      <c r="AW186" s="21">
        <f>EXP(-LN(2)/2)*AW185+(1-EXP(-LN(2)/2))/(LN(2)/2)*AQ186*AT186*VLOOKUP('Données projet'!$B$10,Paramètres!$A$1:$I$89,3,0)*0.475*44/12</f>
        <v>8.5354214367481174E-8</v>
      </c>
      <c r="AX186" s="21">
        <f t="shared" si="166"/>
        <v>53.488957654043091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4.7974999999999994</v>
      </c>
      <c r="BD186" s="12">
        <f>IF('Données projet'!$A$88&gt;35,BD185+BC186-BL185,IF(A186&lt;'Données projet'!$A$88,$BA$205^A186,IF(A186='Données projet'!$A$88,'Données projet'!$B$88,BD185+BC186-BL185)))</f>
        <v>295.34249999999969</v>
      </c>
      <c r="BE186" s="13">
        <f>BD186*VLOOKUP('Données projet'!$B$11,Paramètres!$A$1:$I$89,3,0)*VLOOKUP('Données projet'!$B$11,Paramètres!$A$1:$I$89,5,0)</f>
        <v>285.6552659999997</v>
      </c>
      <c r="BF186" s="13">
        <f t="shared" si="167"/>
        <v>68.160734755272316</v>
      </c>
      <c r="BG186" s="20">
        <f t="shared" si="168"/>
        <v>616.22953464876537</v>
      </c>
      <c r="BH186" s="59">
        <f t="shared" si="116"/>
        <v>909.56286798209862</v>
      </c>
      <c r="BI186" s="59">
        <f ca="1">AVERAGE(OFFSET($BH$3,0,0,'Données projet'!$E$11+1,1))-AVERAGE(OFFSET($H$3,0,0,'Données projet'!$E$11+1,1))</f>
        <v>510.71380643466227</v>
      </c>
      <c r="BJ186" s="59">
        <f t="shared" si="146"/>
        <v>252.40654099948841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73.735825556817787</v>
      </c>
      <c r="BQ186" s="21">
        <f>EXP(-LN(2)/25)*BQ185+(1-EXP(-LN(2)/25))/(LN(2)/25)*Calculateur!BL186*Calculateur!BN186*VLOOKUP('Données projet'!$B$11,Paramètres!$A$1:$I$89,3,0)*0.475*44/12</f>
        <v>29.426468380633242</v>
      </c>
      <c r="BR186" s="21">
        <f>EXP(-LN(2)/2)*BR185+(1-EXP(-LN(2)/2))/(LN(2)/2)*BL186*BO186*VLOOKUP('Données projet'!$B$11,Paramètres!$A$1:$I$89,3,0)*0.475*44/12</f>
        <v>7.5982200333128945E-6</v>
      </c>
      <c r="BS186" s="22">
        <f t="shared" si="169"/>
        <v>103.16230153567106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293.33333333334951</v>
      </c>
      <c r="S187" s="59">
        <f ca="1">AVERAGE(OFFSET($R$3,0,0,'Données projet'!$E$9+1,1))-AVERAGE(OFFSET($H$3,0,0,'Données projet'!$E$9+1,1))</f>
        <v>635.71275911100679</v>
      </c>
      <c r="T187" s="59">
        <f t="shared" si="142"/>
        <v>281.7776857269169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2.5579538487363607E-13</v>
      </c>
      <c r="AJ187" s="13">
        <f>AI187*VLOOKUP('Données projet'!$B$10,Paramètres!$A$1:$I$89,3,0)*VLOOKUP('Données projet'!$B$10,Paramètres!$A$1:$I$89,5,0)</f>
        <v>2.7533815227798186E-13</v>
      </c>
      <c r="AK187" s="13">
        <f t="shared" si="164"/>
        <v>3.6763598146902537E-12</v>
      </c>
      <c r="AL187" s="20">
        <f t="shared" si="165"/>
        <v>6.88254062580301E-12</v>
      </c>
      <c r="AM187" s="59">
        <f t="shared" si="113"/>
        <v>293.33333333334019</v>
      </c>
      <c r="AN187" s="59">
        <f ca="1">AVERAGE(OFFSET($AM$3,0,0,'Données projet'!$E$10+1,1))-AVERAGE(OFFSET($H$3,0,0,'Données projet'!$E$10+1,1))</f>
        <v>502.65044103360322</v>
      </c>
      <c r="AO187" s="59">
        <f t="shared" si="144"/>
        <v>321.65762891855167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46.12378084151748</v>
      </c>
      <c r="AV187" s="21">
        <f>EXP(-LN(2)/25)*AV186+(1-EXP(-LN(2)/25))/(LN(2)/25)*Calculateur!AQ187*Calculateur!AS187*VLOOKUP('Données projet'!$B$10,Paramètres!$A$1:$I$89,3,0)*0.475*44/12</f>
        <v>6.2664529069752648</v>
      </c>
      <c r="AW187" s="21">
        <f>EXP(-LN(2)/2)*AW186+(1-EXP(-LN(2)/2))/(LN(2)/2)*AQ187*AT187*VLOOKUP('Données projet'!$B$10,Paramètres!$A$1:$I$89,3,0)*0.475*44/12</f>
        <v>6.0354543782096182E-8</v>
      </c>
      <c r="AX187" s="21">
        <f t="shared" si="166"/>
        <v>52.390233808847292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>
        <f>VLOOKUP(A187,'Données projet'!$A$87:$I$107,2,0)</f>
        <v>300.14</v>
      </c>
      <c r="BB187" s="12">
        <f>VLOOKUP(A187,'Données projet'!$A$87:$I$107,9,0)</f>
        <v>4.7974999999999994</v>
      </c>
      <c r="BC187" s="12">
        <f t="array" ref="BC187">INDEX(BB:BB,MIN(IF(ISNUMBER(BB187:BB383),ROW(BB187:BB383),"")))</f>
        <v>4.7974999999999994</v>
      </c>
      <c r="BD187" s="12">
        <f>IF('Données projet'!$A$88&gt;35,BD186+BC187-BL186,IF(A187&lt;'Données projet'!$A$88,$BA$205^A187,IF(A187='Données projet'!$A$88,'Données projet'!$B$88,BD186+BC187-BL186)))</f>
        <v>300.1399999999997</v>
      </c>
      <c r="BE187" s="13">
        <f>BD187*VLOOKUP('Données projet'!$B$11,Paramètres!$A$1:$I$89,3,0)*VLOOKUP('Données projet'!$B$11,Paramètres!$A$1:$I$89,5,0)</f>
        <v>290.29540799999972</v>
      </c>
      <c r="BF187" s="13">
        <f t="shared" si="167"/>
        <v>69.138131070702386</v>
      </c>
      <c r="BG187" s="20">
        <f t="shared" si="168"/>
        <v>626.01341388147284</v>
      </c>
      <c r="BH187" s="59">
        <f t="shared" si="116"/>
        <v>919.3467472148061</v>
      </c>
      <c r="BI187" s="59">
        <f ca="1">AVERAGE(OFFSET($BH$3,0,0,'Données projet'!$E$11+1,1))-AVERAGE(OFFSET($H$3,0,0,'Données projet'!$E$11+1,1))</f>
        <v>510.71380643466227</v>
      </c>
      <c r="BJ187" s="59">
        <f t="shared" si="146"/>
        <v>252.40654099948841</v>
      </c>
      <c r="BK187" s="15">
        <f>IF(ISNA(VLOOKUP(A187,'Données projet'!$A$87:$I$107,3,0)),0,VLOOKUP(A187,'Données projet'!$A$87:$I$107,3,0))</f>
        <v>14</v>
      </c>
      <c r="BL187" s="15">
        <f>IF(ISNA(VLOOKUP(A187,'Données projet'!$A$87:$I$107,4,0)),0,VLOOKUP(A187,'Données projet'!$A$87:$I$107,4,0))</f>
        <v>101.19999999999999</v>
      </c>
      <c r="BM187" s="16">
        <f>IF(ISNA(VLOOKUP(A187,'Données projet'!$A$87:$I$107,5,0)),0%,VLOOKUP(A187,'Données projet'!$A$87:$I$107,5,0)*VLOOKUP('Données projet'!$B$11,Paramètres!$A$1:$I$89,7,0))</f>
        <v>0.215</v>
      </c>
      <c r="BN187" s="16">
        <f>IF(ISNA(VLOOKUP(A187,'Données projet'!$A$87:$I$107,6,0)),0%,VLOOKUP(A187,'Données projet'!$A$87:$I$107,6,0)*VLOOKUP('Données projet'!$B$11,Paramètres!$A$1:$I$89,7,0))</f>
        <v>8.6000000000000007E-2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95.553802865752857</v>
      </c>
      <c r="BQ187" s="21">
        <f>EXP(-LN(2)/25)*BQ186+(1-EXP(-LN(2)/25))/(LN(2)/25)*Calculateur!BL187*Calculateur!BN187*VLOOKUP('Données projet'!$B$11,Paramètres!$A$1:$I$89,3,0)*0.475*44/12</f>
        <v>37.890717282152934</v>
      </c>
      <c r="BR187" s="21">
        <f>EXP(-LN(2)/2)*BR186+(1-EXP(-LN(2)/2))/(LN(2)/2)*BL187*BO187*VLOOKUP('Données projet'!$B$11,Paramètres!$A$1:$I$89,3,0)*0.475*44/12</f>
        <v>5.3727529105030233E-6</v>
      </c>
      <c r="BS187" s="22">
        <f t="shared" si="169"/>
        <v>133.44452552065871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293.33333333334951</v>
      </c>
      <c r="S188" s="59">
        <f ca="1">AVERAGE(OFFSET($R$3,0,0,'Données projet'!$E$9+1,1))-AVERAGE(OFFSET($H$3,0,0,'Données projet'!$E$9+1,1))</f>
        <v>635.71275911100679</v>
      </c>
      <c r="T188" s="59">
        <f t="shared" si="142"/>
        <v>281.7776857269169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2.5579538487363607E-13</v>
      </c>
      <c r="AJ188" s="13">
        <f>AI188*VLOOKUP('Données projet'!$B$10,Paramètres!$A$1:$I$89,3,0)*VLOOKUP('Données projet'!$B$10,Paramètres!$A$1:$I$89,5,0)</f>
        <v>2.7533815227798186E-13</v>
      </c>
      <c r="AK188" s="13">
        <f t="shared" si="164"/>
        <v>3.6763598146902537E-12</v>
      </c>
      <c r="AL188" s="20">
        <f t="shared" si="165"/>
        <v>6.88254062580301E-12</v>
      </c>
      <c r="AM188" s="59">
        <f t="shared" si="113"/>
        <v>293.33333333334019</v>
      </c>
      <c r="AN188" s="59">
        <f ca="1">AVERAGE(OFFSET($AM$3,0,0,'Données projet'!$E$10+1,1))-AVERAGE(OFFSET($H$3,0,0,'Données projet'!$E$10+1,1))</f>
        <v>502.65044103360322</v>
      </c>
      <c r="AO188" s="59">
        <f t="shared" si="144"/>
        <v>321.65762891855167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45.219321631943757</v>
      </c>
      <c r="AV188" s="21">
        <f>EXP(-LN(2)/25)*AV187+(1-EXP(-LN(2)/25))/(LN(2)/25)*Calculateur!AQ188*Calculateur!AS188*VLOOKUP('Données projet'!$B$10,Paramètres!$A$1:$I$89,3,0)*0.475*44/12</f>
        <v>6.0950964226955904</v>
      </c>
      <c r="AW188" s="21">
        <f>EXP(-LN(2)/2)*AW187+(1-EXP(-LN(2)/2))/(LN(2)/2)*AQ188*AT188*VLOOKUP('Données projet'!$B$10,Paramètres!$A$1:$I$89,3,0)*0.475*44/12</f>
        <v>4.2677107183740587E-8</v>
      </c>
      <c r="AX188" s="21">
        <f t="shared" si="166"/>
        <v>51.314418097316455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3.0825000000000031</v>
      </c>
      <c r="BD188" s="12">
        <f>IF('Données projet'!$A$88&gt;35,BD187+BC188-BL187,IF(A188&lt;'Données projet'!$A$88,$BA$205^A188,IF(A188='Données projet'!$A$88,'Données projet'!$B$88,BD187+BC188-BL187)))</f>
        <v>202.0224999999997</v>
      </c>
      <c r="BE188" s="13">
        <f>BD188*VLOOKUP('Données projet'!$B$11,Paramètres!$A$1:$I$89,3,0)*VLOOKUP('Données projet'!$B$11,Paramètres!$A$1:$I$89,5,0)</f>
        <v>195.39616199999969</v>
      </c>
      <c r="BF188" s="13">
        <f t="shared" si="167"/>
        <v>48.731016217868188</v>
      </c>
      <c r="BG188" s="20">
        <f t="shared" si="168"/>
        <v>425.18816872945314</v>
      </c>
      <c r="BH188" s="59">
        <f t="shared" si="116"/>
        <v>718.52150206278645</v>
      </c>
      <c r="BI188" s="59">
        <f ca="1">AVERAGE(OFFSET($BH$3,0,0,'Données projet'!$E$11+1,1))-AVERAGE(OFFSET($H$3,0,0,'Données projet'!$E$11+1,1))</f>
        <v>510.71380643466227</v>
      </c>
      <c r="BJ188" s="59">
        <f t="shared" si="146"/>
        <v>252.40654099948841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93.680051073620319</v>
      </c>
      <c r="BQ188" s="21">
        <f>EXP(-LN(2)/25)*BQ187+(1-EXP(-LN(2)/25))/(LN(2)/25)*Calculateur!BL188*Calculateur!BN188*VLOOKUP('Données projet'!$B$11,Paramètres!$A$1:$I$89,3,0)*0.475*44/12</f>
        <v>36.854593625486238</v>
      </c>
      <c r="BR188" s="21">
        <f>EXP(-LN(2)/2)*BR187+(1-EXP(-LN(2)/2))/(LN(2)/2)*BL188*BO188*VLOOKUP('Données projet'!$B$11,Paramètres!$A$1:$I$89,3,0)*0.475*44/12</f>
        <v>3.7991100166564481E-6</v>
      </c>
      <c r="BS188" s="22">
        <f t="shared" si="169"/>
        <v>130.53464849821657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293.33333333334951</v>
      </c>
      <c r="S189" s="59">
        <f ca="1">AVERAGE(OFFSET($R$3,0,0,'Données projet'!$E$9+1,1))-AVERAGE(OFFSET($H$3,0,0,'Données projet'!$E$9+1,1))</f>
        <v>635.71275911100679</v>
      </c>
      <c r="T189" s="59">
        <f t="shared" si="142"/>
        <v>281.7776857269169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2.5579538487363607E-13</v>
      </c>
      <c r="AJ189" s="13">
        <f>AI189*VLOOKUP('Données projet'!$B$10,Paramètres!$A$1:$I$89,3,0)*VLOOKUP('Données projet'!$B$10,Paramètres!$A$1:$I$89,5,0)</f>
        <v>2.7533815227798186E-13</v>
      </c>
      <c r="AK189" s="13">
        <f t="shared" si="164"/>
        <v>3.6763598146902537E-12</v>
      </c>
      <c r="AL189" s="20">
        <f t="shared" si="165"/>
        <v>6.88254062580301E-12</v>
      </c>
      <c r="AM189" s="59">
        <f t="shared" si="113"/>
        <v>293.33333333334019</v>
      </c>
      <c r="AN189" s="59">
        <f ca="1">AVERAGE(OFFSET($AM$3,0,0,'Données projet'!$E$10+1,1))-AVERAGE(OFFSET($H$3,0,0,'Données projet'!$E$10+1,1))</f>
        <v>502.65044103360322</v>
      </c>
      <c r="AO189" s="59">
        <f t="shared" si="144"/>
        <v>321.65762891855167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44.332598315804134</v>
      </c>
      <c r="AV189" s="21">
        <f>EXP(-LN(2)/25)*AV188+(1-EXP(-LN(2)/25))/(LN(2)/25)*Calculateur!AQ189*Calculateur!AS189*VLOOKUP('Données projet'!$B$10,Paramètres!$A$1:$I$89,3,0)*0.475*44/12</f>
        <v>5.9284256904897887</v>
      </c>
      <c r="AW189" s="21">
        <f>EXP(-LN(2)/2)*AW188+(1-EXP(-LN(2)/2))/(LN(2)/2)*AQ189*AT189*VLOOKUP('Données projet'!$B$10,Paramètres!$A$1:$I$89,3,0)*0.475*44/12</f>
        <v>3.0177271891048091E-8</v>
      </c>
      <c r="AX189" s="21">
        <f t="shared" si="166"/>
        <v>50.261024036471191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3.0825000000000031</v>
      </c>
      <c r="BD189" s="12">
        <f>IF('Données projet'!$A$88&gt;35,BD188+BC189-BL188,IF(A189&lt;'Données projet'!$A$88,$BA$205^A189,IF(A189='Données projet'!$A$88,'Données projet'!$B$88,BD188+BC189-BL188)))</f>
        <v>205.10499999999971</v>
      </c>
      <c r="BE189" s="13">
        <f>BD189*VLOOKUP('Données projet'!$B$11,Paramètres!$A$1:$I$89,3,0)*VLOOKUP('Données projet'!$B$11,Paramètres!$A$1:$I$89,5,0)</f>
        <v>198.37755599999971</v>
      </c>
      <c r="BF189" s="13">
        <f t="shared" si="167"/>
        <v>49.387434785250633</v>
      </c>
      <c r="BG189" s="20">
        <f t="shared" si="168"/>
        <v>431.52402561764438</v>
      </c>
      <c r="BH189" s="59">
        <f t="shared" si="116"/>
        <v>724.85735895097764</v>
      </c>
      <c r="BI189" s="59">
        <f ca="1">AVERAGE(OFFSET($BH$3,0,0,'Données projet'!$E$11+1,1))-AVERAGE(OFFSET($H$3,0,0,'Données projet'!$E$11+1,1))</f>
        <v>510.71380643466227</v>
      </c>
      <c r="BJ189" s="59">
        <f t="shared" si="146"/>
        <v>252.40654099948841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91.843042411255752</v>
      </c>
      <c r="BQ189" s="21">
        <f>EXP(-LN(2)/25)*BQ188+(1-EXP(-LN(2)/25))/(LN(2)/25)*Calculateur!BL189*Calculateur!BN189*VLOOKUP('Données projet'!$B$11,Paramètres!$A$1:$I$89,3,0)*0.475*44/12</f>
        <v>35.846802824698472</v>
      </c>
      <c r="BR189" s="21">
        <f>EXP(-LN(2)/2)*BR188+(1-EXP(-LN(2)/2))/(LN(2)/2)*BL189*BO189*VLOOKUP('Données projet'!$B$11,Paramètres!$A$1:$I$89,3,0)*0.475*44/12</f>
        <v>2.6863764552515121E-6</v>
      </c>
      <c r="BS189" s="22">
        <f t="shared" si="169"/>
        <v>127.68984792233069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293.33333333334951</v>
      </c>
      <c r="S190" s="59">
        <f ca="1">AVERAGE(OFFSET($R$3,0,0,'Données projet'!$E$9+1,1))-AVERAGE(OFFSET($H$3,0,0,'Données projet'!$E$9+1,1))</f>
        <v>635.71275911100679</v>
      </c>
      <c r="T190" s="59">
        <f t="shared" si="142"/>
        <v>281.7776857269169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2.5579538487363607E-13</v>
      </c>
      <c r="AJ190" s="13">
        <f>AI190*VLOOKUP('Données projet'!$B$10,Paramètres!$A$1:$I$89,3,0)*VLOOKUP('Données projet'!$B$10,Paramètres!$A$1:$I$89,5,0)</f>
        <v>2.7533815227798186E-13</v>
      </c>
      <c r="AK190" s="13">
        <f t="shared" si="164"/>
        <v>3.6763598146902537E-12</v>
      </c>
      <c r="AL190" s="20">
        <f t="shared" si="165"/>
        <v>6.88254062580301E-12</v>
      </c>
      <c r="AM190" s="59">
        <f t="shared" si="113"/>
        <v>293.33333333334019</v>
      </c>
      <c r="AN190" s="59">
        <f ca="1">AVERAGE(OFFSET($AM$3,0,0,'Données projet'!$E$10+1,1))-AVERAGE(OFFSET($H$3,0,0,'Données projet'!$E$10+1,1))</f>
        <v>502.65044103360322</v>
      </c>
      <c r="AO190" s="59">
        <f t="shared" si="144"/>
        <v>321.65762891855167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43.463263103046188</v>
      </c>
      <c r="AV190" s="21">
        <f>EXP(-LN(2)/25)*AV189+(1-EXP(-LN(2)/25))/(LN(2)/25)*Calculateur!AQ190*Calculateur!AS190*VLOOKUP('Données projet'!$B$10,Paramètres!$A$1:$I$89,3,0)*0.475*44/12</f>
        <v>5.7663125782209876</v>
      </c>
      <c r="AW190" s="21">
        <f>EXP(-LN(2)/2)*AW189+(1-EXP(-LN(2)/2))/(LN(2)/2)*AQ190*AT190*VLOOKUP('Données projet'!$B$10,Paramètres!$A$1:$I$89,3,0)*0.475*44/12</f>
        <v>2.1338553591870294E-8</v>
      </c>
      <c r="AX190" s="21">
        <f t="shared" si="166"/>
        <v>49.229575702605729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3.0825000000000031</v>
      </c>
      <c r="BD190" s="12">
        <f>IF('Données projet'!$A$88&gt;35,BD189+BC190-BL189,IF(A190&lt;'Données projet'!$A$88,$BA$205^A190,IF(A190='Données projet'!$A$88,'Données projet'!$B$88,BD189+BC190-BL189)))</f>
        <v>208.18749999999972</v>
      </c>
      <c r="BE190" s="13">
        <f>BD190*VLOOKUP('Données projet'!$B$11,Paramètres!$A$1:$I$89,3,0)*VLOOKUP('Données projet'!$B$11,Paramètres!$A$1:$I$89,5,0)</f>
        <v>201.35894999999971</v>
      </c>
      <c r="BF190" s="13">
        <f t="shared" si="167"/>
        <v>50.042705996748062</v>
      </c>
      <c r="BG190" s="20">
        <f t="shared" si="168"/>
        <v>437.85788419433567</v>
      </c>
      <c r="BH190" s="59">
        <f t="shared" si="116"/>
        <v>731.19121752766898</v>
      </c>
      <c r="BI190" s="59">
        <f ca="1">AVERAGE(OFFSET($BH$3,0,0,'Données projet'!$E$11+1,1))-AVERAGE(OFFSET($H$3,0,0,'Données projet'!$E$11+1,1))</f>
        <v>510.71380643466227</v>
      </c>
      <c r="BJ190" s="59">
        <f t="shared" si="146"/>
        <v>252.40654099948841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90.042056368295505</v>
      </c>
      <c r="BQ190" s="21">
        <f>EXP(-LN(2)/25)*BQ189+(1-EXP(-LN(2)/25))/(LN(2)/25)*Calculateur!BL190*Calculateur!BN190*VLOOKUP('Données projet'!$B$11,Paramètres!$A$1:$I$89,3,0)*0.475*44/12</f>
        <v>34.866570116355661</v>
      </c>
      <c r="BR190" s="21">
        <f>EXP(-LN(2)/2)*BR189+(1-EXP(-LN(2)/2))/(LN(2)/2)*BL190*BO190*VLOOKUP('Données projet'!$B$11,Paramètres!$A$1:$I$89,3,0)*0.475*44/12</f>
        <v>1.8995550083282243E-6</v>
      </c>
      <c r="BS190" s="22">
        <f t="shared" si="169"/>
        <v>124.90862838420617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293.33333333334951</v>
      </c>
      <c r="S191" s="59">
        <f ca="1">AVERAGE(OFFSET($R$3,0,0,'Données projet'!$E$9+1,1))-AVERAGE(OFFSET($H$3,0,0,'Données projet'!$E$9+1,1))</f>
        <v>635.71275911100679</v>
      </c>
      <c r="T191" s="59">
        <f t="shared" si="142"/>
        <v>281.7776857269169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2.5579538487363607E-13</v>
      </c>
      <c r="AJ191" s="13">
        <f>AI191*VLOOKUP('Données projet'!$B$10,Paramètres!$A$1:$I$89,3,0)*VLOOKUP('Données projet'!$B$10,Paramètres!$A$1:$I$89,5,0)</f>
        <v>2.7533815227798186E-13</v>
      </c>
      <c r="AK191" s="13">
        <f t="shared" si="164"/>
        <v>3.6763598146902537E-12</v>
      </c>
      <c r="AL191" s="20">
        <f t="shared" si="165"/>
        <v>6.88254062580301E-12</v>
      </c>
      <c r="AM191" s="59">
        <f t="shared" si="113"/>
        <v>293.33333333334019</v>
      </c>
      <c r="AN191" s="59">
        <f ca="1">AVERAGE(OFFSET($AM$3,0,0,'Données projet'!$E$10+1,1))-AVERAGE(OFFSET($H$3,0,0,'Données projet'!$E$10+1,1))</f>
        <v>502.65044103360322</v>
      </c>
      <c r="AO191" s="59">
        <f t="shared" si="144"/>
        <v>321.65762891855167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42.610975023568301</v>
      </c>
      <c r="AV191" s="21">
        <f>EXP(-LN(2)/25)*AV190+(1-EXP(-LN(2)/25))/(LN(2)/25)*Calculateur!AQ191*Calculateur!AS191*VLOOKUP('Données projet'!$B$10,Paramètres!$A$1:$I$89,3,0)*0.475*44/12</f>
        <v>5.6086324575323356</v>
      </c>
      <c r="AW191" s="21">
        <f>EXP(-LN(2)/2)*AW190+(1-EXP(-LN(2)/2))/(LN(2)/2)*AQ191*AT191*VLOOKUP('Données projet'!$B$10,Paramètres!$A$1:$I$89,3,0)*0.475*44/12</f>
        <v>1.5088635945524046E-8</v>
      </c>
      <c r="AX191" s="21">
        <f t="shared" si="166"/>
        <v>48.219607496189276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>
        <f>VLOOKUP(A191,'Données projet'!$A$87:$I$107,2,0)</f>
        <v>211.27</v>
      </c>
      <c r="BB191" s="12">
        <f>VLOOKUP(A191,'Données projet'!$A$87:$I$107,9,0)</f>
        <v>3.0825000000000031</v>
      </c>
      <c r="BC191" s="12">
        <f t="array" ref="BC191">INDEX(BB:BB,MIN(IF(ISNUMBER(BB191:BB387),ROW(BB191:BB387),"")))</f>
        <v>3.0825000000000031</v>
      </c>
      <c r="BD191" s="12">
        <f>IF('Données projet'!$A$88&gt;35,BD190+BC191-BL190,IF(A191&lt;'Données projet'!$A$88,$BA$205^A191,IF(A191='Données projet'!$A$88,'Données projet'!$B$88,BD190+BC191-BL190)))</f>
        <v>211.26999999999973</v>
      </c>
      <c r="BE191" s="13">
        <f>BD191*VLOOKUP('Données projet'!$B$11,Paramètres!$A$1:$I$89,3,0)*VLOOKUP('Données projet'!$B$11,Paramètres!$A$1:$I$89,5,0)</f>
        <v>204.34034399999976</v>
      </c>
      <c r="BF191" s="13">
        <f t="shared" si="167"/>
        <v>50.696848803013133</v>
      </c>
      <c r="BG191" s="20">
        <f t="shared" si="168"/>
        <v>444.18977746524746</v>
      </c>
      <c r="BH191" s="59">
        <f t="shared" si="116"/>
        <v>737.52311079858077</v>
      </c>
      <c r="BI191" s="59">
        <f ca="1">AVERAGE(OFFSET($BH$3,0,0,'Données projet'!$E$11+1,1))-AVERAGE(OFFSET($H$3,0,0,'Données projet'!$E$11+1,1))</f>
        <v>510.71380643466227</v>
      </c>
      <c r="BJ191" s="59">
        <f t="shared" si="146"/>
        <v>252.40654099948841</v>
      </c>
      <c r="BK191" s="15">
        <f>IF(ISNA(VLOOKUP(A191,'Données projet'!$A$87:$I$107,3,0)),0,VLOOKUP(A191,'Données projet'!$A$87:$I$107,3,0))</f>
        <v>15</v>
      </c>
      <c r="BL191" s="15">
        <f>IF(ISNA(VLOOKUP(A191,'Données projet'!$A$87:$I$107,4,0)),0,VLOOKUP(A191,'Données projet'!$A$87:$I$107,4,0))</f>
        <v>72.180000000000007</v>
      </c>
      <c r="BM191" s="16">
        <f>IF(ISNA(VLOOKUP(A191,'Données projet'!$A$87:$I$107,5,0)),0%,VLOOKUP(A191,'Données projet'!$A$87:$I$107,5,0)*VLOOKUP('Données projet'!$B$11,Paramètres!$A$1:$I$89,7,0))</f>
        <v>0.215</v>
      </c>
      <c r="BN191" s="16">
        <f>IF(ISNA(VLOOKUP(A191,'Données projet'!$A$87:$I$107,6,0)),0%,VLOOKUP(A191,'Données projet'!$A$87:$I$107,6,0)*VLOOKUP('Données projet'!$B$11,Paramètres!$A$1:$I$89,7,0))</f>
        <v>8.6000000000000007E-2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104.86915054973615</v>
      </c>
      <c r="BQ191" s="21">
        <f>EXP(-LN(2)/25)*BQ190+(1-EXP(-LN(2)/25))/(LN(2)/25)*Calculateur!BL191*Calculateur!BN191*VLOOKUP('Données projet'!$B$11,Paramètres!$A$1:$I$89,3,0)*0.475*44/12</f>
        <v>40.524114703945678</v>
      </c>
      <c r="BR191" s="21">
        <f>EXP(-LN(2)/2)*BR190+(1-EXP(-LN(2)/2))/(LN(2)/2)*BL191*BO191*VLOOKUP('Données projet'!$B$11,Paramètres!$A$1:$I$89,3,0)*0.475*44/12</f>
        <v>1.3431882276257563E-6</v>
      </c>
      <c r="BS191" s="22">
        <f t="shared" si="169"/>
        <v>145.39326659687003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293.33333333334951</v>
      </c>
      <c r="S192" s="59">
        <f ca="1">AVERAGE(OFFSET($R$3,0,0,'Données projet'!$E$9+1,1))-AVERAGE(OFFSET($H$3,0,0,'Données projet'!$E$9+1,1))</f>
        <v>635.71275911100679</v>
      </c>
      <c r="T192" s="59">
        <f t="shared" si="142"/>
        <v>281.7776857269169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2.5579538487363607E-13</v>
      </c>
      <c r="AJ192" s="13">
        <f>AI192*VLOOKUP('Données projet'!$B$10,Paramètres!$A$1:$I$89,3,0)*VLOOKUP('Données projet'!$B$10,Paramètres!$A$1:$I$89,5,0)</f>
        <v>2.7533815227798186E-13</v>
      </c>
      <c r="AK192" s="13">
        <f t="shared" si="164"/>
        <v>3.6763598146902537E-12</v>
      </c>
      <c r="AL192" s="20">
        <f t="shared" si="165"/>
        <v>6.88254062580301E-12</v>
      </c>
      <c r="AM192" s="59">
        <f t="shared" si="113"/>
        <v>293.33333333334019</v>
      </c>
      <c r="AN192" s="59">
        <f ca="1">AVERAGE(OFFSET($AM$3,0,0,'Données projet'!$E$10+1,1))-AVERAGE(OFFSET($H$3,0,0,'Données projet'!$E$10+1,1))</f>
        <v>502.65044103360322</v>
      </c>
      <c r="AO192" s="59">
        <f t="shared" si="144"/>
        <v>321.65762891855167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41.775399793484581</v>
      </c>
      <c r="AV192" s="21">
        <f>EXP(-LN(2)/25)*AV191+(1-EXP(-LN(2)/25))/(LN(2)/25)*Calculateur!AQ192*Calculateur!AS192*VLOOKUP('Données projet'!$B$10,Paramètres!$A$1:$I$89,3,0)*0.475*44/12</f>
        <v>5.4552641080359514</v>
      </c>
      <c r="AW192" s="21">
        <f>EXP(-LN(2)/2)*AW191+(1-EXP(-LN(2)/2))/(LN(2)/2)*AQ192*AT192*VLOOKUP('Données projet'!$B$10,Paramètres!$A$1:$I$89,3,0)*0.475*44/12</f>
        <v>1.0669276795935147E-8</v>
      </c>
      <c r="AX192" s="21">
        <f t="shared" si="166"/>
        <v>47.230663912189804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1.9733333333333292</v>
      </c>
      <c r="BD192" s="12">
        <f>IF('Données projet'!$A$88&gt;35,BD191+BC192-BL191,IF(A192&lt;'Données projet'!$A$88,$BA$205^A192,IF(A192='Données projet'!$A$88,'Données projet'!$B$88,BD191+BC192-BL191)))</f>
        <v>141.06333333333305</v>
      </c>
      <c r="BE192" s="13">
        <f>BD192*VLOOKUP('Données projet'!$B$11,Paramètres!$A$1:$I$89,3,0)*VLOOKUP('Données projet'!$B$11,Paramètres!$A$1:$I$89,5,0)</f>
        <v>136.43645599999974</v>
      </c>
      <c r="BF192" s="13">
        <f t="shared" si="167"/>
        <v>35.479426627606493</v>
      </c>
      <c r="BG192" s="20">
        <f t="shared" si="168"/>
        <v>299.42016224308082</v>
      </c>
      <c r="BH192" s="59">
        <f t="shared" si="116"/>
        <v>592.75349557641414</v>
      </c>
      <c r="BI192" s="59">
        <f ca="1">AVERAGE(OFFSET($BH$3,0,0,'Données projet'!$E$11+1,1))-AVERAGE(OFFSET($H$3,0,0,'Données projet'!$E$11+1,1))</f>
        <v>510.71380643466227</v>
      </c>
      <c r="BJ192" s="59">
        <f t="shared" si="146"/>
        <v>252.40654099948841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102.81273047132176</v>
      </c>
      <c r="BQ192" s="21">
        <f>EXP(-LN(2)/25)*BQ191+(1-EXP(-LN(2)/25))/(LN(2)/25)*Calculateur!BL192*Calculateur!BN192*VLOOKUP('Données projet'!$B$11,Paramètres!$A$1:$I$89,3,0)*0.475*44/12</f>
        <v>39.415980656295709</v>
      </c>
      <c r="BR192" s="21">
        <f>EXP(-LN(2)/2)*BR191+(1-EXP(-LN(2)/2))/(LN(2)/2)*BL192*BO192*VLOOKUP('Données projet'!$B$11,Paramètres!$A$1:$I$89,3,0)*0.475*44/12</f>
        <v>9.4977750416411223E-7</v>
      </c>
      <c r="BS192" s="22">
        <f t="shared" si="169"/>
        <v>142.22871207739496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293.33333333334951</v>
      </c>
      <c r="S193" s="59">
        <f ca="1">AVERAGE(OFFSET($R$3,0,0,'Données projet'!$E$9+1,1))-AVERAGE(OFFSET($H$3,0,0,'Données projet'!$E$9+1,1))</f>
        <v>635.71275911100679</v>
      </c>
      <c r="T193" s="59">
        <f t="shared" si="142"/>
        <v>281.7776857269169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2.5579538487363607E-13</v>
      </c>
      <c r="AJ193" s="13">
        <f>AI193*VLOOKUP('Données projet'!$B$10,Paramètres!$A$1:$I$89,3,0)*VLOOKUP('Données projet'!$B$10,Paramètres!$A$1:$I$89,5,0)</f>
        <v>2.7533815227798186E-13</v>
      </c>
      <c r="AK193" s="13">
        <f t="shared" si="164"/>
        <v>3.6763598146902537E-12</v>
      </c>
      <c r="AL193" s="20">
        <f t="shared" si="165"/>
        <v>6.88254062580301E-12</v>
      </c>
      <c r="AM193" s="59">
        <f t="shared" si="113"/>
        <v>293.33333333334019</v>
      </c>
      <c r="AN193" s="59">
        <f ca="1">AVERAGE(OFFSET($AM$3,0,0,'Données projet'!$E$10+1,1))-AVERAGE(OFFSET($H$3,0,0,'Données projet'!$E$10+1,1))</f>
        <v>502.65044103360322</v>
      </c>
      <c r="AO193" s="59">
        <f t="shared" si="144"/>
        <v>321.65762891855167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40.956209684012236</v>
      </c>
      <c r="AV193" s="21">
        <f>EXP(-LN(2)/25)*AV192+(1-EXP(-LN(2)/25))/(LN(2)/25)*Calculateur!AQ193*Calculateur!AS193*VLOOKUP('Données projet'!$B$10,Paramètres!$A$1:$I$89,3,0)*0.475*44/12</f>
        <v>5.3060896241218369</v>
      </c>
      <c r="AW193" s="21">
        <f>EXP(-LN(2)/2)*AW192+(1-EXP(-LN(2)/2))/(LN(2)/2)*AQ193*AT193*VLOOKUP('Données projet'!$B$10,Paramètres!$A$1:$I$89,3,0)*0.475*44/12</f>
        <v>7.5443179727620228E-9</v>
      </c>
      <c r="AX193" s="21">
        <f t="shared" si="166"/>
        <v>46.262299315678391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1.9733333333333292</v>
      </c>
      <c r="BD193" s="12">
        <f>IF('Données projet'!$A$88&gt;35,BD192+BC193-BL192,IF(A193&lt;'Données projet'!$A$88,$BA$205^A193,IF(A193='Données projet'!$A$88,'Données projet'!$B$88,BD192+BC193-BL192)))</f>
        <v>143.03666666666638</v>
      </c>
      <c r="BE193" s="13">
        <f>BD193*VLOOKUP('Données projet'!$B$11,Paramètres!$A$1:$I$89,3,0)*VLOOKUP('Données projet'!$B$11,Paramètres!$A$1:$I$89,5,0)</f>
        <v>138.34506399999972</v>
      </c>
      <c r="BF193" s="13">
        <f t="shared" si="167"/>
        <v>35.917620913203898</v>
      </c>
      <c r="BG193" s="20">
        <f t="shared" si="168"/>
        <v>303.50750955716296</v>
      </c>
      <c r="BH193" s="59">
        <f t="shared" si="116"/>
        <v>596.84084289049633</v>
      </c>
      <c r="BI193" s="59">
        <f ca="1">AVERAGE(OFFSET($BH$3,0,0,'Données projet'!$E$11+1,1))-AVERAGE(OFFSET($H$3,0,0,'Données projet'!$E$11+1,1))</f>
        <v>510.71380643466227</v>
      </c>
      <c r="BJ193" s="59">
        <f t="shared" si="146"/>
        <v>252.40654099948841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100.79663553635267</v>
      </c>
      <c r="BQ193" s="21">
        <f>EXP(-LN(2)/25)*BQ192+(1-EXP(-LN(2)/25))/(LN(2)/25)*Calculateur!BL193*Calculateur!BN193*VLOOKUP('Données projet'!$B$11,Paramètres!$A$1:$I$89,3,0)*0.475*44/12</f>
        <v>38.338148592452967</v>
      </c>
      <c r="BR193" s="21">
        <f>EXP(-LN(2)/2)*BR192+(1-EXP(-LN(2)/2))/(LN(2)/2)*BL193*BO193*VLOOKUP('Données projet'!$B$11,Paramètres!$A$1:$I$89,3,0)*0.475*44/12</f>
        <v>6.7159411381287823E-7</v>
      </c>
      <c r="BS193" s="22">
        <f t="shared" si="169"/>
        <v>139.13478480039973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293.33333333334951</v>
      </c>
      <c r="S194" s="59">
        <f ca="1">AVERAGE(OFFSET($R$3,0,0,'Données projet'!$E$9+1,1))-AVERAGE(OFFSET($H$3,0,0,'Données projet'!$E$9+1,1))</f>
        <v>635.71275911100679</v>
      </c>
      <c r="T194" s="59">
        <f t="shared" si="142"/>
        <v>281.7776857269169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2.5579538487363607E-13</v>
      </c>
      <c r="AJ194" s="13">
        <f>AI194*VLOOKUP('Données projet'!$B$10,Paramètres!$A$1:$I$89,3,0)*VLOOKUP('Données projet'!$B$10,Paramètres!$A$1:$I$89,5,0)</f>
        <v>2.7533815227798186E-13</v>
      </c>
      <c r="AK194" s="13">
        <f t="shared" si="164"/>
        <v>3.6763598146902537E-12</v>
      </c>
      <c r="AL194" s="20">
        <f t="shared" si="165"/>
        <v>6.88254062580301E-12</v>
      </c>
      <c r="AM194" s="59">
        <f t="shared" si="113"/>
        <v>293.33333333334019</v>
      </c>
      <c r="AN194" s="59">
        <f ca="1">AVERAGE(OFFSET($AM$3,0,0,'Données projet'!$E$10+1,1))-AVERAGE(OFFSET($H$3,0,0,'Données projet'!$E$10+1,1))</f>
        <v>502.65044103360322</v>
      </c>
      <c r="AO194" s="59">
        <f t="shared" si="144"/>
        <v>321.65762891855167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40.153083392930014</v>
      </c>
      <c r="AV194" s="21">
        <f>EXP(-LN(2)/25)*AV193+(1-EXP(-LN(2)/25))/(LN(2)/25)*Calculateur!AQ194*Calculateur!AS194*VLOOKUP('Données projet'!$B$10,Paramètres!$A$1:$I$89,3,0)*0.475*44/12</f>
        <v>5.1609943243150989</v>
      </c>
      <c r="AW194" s="21">
        <f>EXP(-LN(2)/2)*AW193+(1-EXP(-LN(2)/2))/(LN(2)/2)*AQ194*AT194*VLOOKUP('Données projet'!$B$10,Paramètres!$A$1:$I$89,3,0)*0.475*44/12</f>
        <v>5.3346383979675734E-9</v>
      </c>
      <c r="AX194" s="21">
        <f t="shared" si="166"/>
        <v>45.314077722579754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>
        <f>VLOOKUP(A194,'Données projet'!$A$87:$I$107,2,0)</f>
        <v>145.01</v>
      </c>
      <c r="BB194" s="12">
        <f>VLOOKUP(A194,'Données projet'!$A$87:$I$107,9,0)</f>
        <v>1.9733333333333292</v>
      </c>
      <c r="BC194" s="12">
        <f t="array" ref="BC194">INDEX(BB:BB,MIN(IF(ISNUMBER(BB194:BB390),ROW(BB194:BB390),"")))</f>
        <v>1.9733333333333292</v>
      </c>
      <c r="BD194" s="12">
        <f>IF('Données projet'!$A$88&gt;35,BD193+BC194-BL193,IF(A194&lt;'Données projet'!$A$88,$BA$205^A194,IF(A194='Données projet'!$A$88,'Données projet'!$B$88,BD193+BC194-BL193)))</f>
        <v>145.00999999999971</v>
      </c>
      <c r="BE194" s="13">
        <f>BD194*VLOOKUP('Données projet'!$B$11,Paramètres!$A$1:$I$89,3,0)*VLOOKUP('Données projet'!$B$11,Paramètres!$A$1:$I$89,5,0)</f>
        <v>140.25367199999971</v>
      </c>
      <c r="BF194" s="13">
        <f t="shared" si="167"/>
        <v>36.355112063878522</v>
      </c>
      <c r="BG194" s="20">
        <f t="shared" si="168"/>
        <v>307.59363224458792</v>
      </c>
      <c r="BH194" s="59">
        <f t="shared" si="116"/>
        <v>600.92696557792124</v>
      </c>
      <c r="BI194" s="59">
        <f ca="1">AVERAGE(OFFSET($BH$3,0,0,'Données projet'!$E$11+1,1))-AVERAGE(OFFSET($H$3,0,0,'Données projet'!$E$11+1,1))</f>
        <v>510.71380643466227</v>
      </c>
      <c r="BJ194" s="59">
        <f t="shared" si="146"/>
        <v>252.40654099948841</v>
      </c>
      <c r="BK194" s="15">
        <f>IF(ISNA(VLOOKUP(A194,'Données projet'!$A$87:$I$107,3,0)),0,VLOOKUP(A194,'Données projet'!$A$87:$I$107,3,0))</f>
        <v>16</v>
      </c>
      <c r="BL194" s="15">
        <f>IF(ISNA(VLOOKUP(A194,'Données projet'!$A$87:$I$107,4,0)),0,VLOOKUP(A194,'Données projet'!$A$87:$I$107,4,0))</f>
        <v>145.01</v>
      </c>
      <c r="BM194" s="16">
        <f>IF(ISNA(VLOOKUP(A194,'Données projet'!$A$87:$I$107,5,0)),0%,VLOOKUP(A194,'Données projet'!$A$87:$I$107,5,0)*VLOOKUP('Données projet'!$B$11,Paramètres!$A$1:$I$89,7,0))</f>
        <v>0.19350000000000001</v>
      </c>
      <c r="BN194" s="16">
        <f>IF(ISNA(VLOOKUP(A194,'Données projet'!$A$87:$I$107,6,0)),0%,VLOOKUP(A194,'Données projet'!$A$87:$I$107,6,0)*VLOOKUP('Données projet'!$B$11,Paramètres!$A$1:$I$89,7,0))</f>
        <v>2.1500000000000002E-2</v>
      </c>
      <c r="BO194" s="16">
        <f>IF(ISNA(VLOOKUP(A194,'Données projet'!$A$87:$I$107,7,0)),0%,VLOOKUP(A194,'Données projet'!$A$87:$I$107,7,0))</f>
        <v>0.05</v>
      </c>
      <c r="BP194" s="21">
        <f>EXP(-LN(2)/35)*BP193+(1-EXP(-LN(2)/35))/(LN(2)/35)*BL194*BM194*VLOOKUP('Données projet'!$B$11,Paramètres!$A$1:$I$89,3,0)*0.475*44/12</f>
        <v>128.82153017659905</v>
      </c>
      <c r="BQ194" s="21">
        <f>EXP(-LN(2)/25)*BQ193+(1-EXP(-LN(2)/25))/(LN(2)/25)*Calculateur!BL194*Calculateur!BN194*VLOOKUP('Données projet'!$B$11,Paramètres!$A$1:$I$89,3,0)*0.475*44/12</f>
        <v>40.610159683380083</v>
      </c>
      <c r="BR194" s="21">
        <f>EXP(-LN(2)/2)*BR193+(1-EXP(-LN(2)/2))/(LN(2)/2)*BL194*BO194*VLOOKUP('Données projet'!$B$11,Paramètres!$A$1:$I$89,3,0)*0.475*44/12</f>
        <v>6.6166561951005587</v>
      </c>
      <c r="BS194" s="22">
        <f t="shared" si="169"/>
        <v>176.04834605507969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293.33333333334951</v>
      </c>
      <c r="S195" s="59">
        <f ca="1">AVERAGE(OFFSET($R$3,0,0,'Données projet'!$E$9+1,1))-AVERAGE(OFFSET($H$3,0,0,'Données projet'!$E$9+1,1))</f>
        <v>635.71275911100679</v>
      </c>
      <c r="T195" s="59">
        <f t="shared" si="142"/>
        <v>281.7776857269169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2.5579538487363607E-13</v>
      </c>
      <c r="AJ195" s="13">
        <f>AI195*VLOOKUP('Données projet'!$B$10,Paramètres!$A$1:$I$89,3,0)*VLOOKUP('Données projet'!$B$10,Paramètres!$A$1:$I$89,5,0)</f>
        <v>2.7533815227798186E-13</v>
      </c>
      <c r="AK195" s="13">
        <f t="shared" si="164"/>
        <v>3.6763598146902537E-12</v>
      </c>
      <c r="AL195" s="20">
        <f t="shared" si="165"/>
        <v>6.88254062580301E-12</v>
      </c>
      <c r="AM195" s="59">
        <f t="shared" si="113"/>
        <v>293.33333333334019</v>
      </c>
      <c r="AN195" s="59">
        <f ca="1">AVERAGE(OFFSET($AM$3,0,0,'Données projet'!$E$10+1,1))-AVERAGE(OFFSET($H$3,0,0,'Données projet'!$E$10+1,1))</f>
        <v>502.65044103360322</v>
      </c>
      <c r="AO195" s="59">
        <f t="shared" si="144"/>
        <v>321.65762891855167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39.365705918557246</v>
      </c>
      <c r="AV195" s="21">
        <f>EXP(-LN(2)/25)*AV194+(1-EXP(-LN(2)/25))/(LN(2)/25)*Calculateur!AQ195*Calculateur!AS195*VLOOKUP('Données projet'!$B$10,Paramètres!$A$1:$I$89,3,0)*0.475*44/12</f>
        <v>5.0198666631118067</v>
      </c>
      <c r="AW195" s="21">
        <f>EXP(-LN(2)/2)*AW194+(1-EXP(-LN(2)/2))/(LN(2)/2)*AQ195*AT195*VLOOKUP('Données projet'!$B$10,Paramètres!$A$1:$I$89,3,0)*0.475*44/12</f>
        <v>3.7721589863810114E-9</v>
      </c>
      <c r="AX195" s="21">
        <f t="shared" si="166"/>
        <v>44.38557258544121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-2.7489477361086758E-13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510.71380643466227</v>
      </c>
      <c r="BJ195" s="59">
        <f t="shared" si="146"/>
        <v>252.40654099948841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126.29541854321087</v>
      </c>
      <c r="BQ195" s="21">
        <f>EXP(-LN(2)/25)*BQ194+(1-EXP(-LN(2)/25))/(LN(2)/25)*Calculateur!BL195*Calculateur!BN195*VLOOKUP('Données projet'!$B$11,Paramètres!$A$1:$I$89,3,0)*0.475*44/12</f>
        <v>39.499672731242569</v>
      </c>
      <c r="BR195" s="21">
        <f>EXP(-LN(2)/2)*BR194+(1-EXP(-LN(2)/2))/(LN(2)/2)*BL195*BO195*VLOOKUP('Données projet'!$B$11,Paramètres!$A$1:$I$89,3,0)*0.475*44/12</f>
        <v>4.6786824643355853</v>
      </c>
      <c r="BS195" s="22">
        <f t="shared" si="169"/>
        <v>170.47377373878905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293.33333333334951</v>
      </c>
      <c r="S196" s="59">
        <f ca="1">AVERAGE(OFFSET($R$3,0,0,'Données projet'!$E$9+1,1))-AVERAGE(OFFSET($H$3,0,0,'Données projet'!$E$9+1,1))</f>
        <v>635.71275911100679</v>
      </c>
      <c r="T196" s="59">
        <f t="shared" si="142"/>
        <v>281.7776857269169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2.5579538487363607E-13</v>
      </c>
      <c r="AJ196" s="13">
        <f>AI196*VLOOKUP('Données projet'!$B$10,Paramètres!$A$1:$I$89,3,0)*VLOOKUP('Données projet'!$B$10,Paramètres!$A$1:$I$89,5,0)</f>
        <v>2.7533815227798186E-13</v>
      </c>
      <c r="AK196" s="13">
        <f t="shared" si="164"/>
        <v>3.6763598146902537E-12</v>
      </c>
      <c r="AL196" s="20">
        <f t="shared" si="165"/>
        <v>6.88254062580301E-12</v>
      </c>
      <c r="AM196" s="59">
        <f t="shared" ref="AM196:AM203" si="193">AL196+(AD196+AE196)*44/12</f>
        <v>293.33333333334019</v>
      </c>
      <c r="AN196" s="59">
        <f ca="1">AVERAGE(OFFSET($AM$3,0,0,'Données projet'!$E$10+1,1))-AVERAGE(OFFSET($H$3,0,0,'Données projet'!$E$10+1,1))</f>
        <v>502.65044103360322</v>
      </c>
      <c r="AO196" s="59">
        <f t="shared" si="144"/>
        <v>321.65762891855167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38.593768436204087</v>
      </c>
      <c r="AV196" s="21">
        <f>EXP(-LN(2)/25)*AV195+(1-EXP(-LN(2)/25))/(LN(2)/25)*Calculateur!AQ196*Calculateur!AS196*VLOOKUP('Données projet'!$B$10,Paramètres!$A$1:$I$89,3,0)*0.475*44/12</f>
        <v>4.8825981452256997</v>
      </c>
      <c r="AW196" s="21">
        <f>EXP(-LN(2)/2)*AW195+(1-EXP(-LN(2)/2))/(LN(2)/2)*AQ196*AT196*VLOOKUP('Données projet'!$B$10,Paramètres!$A$1:$I$89,3,0)*0.475*44/12</f>
        <v>2.6673191989837867E-9</v>
      </c>
      <c r="AX196" s="21">
        <f t="shared" si="166"/>
        <v>43.476366584097107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-2.7489477361086758E-13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510.71380643466227</v>
      </c>
      <c r="BJ196" s="59">
        <f t="shared" si="146"/>
        <v>252.40654099948841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123.81884241817748</v>
      </c>
      <c r="BQ196" s="21">
        <f>EXP(-LN(2)/25)*BQ195+(1-EXP(-LN(2)/25))/(LN(2)/25)*Calculateur!BL196*Calculateur!BN196*VLOOKUP('Données projet'!$B$11,Paramètres!$A$1:$I$89,3,0)*0.475*44/12</f>
        <v>38.419552103209227</v>
      </c>
      <c r="BR196" s="21">
        <f>EXP(-LN(2)/2)*BR195+(1-EXP(-LN(2)/2))/(LN(2)/2)*BL196*BO196*VLOOKUP('Données projet'!$B$11,Paramètres!$A$1:$I$89,3,0)*0.475*44/12</f>
        <v>3.3083280975502798</v>
      </c>
      <c r="BS196" s="22">
        <f t="shared" si="169"/>
        <v>165.546722618937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293.33333333334951</v>
      </c>
      <c r="S197" s="59">
        <f ca="1">AVERAGE(OFFSET($R$3,0,0,'Données projet'!$E$9+1,1))-AVERAGE(OFFSET($H$3,0,0,'Données projet'!$E$9+1,1))</f>
        <v>635.71275911100679</v>
      </c>
      <c r="T197" s="59">
        <f t="shared" ref="T197:T203" si="204">$T$3</f>
        <v>281.7776857269169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2.5579538487363607E-13</v>
      </c>
      <c r="AJ197" s="13">
        <f>AI197*VLOOKUP('Données projet'!$B$10,Paramètres!$A$1:$I$89,3,0)*VLOOKUP('Données projet'!$B$10,Paramètres!$A$1:$I$89,5,0)</f>
        <v>2.7533815227798186E-13</v>
      </c>
      <c r="AK197" s="13">
        <f t="shared" si="164"/>
        <v>3.6763598146902537E-12</v>
      </c>
      <c r="AL197" s="20">
        <f t="shared" si="165"/>
        <v>6.88254062580301E-12</v>
      </c>
      <c r="AM197" s="59">
        <f t="shared" si="193"/>
        <v>293.33333333334019</v>
      </c>
      <c r="AN197" s="59">
        <f ca="1">AVERAGE(OFFSET($AM$3,0,0,'Données projet'!$E$10+1,1))-AVERAGE(OFFSET($H$3,0,0,'Données projet'!$E$10+1,1))</f>
        <v>502.65044103360322</v>
      </c>
      <c r="AO197" s="59">
        <f t="shared" ref="AO197:AO203" si="205">$AO$3</f>
        <v>321.65762891855167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37.836968177044504</v>
      </c>
      <c r="AV197" s="21">
        <f>EXP(-LN(2)/25)*AV196+(1-EXP(-LN(2)/25))/(LN(2)/25)*Calculateur!AQ197*Calculateur!AS197*VLOOKUP('Données projet'!$B$10,Paramètres!$A$1:$I$89,3,0)*0.475*44/12</f>
        <v>4.7490832421798261</v>
      </c>
      <c r="AW197" s="21">
        <f>EXP(-LN(2)/2)*AW196+(1-EXP(-LN(2)/2))/(LN(2)/2)*AQ197*AT197*VLOOKUP('Données projet'!$B$10,Paramètres!$A$1:$I$89,3,0)*0.475*44/12</f>
        <v>1.8860794931905057E-9</v>
      </c>
      <c r="AX197" s="21">
        <f t="shared" si="166"/>
        <v>42.586051421110412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-2.7489477361086758E-13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510.71380643466227</v>
      </c>
      <c r="BJ197" s="59">
        <f t="shared" ref="BJ197:BJ203" si="206">$BJ$3</f>
        <v>252.40654099948841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121.39083044039371</v>
      </c>
      <c r="BQ197" s="21">
        <f>EXP(-LN(2)/25)*BQ196+(1-EXP(-LN(2)/25))/(LN(2)/25)*Calculateur!BL197*Calculateur!BN197*VLOOKUP('Données projet'!$B$11,Paramètres!$A$1:$I$89,3,0)*0.475*44/12</f>
        <v>37.368967430550533</v>
      </c>
      <c r="BR197" s="21">
        <f>EXP(-LN(2)/2)*BR196+(1-EXP(-LN(2)/2))/(LN(2)/2)*BL197*BO197*VLOOKUP('Données projet'!$B$11,Paramètres!$A$1:$I$89,3,0)*0.475*44/12</f>
        <v>2.3393412321677931</v>
      </c>
      <c r="BS197" s="22">
        <f t="shared" si="169"/>
        <v>161.09913910311204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293.33333333334951</v>
      </c>
      <c r="S198" s="59">
        <f ca="1">AVERAGE(OFFSET($R$3,0,0,'Données projet'!$E$9+1,1))-AVERAGE(OFFSET($H$3,0,0,'Données projet'!$E$9+1,1))</f>
        <v>635.71275911100679</v>
      </c>
      <c r="T198" s="59">
        <f t="shared" si="204"/>
        <v>281.7776857269169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2.5579538487363607E-13</v>
      </c>
      <c r="AJ198" s="13">
        <f>AI198*VLOOKUP('Données projet'!$B$10,Paramètres!$A$1:$I$89,3,0)*VLOOKUP('Données projet'!$B$10,Paramètres!$A$1:$I$89,5,0)</f>
        <v>2.7533815227798186E-13</v>
      </c>
      <c r="AK198" s="13">
        <f t="shared" si="164"/>
        <v>3.6763598146902537E-12</v>
      </c>
      <c r="AL198" s="20">
        <f t="shared" si="165"/>
        <v>6.88254062580301E-12</v>
      </c>
      <c r="AM198" s="59">
        <f t="shared" si="193"/>
        <v>293.33333333334019</v>
      </c>
      <c r="AN198" s="59">
        <f ca="1">AVERAGE(OFFSET($AM$3,0,0,'Données projet'!$E$10+1,1))-AVERAGE(OFFSET($H$3,0,0,'Données projet'!$E$10+1,1))</f>
        <v>502.65044103360322</v>
      </c>
      <c r="AO198" s="59">
        <f t="shared" si="205"/>
        <v>321.65762891855167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37.095008309364459</v>
      </c>
      <c r="AV198" s="21">
        <f>EXP(-LN(2)/25)*AV197+(1-EXP(-LN(2)/25))/(LN(2)/25)*Calculateur!AQ198*Calculateur!AS198*VLOOKUP('Données projet'!$B$10,Paramètres!$A$1:$I$89,3,0)*0.475*44/12</f>
        <v>4.619219311178985</v>
      </c>
      <c r="AW198" s="21">
        <f>EXP(-LN(2)/2)*AW197+(1-EXP(-LN(2)/2))/(LN(2)/2)*AQ198*AT198*VLOOKUP('Données projet'!$B$10,Paramètres!$A$1:$I$89,3,0)*0.475*44/12</f>
        <v>1.3336595994918933E-9</v>
      </c>
      <c r="AX198" s="21">
        <f t="shared" si="166"/>
        <v>41.714227621877107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-2.7489477361086758E-13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510.71380643466227</v>
      </c>
      <c r="BJ198" s="59">
        <f t="shared" si="206"/>
        <v>252.40654099948841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119.01043029655321</v>
      </c>
      <c r="BQ198" s="21">
        <f>EXP(-LN(2)/25)*BQ197+(1-EXP(-LN(2)/25))/(LN(2)/25)*Calculateur!BL198*Calculateur!BN198*VLOOKUP('Données projet'!$B$11,Paramètres!$A$1:$I$89,3,0)*0.475*44/12</f>
        <v>36.347111051013542</v>
      </c>
      <c r="BR198" s="21">
        <f>EXP(-LN(2)/2)*BR197+(1-EXP(-LN(2)/2))/(LN(2)/2)*BL198*BO198*VLOOKUP('Données projet'!$B$11,Paramètres!$A$1:$I$89,3,0)*0.475*44/12</f>
        <v>1.6541640487751403</v>
      </c>
      <c r="BS198" s="22">
        <f t="shared" si="169"/>
        <v>157.01170539634188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293.33333333334951</v>
      </c>
      <c r="S199" s="59">
        <f ca="1">AVERAGE(OFFSET($R$3,0,0,'Données projet'!$E$9+1,1))-AVERAGE(OFFSET($H$3,0,0,'Données projet'!$E$9+1,1))</f>
        <v>635.71275911100679</v>
      </c>
      <c r="T199" s="59">
        <f t="shared" si="204"/>
        <v>281.7776857269169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2.5579538487363607E-13</v>
      </c>
      <c r="AJ199" s="13">
        <f>AI199*VLOOKUP('Données projet'!$B$10,Paramètres!$A$1:$I$89,3,0)*VLOOKUP('Données projet'!$B$10,Paramètres!$A$1:$I$89,5,0)</f>
        <v>2.7533815227798186E-13</v>
      </c>
      <c r="AK199" s="13">
        <f t="shared" si="164"/>
        <v>3.6763598146902537E-12</v>
      </c>
      <c r="AL199" s="20">
        <f t="shared" si="165"/>
        <v>6.88254062580301E-12</v>
      </c>
      <c r="AM199" s="59">
        <f t="shared" si="193"/>
        <v>293.33333333334019</v>
      </c>
      <c r="AN199" s="59">
        <f ca="1">AVERAGE(OFFSET($AM$3,0,0,'Données projet'!$E$10+1,1))-AVERAGE(OFFSET($H$3,0,0,'Données projet'!$E$10+1,1))</f>
        <v>502.65044103360322</v>
      </c>
      <c r="AO199" s="59">
        <f t="shared" si="205"/>
        <v>321.65762891855167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36.367597822138784</v>
      </c>
      <c r="AV199" s="21">
        <f>EXP(-LN(2)/25)*AV198+(1-EXP(-LN(2)/25))/(LN(2)/25)*Calculateur!AQ199*Calculateur!AS199*VLOOKUP('Données projet'!$B$10,Paramètres!$A$1:$I$89,3,0)*0.475*44/12</f>
        <v>4.4929065162006099</v>
      </c>
      <c r="AW199" s="21">
        <f>EXP(-LN(2)/2)*AW198+(1-EXP(-LN(2)/2))/(LN(2)/2)*AQ199*AT199*VLOOKUP('Données projet'!$B$10,Paramètres!$A$1:$I$89,3,0)*0.475*44/12</f>
        <v>9.4303974659525285E-10</v>
      </c>
      <c r="AX199" s="21">
        <f t="shared" si="166"/>
        <v>40.860504339282436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-2.7489477361086758E-13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510.71380643466227</v>
      </c>
      <c r="BJ199" s="59">
        <f t="shared" si="206"/>
        <v>252.40654099948841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116.6767083476327</v>
      </c>
      <c r="BQ199" s="21">
        <f>EXP(-LN(2)/25)*BQ198+(1-EXP(-LN(2)/25))/(LN(2)/25)*Calculateur!BL199*Calculateur!BN199*VLOOKUP('Données projet'!$B$11,Paramètres!$A$1:$I$89,3,0)*0.475*44/12</f>
        <v>35.353197387912076</v>
      </c>
      <c r="BR199" s="21">
        <f>EXP(-LN(2)/2)*BR198+(1-EXP(-LN(2)/2))/(LN(2)/2)*BL199*BO199*VLOOKUP('Données projet'!$B$11,Paramètres!$A$1:$I$89,3,0)*0.475*44/12</f>
        <v>1.1696706160838968</v>
      </c>
      <c r="BS199" s="22">
        <f t="shared" si="169"/>
        <v>153.19957635162868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293.33333333334951</v>
      </c>
      <c r="S200" s="59">
        <f ca="1">AVERAGE(OFFSET($R$3,0,0,'Données projet'!$E$9+1,1))-AVERAGE(OFFSET($H$3,0,0,'Données projet'!$E$9+1,1))</f>
        <v>635.71275911100679</v>
      </c>
      <c r="T200" s="59">
        <f t="shared" si="204"/>
        <v>281.7776857269169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2.5579538487363607E-13</v>
      </c>
      <c r="AJ200" s="13">
        <f>AI200*VLOOKUP('Données projet'!$B$10,Paramètres!$A$1:$I$89,3,0)*VLOOKUP('Données projet'!$B$10,Paramètres!$A$1:$I$89,5,0)</f>
        <v>2.7533815227798186E-13</v>
      </c>
      <c r="AK200" s="13">
        <f t="shared" si="164"/>
        <v>3.6763598146902537E-12</v>
      </c>
      <c r="AL200" s="20">
        <f t="shared" si="165"/>
        <v>6.88254062580301E-12</v>
      </c>
      <c r="AM200" s="59">
        <f t="shared" si="193"/>
        <v>293.33333333334019</v>
      </c>
      <c r="AN200" s="59">
        <f ca="1">AVERAGE(OFFSET($AM$3,0,0,'Données projet'!$E$10+1,1))-AVERAGE(OFFSET($H$3,0,0,'Données projet'!$E$10+1,1))</f>
        <v>502.65044103360322</v>
      </c>
      <c r="AO200" s="59">
        <f t="shared" si="205"/>
        <v>321.65762891855167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35.654451410891021</v>
      </c>
      <c r="AV200" s="21">
        <f>EXP(-LN(2)/25)*AV199+(1-EXP(-LN(2)/25))/(LN(2)/25)*Calculateur!AQ200*Calculateur!AS200*VLOOKUP('Données projet'!$B$10,Paramètres!$A$1:$I$89,3,0)*0.475*44/12</f>
        <v>4.370047751243419</v>
      </c>
      <c r="AW200" s="21">
        <f>EXP(-LN(2)/2)*AW199+(1-EXP(-LN(2)/2))/(LN(2)/2)*AQ200*AT200*VLOOKUP('Données projet'!$B$10,Paramètres!$A$1:$I$89,3,0)*0.475*44/12</f>
        <v>6.6682979974594667E-10</v>
      </c>
      <c r="AX200" s="21">
        <f t="shared" si="166"/>
        <v>40.02449916280127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-2.7489477361086758E-13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510.71380643466227</v>
      </c>
      <c r="BJ200" s="59">
        <f t="shared" si="206"/>
        <v>252.40654099948841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114.38874926270067</v>
      </c>
      <c r="BQ200" s="21">
        <f>EXP(-LN(2)/25)*BQ199+(1-EXP(-LN(2)/25))/(LN(2)/25)*Calculateur!BL200*Calculateur!BN200*VLOOKUP('Données projet'!$B$11,Paramètres!$A$1:$I$89,3,0)*0.475*44/12</f>
        <v>34.386462346195771</v>
      </c>
      <c r="BR200" s="21">
        <f>EXP(-LN(2)/2)*BR199+(1-EXP(-LN(2)/2))/(LN(2)/2)*BL200*BO200*VLOOKUP('Données projet'!$B$11,Paramètres!$A$1:$I$89,3,0)*0.475*44/12</f>
        <v>0.82708202438757028</v>
      </c>
      <c r="BS200" s="22">
        <f t="shared" si="169"/>
        <v>149.60229363328401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293.33333333334951</v>
      </c>
      <c r="S201" s="59">
        <f ca="1">AVERAGE(OFFSET($R$3,0,0,'Données projet'!$E$9+1,1))-AVERAGE(OFFSET($H$3,0,0,'Données projet'!$E$9+1,1))</f>
        <v>635.71275911100679</v>
      </c>
      <c r="T201" s="59">
        <f t="shared" si="204"/>
        <v>281.7776857269169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2.5579538487363607E-13</v>
      </c>
      <c r="AJ201" s="13">
        <f>AI201*VLOOKUP('Données projet'!$B$10,Paramètres!$A$1:$I$89,3,0)*VLOOKUP('Données projet'!$B$10,Paramètres!$A$1:$I$89,5,0)</f>
        <v>2.7533815227798186E-13</v>
      </c>
      <c r="AK201" s="13">
        <f t="shared" si="164"/>
        <v>3.6763598146902537E-12</v>
      </c>
      <c r="AL201" s="20">
        <f t="shared" si="165"/>
        <v>6.88254062580301E-12</v>
      </c>
      <c r="AM201" s="59">
        <f t="shared" si="193"/>
        <v>293.33333333334019</v>
      </c>
      <c r="AN201" s="59">
        <f ca="1">AVERAGE(OFFSET($AM$3,0,0,'Données projet'!$E$10+1,1))-AVERAGE(OFFSET($H$3,0,0,'Données projet'!$E$10+1,1))</f>
        <v>502.65044103360322</v>
      </c>
      <c r="AO201" s="59">
        <f t="shared" si="205"/>
        <v>321.65762891855167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34.955289365791465</v>
      </c>
      <c r="AV201" s="21">
        <f>EXP(-LN(2)/25)*AV200+(1-EXP(-LN(2)/25))/(LN(2)/25)*Calculateur!AQ201*Calculateur!AS201*VLOOKUP('Données projet'!$B$10,Paramètres!$A$1:$I$89,3,0)*0.475*44/12</f>
        <v>4.2505485656748441</v>
      </c>
      <c r="AW201" s="21">
        <f>EXP(-LN(2)/2)*AW200+(1-EXP(-LN(2)/2))/(LN(2)/2)*AQ201*AT201*VLOOKUP('Données projet'!$B$10,Paramètres!$A$1:$I$89,3,0)*0.475*44/12</f>
        <v>4.7151987329762642E-10</v>
      </c>
      <c r="AX201" s="21">
        <f t="shared" si="166"/>
        <v>39.205837931937829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-2.7489477361086758E-13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510.71380643466227</v>
      </c>
      <c r="BJ201" s="59">
        <f t="shared" si="206"/>
        <v>252.40654099948841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112.14565565990692</v>
      </c>
      <c r="BQ201" s="21">
        <f>EXP(-LN(2)/25)*BQ200+(1-EXP(-LN(2)/25))/(LN(2)/25)*Calculateur!BL201*Calculateur!BN201*VLOOKUP('Données projet'!$B$11,Paramètres!$A$1:$I$89,3,0)*0.475*44/12</f>
        <v>33.446162725033581</v>
      </c>
      <c r="BR201" s="21">
        <f>EXP(-LN(2)/2)*BR200+(1-EXP(-LN(2)/2))/(LN(2)/2)*BL201*BO201*VLOOKUP('Données projet'!$B$11,Paramètres!$A$1:$I$89,3,0)*0.475*44/12</f>
        <v>0.5848353080419485</v>
      </c>
      <c r="BS201" s="22">
        <f t="shared" si="169"/>
        <v>146.17665369298246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293.33333333334951</v>
      </c>
      <c r="S202" s="59">
        <f ca="1">AVERAGE(OFFSET($R$3,0,0,'Données projet'!$E$9+1,1))-AVERAGE(OFFSET($H$3,0,0,'Données projet'!$E$9+1,1))</f>
        <v>635.71275911100679</v>
      </c>
      <c r="T202" s="59">
        <f t="shared" si="204"/>
        <v>281.7776857269169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2.5579538487363607E-13</v>
      </c>
      <c r="AJ202" s="13">
        <f>AI202*VLOOKUP('Données projet'!$B$10,Paramètres!$A$1:$I$89,3,0)*VLOOKUP('Données projet'!$B$10,Paramètres!$A$1:$I$89,5,0)</f>
        <v>2.7533815227798186E-13</v>
      </c>
      <c r="AK202" s="13">
        <f t="shared" si="164"/>
        <v>3.6763598146902537E-12</v>
      </c>
      <c r="AL202" s="20">
        <f t="shared" si="165"/>
        <v>6.88254062580301E-12</v>
      </c>
      <c r="AM202" s="59">
        <f t="shared" si="193"/>
        <v>293.33333333334019</v>
      </c>
      <c r="AN202" s="59">
        <f ca="1">AVERAGE(OFFSET($AM$3,0,0,'Données projet'!$E$10+1,1))-AVERAGE(OFFSET($H$3,0,0,'Données projet'!$E$10+1,1))</f>
        <v>502.65044103360322</v>
      </c>
      <c r="AO202" s="59">
        <f t="shared" si="205"/>
        <v>321.65762891855167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34.269837461949571</v>
      </c>
      <c r="AV202" s="21">
        <f>EXP(-LN(2)/25)*AV201+(1-EXP(-LN(2)/25))/(LN(2)/25)*Calculateur!AQ202*Calculateur!AS202*VLOOKUP('Données projet'!$B$10,Paramètres!$A$1:$I$89,3,0)*0.475*44/12</f>
        <v>4.1343170916198311</v>
      </c>
      <c r="AW202" s="21">
        <f>EXP(-LN(2)/2)*AW201+(1-EXP(-LN(2)/2))/(LN(2)/2)*AQ202*AT202*VLOOKUP('Données projet'!$B$10,Paramètres!$A$1:$I$89,3,0)*0.475*44/12</f>
        <v>3.3341489987297334E-10</v>
      </c>
      <c r="AX202" s="21">
        <f t="shared" si="166"/>
        <v>38.404154553902814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-2.7489477361086758E-13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510.71380643466227</v>
      </c>
      <c r="BJ202" s="59">
        <f t="shared" si="206"/>
        <v>252.40654099948841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109.94654775451195</v>
      </c>
      <c r="BQ202" s="21">
        <f>EXP(-LN(2)/25)*BQ201+(1-EXP(-LN(2)/25))/(LN(2)/25)*Calculateur!BL202*Calculateur!BN202*VLOOKUP('Données projet'!$B$11,Paramètres!$A$1:$I$89,3,0)*0.475*44/12</f>
        <v>32.531575646460283</v>
      </c>
      <c r="BR202" s="21">
        <f>EXP(-LN(2)/2)*BR201+(1-EXP(-LN(2)/2))/(LN(2)/2)*BL202*BO202*VLOOKUP('Données projet'!$B$11,Paramètres!$A$1:$I$89,3,0)*0.475*44/12</f>
        <v>0.4135410121937852</v>
      </c>
      <c r="BS202" s="22">
        <f t="shared" si="169"/>
        <v>142.89166441316601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293.33333333334951</v>
      </c>
      <c r="S203" s="59">
        <f ca="1">AVERAGE(OFFSET($R$3,0,0,'Données projet'!$E$9+1,1))-AVERAGE(OFFSET($H$3,0,0,'Données projet'!$E$9+1,1))</f>
        <v>635.71275911100679</v>
      </c>
      <c r="T203" s="59">
        <f t="shared" si="204"/>
        <v>281.7776857269169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2.5579538487363607E-13</v>
      </c>
      <c r="AJ203" s="13">
        <f>AI203*VLOOKUP('Données projet'!$B$10,Paramètres!$A$1:$I$89,3,0)*VLOOKUP('Données projet'!$B$10,Paramètres!$A$1:$I$89,5,0)</f>
        <v>2.7533815227798186E-13</v>
      </c>
      <c r="AK203" s="13">
        <f t="shared" si="164"/>
        <v>3.6763598146902537E-12</v>
      </c>
      <c r="AL203" s="20">
        <f t="shared" si="165"/>
        <v>6.88254062580301E-12</v>
      </c>
      <c r="AM203" s="59">
        <f t="shared" si="193"/>
        <v>293.33333333334019</v>
      </c>
      <c r="AN203" s="59">
        <f ca="1">AVERAGE(OFFSET($AM$3,0,0,'Données projet'!$E$10+1,1))-AVERAGE(OFFSET($H$3,0,0,'Données projet'!$E$10+1,1))</f>
        <v>502.65044103360322</v>
      </c>
      <c r="AO203" s="59">
        <f t="shared" si="205"/>
        <v>321.65762891855167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33.59782685185764</v>
      </c>
      <c r="AV203" s="21">
        <f>EXP(-LN(2)/25)*AV202+(1-EXP(-LN(2)/25))/(LN(2)/25)*Calculateur!AQ203*Calculateur!AS203*VLOOKUP('Données projet'!$B$10,Paramètres!$A$1:$I$89,3,0)*0.475*44/12</f>
        <v>4.0212639733352002</v>
      </c>
      <c r="AW203" s="21">
        <f>EXP(-LN(2)/2)*AW202+(1-EXP(-LN(2)/2))/(LN(2)/2)*AQ203*AT203*VLOOKUP('Données projet'!$B$10,Paramètres!$A$1:$I$89,3,0)*0.475*44/12</f>
        <v>2.3575993664881321E-10</v>
      </c>
      <c r="AX203" s="21">
        <f t="shared" si="166"/>
        <v>37.6190908254286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-2.7489477361086758E-13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510.71380643466227</v>
      </c>
      <c r="BJ203" s="59">
        <f t="shared" si="206"/>
        <v>252.40654099948841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107.7905630138184</v>
      </c>
      <c r="BQ203" s="21">
        <f>EXP(-LN(2)/25)*BQ202+(1-EXP(-LN(2)/25))/(LN(2)/25)*Calculateur!BL203*Calculateur!BN203*VLOOKUP('Données projet'!$B$11,Paramètres!$A$1:$I$89,3,0)*0.475*44/12</f>
        <v>31.641997999646616</v>
      </c>
      <c r="BR203" s="21">
        <f>EXP(-LN(2)/2)*BR202+(1-EXP(-LN(2)/2))/(LN(2)/2)*BL203*BO203*VLOOKUP('Données projet'!$B$11,Paramètres!$A$1:$I$89,3,0)*0.475*44/12</f>
        <v>0.29241765402097425</v>
      </c>
      <c r="BS203" s="22">
        <f t="shared" si="169"/>
        <v>139.72497866748597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1.141469227569226</v>
      </c>
      <c r="BA205" s="82">
        <f>EXP(LN('Données projet'!B88)/'Données projet'!A88)</f>
        <v>1.0924684246274448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5" zoomScale="90" zoomScaleNormal="90" workbookViewId="0">
      <selection activeCell="O30" sqref="L25:O30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1.4220000000000002</v>
      </c>
      <c r="C6" s="147">
        <f ca="1">IF(OR('Données projet'!B9="",'Données projet'!C9="",'Données projet'!C9=0%),0,Calculateur!S3)</f>
        <v>635.71275911100679</v>
      </c>
      <c r="D6" s="147">
        <f>IF(OR('Données projet'!B9="",'Données projet'!C9="",'Données projet'!C9=0%),0,Calculateur!T3)</f>
        <v>281.7776857269169</v>
      </c>
      <c r="E6" s="147">
        <f ca="1">MIN(C6,D6)</f>
        <v>281.7776857269169</v>
      </c>
      <c r="F6" s="147">
        <f ca="1">E6*B6</f>
        <v>400.68786910367589</v>
      </c>
      <c r="G6" s="147">
        <f ca="1">F6*(100%-'Données projet'!$C$24)*(100%-'Données projet'!$C$25)*(100%-'Données projet'!$C$26)*(100%-'Données projet'!$C$27)</f>
        <v>360.61908219330832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360.61908219330832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Cormier</v>
      </c>
      <c r="B7" s="154">
        <f>'Données projet'!D10</f>
        <v>7.9000000000000015E-2</v>
      </c>
      <c r="C7" s="147">
        <f ca="1">IF(OR('Données projet'!B10="",'Données projet'!C10="",'Données projet'!C10=0%),0,Calculateur!AN3)</f>
        <v>502.65044103360322</v>
      </c>
      <c r="D7" s="147">
        <f>IF(OR('Données projet'!B10="",'Données projet'!C10="",'Données projet'!C10=0%),0,Calculateur!AO3)</f>
        <v>321.65762891855167</v>
      </c>
      <c r="E7" s="147">
        <f t="shared" ref="E7:E15" ca="1" si="0">MIN(C7,D7)</f>
        <v>321.65762891855167</v>
      </c>
      <c r="F7" s="147">
        <f t="shared" ref="F7:F15" ca="1" si="1">E7*B7</f>
        <v>25.410952684565586</v>
      </c>
      <c r="G7" s="147">
        <f ca="1">F7*(100%-'Données projet'!$C$24)*(100%-'Données projet'!$C$25)*(100%-'Données projet'!$C$26)*(100%-'Données projet'!$C$27)</f>
        <v>22.869857416109028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22.869857416109028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Alisier torminal</v>
      </c>
      <c r="B8" s="154">
        <f>'Données projet'!D11</f>
        <v>7.9000000000000015E-2</v>
      </c>
      <c r="C8" s="147">
        <f ca="1">IF(OR('Données projet'!B11="",'Données projet'!C11="",'Données projet'!C11=0%),0,Calculateur!BI3)</f>
        <v>510.71380643466227</v>
      </c>
      <c r="D8" s="147">
        <f>IF(OR('Données projet'!B11="",'Données projet'!C11="",'Données projet'!C11=0%),0,Calculateur!BJ3)</f>
        <v>252.40654099948841</v>
      </c>
      <c r="E8" s="147">
        <f t="shared" ca="1" si="0"/>
        <v>252.40654099948841</v>
      </c>
      <c r="F8" s="147">
        <f t="shared" ca="1" si="1"/>
        <v>19.940116738959588</v>
      </c>
      <c r="G8" s="147">
        <f ca="1">F8*(100%-'Données projet'!$C$24)*(100%-'Données projet'!$C$25)*(100%-'Données projet'!$C$26)*(100%-'Données projet'!$C$27)</f>
        <v>17.94610506506363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17.94610506506363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446.03893852720108</v>
      </c>
      <c r="G16" s="166">
        <f t="shared" ca="1" si="3"/>
        <v>401.43504467448099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401.43504467448099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Cormier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80" zoomScaleNormal="80" workbookViewId="0">
      <selection activeCell="J24" sqref="J24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1.4220000000000002</v>
      </c>
      <c r="V10" s="177">
        <f>U10*T10</f>
        <v>1225.3430230289673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Cormier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970.00791315646836</v>
      </c>
      <c r="U11" s="178">
        <f>'Données projet'!D10</f>
        <v>7.9000000000000015E-2</v>
      </c>
      <c r="V11" s="177">
        <f t="shared" ref="V11" si="0">U11*T11</f>
        <v>76.630625139361015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237.34533548272302</v>
      </c>
      <c r="U12" s="178">
        <f>'Données projet'!D11</f>
        <v>7.9000000000000015E-2</v>
      </c>
      <c r="V12" s="177">
        <f t="shared" ref="V12:V19" si="1">U12*T12</f>
        <v>18.75028150313512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5</v>
      </c>
      <c r="I23" s="191">
        <v>600</v>
      </c>
      <c r="J23" s="304">
        <f>SUM(I20:I23)*'Données projet'!C5</f>
        <v>9164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-7173.6660468738355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2899.3121490278149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299">
        <f ca="1">T23-T24</f>
        <v>-10072.978195901651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1835.0076892581105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Cormier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38</v>
      </c>
      <c r="B54" s="181">
        <f>'Données projet'!D62</f>
        <v>71.569999999999993</v>
      </c>
      <c r="C54" s="191">
        <v>15</v>
      </c>
      <c r="D54" s="179">
        <f>B54*C54</f>
        <v>1073.55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45</v>
      </c>
      <c r="B55" s="181">
        <f>'Données projet'!D63</f>
        <v>41.69</v>
      </c>
      <c r="C55" s="191">
        <v>15</v>
      </c>
      <c r="D55" s="179">
        <f t="shared" ref="D55:D73" si="4">B55*C55</f>
        <v>625.34999999999991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52</v>
      </c>
      <c r="B56" s="181">
        <f>'Données projet'!D64</f>
        <v>44.400000000000006</v>
      </c>
      <c r="C56" s="191">
        <v>30</v>
      </c>
      <c r="D56" s="179">
        <f t="shared" si="4"/>
        <v>1332.0000000000002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59</v>
      </c>
      <c r="B57" s="181">
        <f>'Données projet'!D65</f>
        <v>41.81</v>
      </c>
      <c r="C57" s="191">
        <v>30</v>
      </c>
      <c r="D57" s="179">
        <f t="shared" si="4"/>
        <v>1254.3000000000002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67</v>
      </c>
      <c r="B58" s="181">
        <f>'Données projet'!D66</f>
        <v>42.550000000000011</v>
      </c>
      <c r="C58" s="191">
        <v>30</v>
      </c>
      <c r="D58" s="179">
        <f t="shared" si="4"/>
        <v>1276.5000000000005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75</v>
      </c>
      <c r="B59" s="181">
        <f>'Données projet'!D67</f>
        <v>43.519999999999982</v>
      </c>
      <c r="C59" s="191">
        <v>30</v>
      </c>
      <c r="D59" s="179">
        <f t="shared" si="4"/>
        <v>1305.5999999999995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83</v>
      </c>
      <c r="B60" s="181">
        <f>'Données projet'!D68</f>
        <v>49.980000000000018</v>
      </c>
      <c r="C60" s="191">
        <v>30</v>
      </c>
      <c r="D60" s="179">
        <f t="shared" si="4"/>
        <v>1499.4000000000005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93</v>
      </c>
      <c r="B61" s="181">
        <f>'Données projet'!D69</f>
        <v>67.45999999999998</v>
      </c>
      <c r="C61" s="191">
        <v>90</v>
      </c>
      <c r="D61" s="179">
        <f t="shared" si="4"/>
        <v>6071.3999999999978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103</v>
      </c>
      <c r="B62" s="181">
        <f>'Données projet'!D70</f>
        <v>67.759999999999991</v>
      </c>
      <c r="C62" s="191">
        <v>90</v>
      </c>
      <c r="D62" s="179">
        <f t="shared" si="4"/>
        <v>6098.4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113</v>
      </c>
      <c r="B63" s="181">
        <f>'Données projet'!D71</f>
        <v>68.670000000000016</v>
      </c>
      <c r="C63" s="191">
        <v>90</v>
      </c>
      <c r="D63" s="179">
        <f t="shared" si="4"/>
        <v>6180.3000000000011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123</v>
      </c>
      <c r="B64" s="181">
        <f>'Données projet'!D72</f>
        <v>203.78999999999996</v>
      </c>
      <c r="C64" s="191">
        <v>120</v>
      </c>
      <c r="D64" s="179">
        <f t="shared" si="4"/>
        <v>24454.799999999996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125</v>
      </c>
      <c r="B65" s="181">
        <f>'Données projet'!D73</f>
        <v>70.609999999999985</v>
      </c>
      <c r="C65" s="191">
        <v>120</v>
      </c>
      <c r="D65" s="179">
        <f t="shared" si="4"/>
        <v>8473.1999999999989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127</v>
      </c>
      <c r="B66" s="181">
        <f>'Données projet'!D74</f>
        <v>46.039999999999992</v>
      </c>
      <c r="C66" s="191">
        <v>120</v>
      </c>
      <c r="D66" s="179">
        <f t="shared" si="4"/>
        <v>5524.7999999999993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130</v>
      </c>
      <c r="B67" s="181">
        <f>'Données projet'!D75</f>
        <v>112.75</v>
      </c>
      <c r="C67" s="191">
        <v>120</v>
      </c>
      <c r="D67" s="179">
        <f t="shared" si="4"/>
        <v>13530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60</v>
      </c>
      <c r="B85" s="181">
        <f>'Données projet'!D88</f>
        <v>72.87</v>
      </c>
      <c r="C85" s="191">
        <v>15</v>
      </c>
      <c r="D85" s="179">
        <f>B85*C85</f>
        <v>1093.0500000000002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69</v>
      </c>
      <c r="B86" s="181">
        <f>'Données projet'!D89</f>
        <v>42.22</v>
      </c>
      <c r="C86" s="191">
        <v>15</v>
      </c>
      <c r="D86" s="179">
        <f t="shared" ref="D86:D104" si="6">B86*C86</f>
        <v>633.29999999999995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77</v>
      </c>
      <c r="B87" s="181">
        <f>'Données projet'!D90</f>
        <v>33.950000000000017</v>
      </c>
      <c r="C87" s="191">
        <v>15</v>
      </c>
      <c r="D87" s="179">
        <f t="shared" si="6"/>
        <v>509.25000000000023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86</v>
      </c>
      <c r="B88" s="181">
        <f>'Données projet'!D91</f>
        <v>37.54000000000002</v>
      </c>
      <c r="C88" s="191">
        <v>38</v>
      </c>
      <c r="D88" s="179">
        <f t="shared" si="6"/>
        <v>1426.5200000000009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95</v>
      </c>
      <c r="B89" s="181">
        <f>'Données projet'!D92</f>
        <v>42.199999999999989</v>
      </c>
      <c r="C89" s="191">
        <v>38</v>
      </c>
      <c r="D89" s="179">
        <f t="shared" si="6"/>
        <v>1603.5999999999995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104</v>
      </c>
      <c r="B90" s="181">
        <f>'Données projet'!D93</f>
        <v>39.400000000000006</v>
      </c>
      <c r="C90" s="191">
        <v>38</v>
      </c>
      <c r="D90" s="179">
        <f t="shared" si="6"/>
        <v>1497.2000000000003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113</v>
      </c>
      <c r="B91" s="181">
        <f>'Données projet'!D94</f>
        <v>41.639999999999986</v>
      </c>
      <c r="C91" s="191">
        <v>38</v>
      </c>
      <c r="D91" s="179">
        <f t="shared" si="6"/>
        <v>1582.3199999999995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122</v>
      </c>
      <c r="B92" s="181">
        <f>'Données projet'!D95</f>
        <v>45.829999999999984</v>
      </c>
      <c r="C92" s="191">
        <v>38</v>
      </c>
      <c r="D92" s="179">
        <f t="shared" si="6"/>
        <v>1741.5399999999995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132</v>
      </c>
      <c r="B93" s="181">
        <f>'Données projet'!D96</f>
        <v>48.699999999999989</v>
      </c>
      <c r="C93" s="191">
        <v>38</v>
      </c>
      <c r="D93" s="179">
        <f t="shared" si="6"/>
        <v>1850.5999999999995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144</v>
      </c>
      <c r="B94" s="181">
        <f>'Données projet'!D97</f>
        <v>60.949999999999989</v>
      </c>
      <c r="C94" s="191">
        <v>38</v>
      </c>
      <c r="D94" s="179">
        <f t="shared" si="6"/>
        <v>2316.0999999999995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5.457531734410705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156</v>
      </c>
      <c r="B95" s="181">
        <f>'Données projet'!D98</f>
        <v>65.69</v>
      </c>
      <c r="C95" s="191">
        <v>90</v>
      </c>
      <c r="D95" s="179">
        <f t="shared" si="6"/>
        <v>5912.0999999999995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5.2225184061346486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168</v>
      </c>
      <c r="B96" s="181">
        <f>'Données projet'!D99</f>
        <v>71.37</v>
      </c>
      <c r="C96" s="191">
        <v>90</v>
      </c>
      <c r="D96" s="179">
        <f t="shared" si="6"/>
        <v>6423.3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4.9976252690283705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180</v>
      </c>
      <c r="B97" s="181">
        <f>'Données projet'!D100</f>
        <v>175.59000000000003</v>
      </c>
      <c r="C97" s="191">
        <v>90</v>
      </c>
      <c r="D97" s="179">
        <f t="shared" si="6"/>
        <v>15803.100000000002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4.7824165253860036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184</v>
      </c>
      <c r="B98" s="181">
        <f>'Données projet'!D101</f>
        <v>101.19999999999999</v>
      </c>
      <c r="C98" s="191">
        <v>90</v>
      </c>
      <c r="D98" s="179">
        <f t="shared" si="6"/>
        <v>9107.9999999999982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4.5764751439100513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188</v>
      </c>
      <c r="B99" s="181">
        <f>'Données projet'!D102</f>
        <v>72.180000000000007</v>
      </c>
      <c r="C99" s="191">
        <v>90</v>
      </c>
      <c r="D99" s="179">
        <f t="shared" si="6"/>
        <v>6496.2000000000007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4.379402051588567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191</v>
      </c>
      <c r="B100" s="181">
        <f>'Données projet'!D103</f>
        <v>145.01</v>
      </c>
      <c r="C100" s="191">
        <v>120</v>
      </c>
      <c r="D100" s="179">
        <f t="shared" si="6"/>
        <v>17401.199999999997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4.1908153603718343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4.0103496271500809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3.837655145598164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3.6723972685149904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3.5142557593444885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3.362924171621521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3.2181092551402117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3.0795303876939828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2.9469190312861078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2.8200182117570418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2.6985820208201354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2.5823751395408001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2.4711723823356939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2.3647582606083204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2.2629265651754262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2.1654799666750493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2.0722296331818657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1.9829948642888671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1.8976027409462841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1.8158877903792197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1.7376916654346599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1.6628628377365171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1.5912563040540835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1.5227333053149128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1.4571610577176197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1.3944124954235599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1.3343660243287654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1.2769052864390105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1.2219189343913972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1.1693004156855482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1.1189477662062666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1.0707634126375756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1.0246539833852397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A84ABA-1EC2-4E85-8894-E94CD37A7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2024-08-02T08:09:05Z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