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\\geddta1.cfbl.fr\ZenSolutions$\doc\24\200\Z00FIQ3H\"/>
    </mc:Choice>
  </mc:AlternateContent>
  <xr:revisionPtr revIDLastSave="0" documentId="13_ncr:1_{C12F4C9B-E5A2-471A-9D28-5F7DADE6DCBF}" xr6:coauthVersionLast="47" xr6:coauthVersionMax="47" xr10:uidLastSave="{00000000-0000-0000-0000-000000000000}"/>
  <bookViews>
    <workbookView xWindow="28680" yWindow="-1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W155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DH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EX167" i="2"/>
  <c r="EC167" i="2"/>
  <c r="HI167" i="2"/>
  <c r="EA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HH192" i="2"/>
  <c r="EC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HH201" i="2" l="1"/>
  <c r="HG201" i="2"/>
  <c r="EA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142" i="2" a="1"/>
  <c r="EI142" i="2" s="1"/>
  <c r="DN155" i="2" a="1"/>
  <c r="DN155" i="2" s="1"/>
  <c r="CS66" i="2" a="1"/>
  <c r="CS66" i="2" s="1"/>
  <c r="CS52" i="2" a="1"/>
  <c r="CS52" i="2" s="1"/>
  <c r="CS129" i="2" a="1"/>
  <c r="CS129" i="2" s="1"/>
  <c r="DN186" i="2" a="1"/>
  <c r="DN186" i="2" s="1"/>
  <c r="DN43" i="2" a="1"/>
  <c r="DN43" i="2" s="1"/>
  <c r="DN41" i="2" a="1"/>
  <c r="DN41" i="2" s="1"/>
  <c r="DN29" i="2" a="1"/>
  <c r="DN29" i="2" s="1"/>
  <c r="DN50" i="2" a="1"/>
  <c r="DN50" i="2" s="1"/>
  <c r="DN129" i="2" a="1"/>
  <c r="DN129" i="2" s="1"/>
  <c r="DN170" i="2" a="1"/>
  <c r="DN170" i="2" s="1"/>
  <c r="DN153" i="2" a="1"/>
  <c r="DN153" i="2" s="1"/>
  <c r="DN66" i="2" a="1"/>
  <c r="DN66" i="2" s="1"/>
  <c r="DN192" i="2" a="1"/>
  <c r="DN192" i="2" s="1"/>
  <c r="DN150" i="2" a="1"/>
  <c r="DN150" i="2" s="1"/>
  <c r="CS116" i="2" a="1"/>
  <c r="CS116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57" i="2" a="1"/>
  <c r="EI57" i="2" s="1"/>
  <c r="EI113" i="2" a="1"/>
  <c r="EI113" i="2" s="1"/>
  <c r="EI16" i="2" a="1"/>
  <c r="EI16" i="2" s="1"/>
  <c r="EI170" i="2" a="1"/>
  <c r="EI170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49" i="2" a="1"/>
  <c r="DN49" i="2" s="1"/>
  <c r="DN162" i="2" a="1"/>
  <c r="DN162" i="2" s="1"/>
  <c r="DN16" i="2" a="1"/>
  <c r="DN16" i="2" s="1"/>
  <c r="DN167" i="2" a="1"/>
  <c r="DN167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HJ202" i="2"/>
  <c r="EY202" i="2"/>
  <c r="AX200" i="2"/>
  <c r="AH163" i="2" l="1" a="1"/>
  <c r="AH163" i="2" s="1"/>
  <c r="AH199" i="2" a="1"/>
  <c r="AH199" i="2" s="1"/>
  <c r="FY72" i="2" a="1"/>
  <c r="FY72" i="2" s="1"/>
  <c r="FY109" i="2" a="1"/>
  <c r="FY109" i="2" s="1"/>
  <c r="FD167" i="2" a="1"/>
  <c r="FD167" i="2" s="1"/>
  <c r="FY99" i="2" a="1"/>
  <c r="FY99" i="2" s="1"/>
  <c r="FY79" i="2" a="1"/>
  <c r="FY79" i="2" s="1"/>
  <c r="EI109" i="2" a="1"/>
  <c r="EI109" i="2" s="1"/>
  <c r="FD187" i="2" a="1"/>
  <c r="FD187" i="2" s="1"/>
  <c r="EI178" i="2" a="1"/>
  <c r="EI178" i="2" s="1"/>
  <c r="FY143" i="2" a="1"/>
  <c r="FY143" i="2" s="1"/>
  <c r="FY47" i="2" a="1"/>
  <c r="FY47" i="2" s="1"/>
  <c r="DN164" i="2" a="1"/>
  <c r="DN164" i="2" s="1"/>
  <c r="EI20" i="2" a="1"/>
  <c r="EI20" i="2" s="1"/>
  <c r="EI38" i="2" a="1"/>
  <c r="EI38" i="2" s="1"/>
  <c r="DN63" i="2" a="1"/>
  <c r="DN63" i="2" s="1"/>
  <c r="FD194" i="2" a="1"/>
  <c r="FD194" i="2" s="1"/>
  <c r="FD43" i="2" a="1"/>
  <c r="FD43" i="2" s="1"/>
  <c r="FY121" i="2" a="1"/>
  <c r="FY121" i="2" s="1"/>
  <c r="FY182" i="2" a="1"/>
  <c r="FY182" i="2" s="1"/>
  <c r="DN188" i="2" a="1"/>
  <c r="DN188" i="2" s="1"/>
  <c r="DN113" i="2" a="1"/>
  <c r="DN113" i="2" s="1"/>
  <c r="DN137" i="2" a="1"/>
  <c r="DN137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07" i="2" a="1"/>
  <c r="FD107" i="2" s="1"/>
  <c r="FY34" i="2" a="1"/>
  <c r="FY34" i="2" s="1"/>
  <c r="FY66" i="2" a="1"/>
  <c r="FY66" i="2" s="1"/>
  <c r="FY164" i="2" a="1"/>
  <c r="FY164" i="2" s="1"/>
  <c r="FY159" i="2" a="1"/>
  <c r="FY159" i="2" s="1"/>
  <c r="FD60" i="2" a="1"/>
  <c r="FD60" i="2" s="1"/>
  <c r="FY178" i="2" a="1"/>
  <c r="FY178" i="2" s="1"/>
  <c r="FY32" i="2" a="1"/>
  <c r="FY32" i="2" s="1"/>
  <c r="DN30" i="2" a="1"/>
  <c r="DN30" i="2" s="1"/>
  <c r="DN135" i="2" a="1"/>
  <c r="DN135" i="2" s="1"/>
  <c r="EI35" i="2" a="1"/>
  <c r="EI35" i="2" s="1"/>
  <c r="EI34" i="2" a="1"/>
  <c r="EI34" i="2" s="1"/>
  <c r="FD19" i="2" a="1"/>
  <c r="FD19" i="2" s="1"/>
  <c r="FD64" i="2" a="1"/>
  <c r="FD64" i="2" s="1"/>
  <c r="FY167" i="2" a="1"/>
  <c r="FY167" i="2" s="1"/>
  <c r="FY115" i="2" a="1"/>
  <c r="FY115" i="2" s="1"/>
  <c r="DN86" i="2" a="1"/>
  <c r="DN86" i="2" s="1"/>
  <c r="DN25" i="2" a="1"/>
  <c r="DN2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42" i="2" a="1"/>
  <c r="FY42" i="2" s="1"/>
  <c r="FY173" i="2" a="1"/>
  <c r="FY173" i="2" s="1"/>
  <c r="FY196" i="2" a="1"/>
  <c r="FY196" i="2" s="1"/>
  <c r="FY120" i="2" a="1"/>
  <c r="FY120" i="2" s="1"/>
  <c r="FY82" i="2" a="1"/>
  <c r="FY82" i="2" s="1"/>
  <c r="FY116" i="2" a="1"/>
  <c r="FY116" i="2" s="1"/>
  <c r="DN70" i="2" a="1"/>
  <c r="DN70" i="2" s="1"/>
  <c r="DN187" i="2" a="1"/>
  <c r="DN187" i="2" s="1"/>
  <c r="FD82" i="2" a="1"/>
  <c r="FD82" i="2" s="1"/>
  <c r="DN110" i="2" a="1"/>
  <c r="DN110" i="2" s="1"/>
  <c r="EI139" i="2" a="1"/>
  <c r="EI139" i="2" s="1"/>
  <c r="EI165" i="2" a="1"/>
  <c r="EI165" i="2" s="1"/>
  <c r="FD160" i="2" a="1"/>
  <c r="FD160" i="2" s="1"/>
  <c r="FD189" i="2" a="1"/>
  <c r="FD189" i="2" s="1"/>
  <c r="FY142" i="2" a="1"/>
  <c r="FY142" i="2" s="1"/>
  <c r="FY86" i="2" a="1"/>
  <c r="FY86" i="2" s="1"/>
  <c r="DN123" i="2" a="1"/>
  <c r="DN123" i="2" s="1"/>
  <c r="DN177" i="2" a="1"/>
  <c r="DN177" i="2" s="1"/>
  <c r="DN184" i="2" a="1"/>
  <c r="DN184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44" i="2" a="1"/>
  <c r="FD44" i="2" s="1"/>
  <c r="FY174" i="2" a="1"/>
  <c r="FY174" i="2" s="1"/>
  <c r="FY165" i="2" a="1"/>
  <c r="FY165" i="2" s="1"/>
  <c r="FD188" i="2" a="1"/>
  <c r="FD188" i="2" s="1"/>
  <c r="FY146" i="2" a="1"/>
  <c r="FY146" i="2" s="1"/>
  <c r="EI128" i="2" a="1"/>
  <c r="EI128" i="2" s="1"/>
  <c r="FD131" i="2" a="1"/>
  <c r="FD131" i="2" s="1"/>
  <c r="EI198" i="2" a="1"/>
  <c r="EI198" i="2" s="1"/>
  <c r="FY149" i="2" a="1"/>
  <c r="FY149" i="2" s="1"/>
  <c r="FY71" i="2" a="1"/>
  <c r="FY71" i="2" s="1"/>
  <c r="DN132" i="2" a="1"/>
  <c r="DN132" i="2" s="1"/>
  <c r="EI37" i="2" a="1"/>
  <c r="EI37" i="2" s="1"/>
  <c r="DN55" i="2" a="1"/>
  <c r="DN55" i="2" s="1"/>
  <c r="DN46" i="2" a="1"/>
  <c r="DN46" i="2" s="1"/>
  <c r="DN38" i="2" a="1"/>
  <c r="DN38" i="2" s="1"/>
  <c r="DN31" i="2" a="1"/>
  <c r="DN31" i="2" s="1"/>
  <c r="EI67" i="2" a="1"/>
  <c r="EI67" i="2" s="1"/>
  <c r="EI71" i="2" a="1"/>
  <c r="EI71" i="2" s="1"/>
  <c r="FD137" i="2" a="1"/>
  <c r="FD137" i="2" s="1"/>
  <c r="FD14" i="2" a="1"/>
  <c r="FD14" i="2" s="1"/>
  <c r="FY80" i="2" a="1"/>
  <c r="FY80" i="2" s="1"/>
  <c r="FY58" i="2" a="1"/>
  <c r="FY58" i="2" s="1"/>
  <c r="EI195" i="2" a="1"/>
  <c r="EI195" i="2" s="1"/>
  <c r="DN115" i="2" a="1"/>
  <c r="DN115" i="2" s="1"/>
  <c r="DN152" i="2" a="1"/>
  <c r="DN152" i="2" s="1"/>
  <c r="DN124" i="2" a="1"/>
  <c r="DN124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<sst xmlns="http://schemas.openxmlformats.org/spreadsheetml/2006/main" count="1172" uniqueCount="324">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</sst>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202.52745814509981</c:v>
                </c:pt>
                <c:pt idx="12">
                  <c:v>235.70707416481403</c:v>
                </c:pt>
                <c:pt idx="13">
                  <c:v>268.78003756948306</c:v>
                </c:pt>
                <c:pt idx="14">
                  <c:v>301.76131730306923</c:v>
                </c:pt>
                <c:pt idx="15">
                  <c:v>334.66233736464409</c:v>
                </c:pt>
                <c:pt idx="16">
                  <c:v>308.34762462686348</c:v>
                </c:pt>
                <c:pt idx="17">
                  <c:v>338.14166327303155</c:v>
                </c:pt>
                <c:pt idx="18">
                  <c:v>367.87792895100188</c:v>
                </c:pt>
                <c:pt idx="19">
                  <c:v>397.56174311317318</c:v>
                </c:pt>
                <c:pt idx="20">
                  <c:v>427.19756804132595</c:v>
                </c:pt>
                <c:pt idx="21">
                  <c:v>407.95878231757439</c:v>
                </c:pt>
                <c:pt idx="22">
                  <c:v>432.96552861089231</c:v>
                </c:pt>
                <c:pt idx="23">
                  <c:v>457.94126927057505</c:v>
                </c:pt>
                <c:pt idx="24">
                  <c:v>482.8879313845502</c:v>
                </c:pt>
                <c:pt idx="25">
                  <c:v>507.80722686130622</c:v>
                </c:pt>
                <c:pt idx="26">
                  <c:v>493.62565905582687</c:v>
                </c:pt>
                <c:pt idx="27">
                  <c:v>513.93718925042367</c:v>
                </c:pt>
                <c:pt idx="28">
                  <c:v>534.23177896582104</c:v>
                </c:pt>
                <c:pt idx="29">
                  <c:v>554.51016178271277</c:v>
                </c:pt>
                <c:pt idx="30">
                  <c:v>574.77301329675242</c:v>
                </c:pt>
                <c:pt idx="31">
                  <c:v>564.45232939981622</c:v>
                </c:pt>
                <c:pt idx="32">
                  <c:v>580.88714383067816</c:v>
                </c:pt>
                <c:pt idx="33">
                  <c:v>597.31226449625308</c:v>
                </c:pt>
                <c:pt idx="34">
                  <c:v>613.72799533010232</c:v>
                </c:pt>
                <c:pt idx="35">
                  <c:v>630.13462269202159</c:v>
                </c:pt>
                <c:pt idx="36">
                  <c:v>623.64935210528506</c:v>
                </c:pt>
                <c:pt idx="37">
                  <c:v>638.1439351253598</c:v>
                </c:pt>
                <c:pt idx="38">
                  <c:v>652.63171873234603</c:v>
                </c:pt>
                <c:pt idx="39">
                  <c:v>667.11287504220138</c:v>
                </c:pt>
                <c:pt idx="40">
                  <c:v>681.58756809397687</c:v>
                </c:pt>
                <c:pt idx="41">
                  <c:v>678.54079353970121</c:v>
                </c:pt>
                <c:pt idx="42">
                  <c:v>692.6297932397805</c:v>
                </c:pt>
                <c:pt idx="43">
                  <c:v>706.71292251165823</c:v>
                </c:pt>
                <c:pt idx="44">
                  <c:v>720.7903147447181</c:v>
                </c:pt>
                <c:pt idx="45">
                  <c:v>734.86209769680136</c:v>
                </c:pt>
                <c:pt idx="46">
                  <c:v>5.3075956424674458E-12</c:v>
                </c:pt>
                <c:pt idx="47">
                  <c:v>5.3075956424674458E-12</c:v>
                </c:pt>
                <c:pt idx="48">
                  <c:v>5.3075956424674458E-12</c:v>
                </c:pt>
                <c:pt idx="49">
                  <c:v>5.3075956424674458E-12</c:v>
                </c:pt>
                <c:pt idx="50">
                  <c:v>5.3075956424674458E-12</c:v>
                </c:pt>
                <c:pt idx="51">
                  <c:v>5.3075956424674458E-12</c:v>
                </c:pt>
                <c:pt idx="52">
                  <c:v>5.3075956424674458E-12</c:v>
                </c:pt>
                <c:pt idx="53">
                  <c:v>5.3075956424674458E-12</c:v>
                </c:pt>
                <c:pt idx="54">
                  <c:v>5.3075956424674458E-12</c:v>
                </c:pt>
                <c:pt idx="55">
                  <c:v>5.3075956424674458E-12</c:v>
                </c:pt>
                <c:pt idx="56">
                  <c:v>5.3075956424674458E-12</c:v>
                </c:pt>
                <c:pt idx="57">
                  <c:v>5.3075956424674458E-12</c:v>
                </c:pt>
                <c:pt idx="58">
                  <c:v>5.3075956424674458E-12</c:v>
                </c:pt>
                <c:pt idx="59">
                  <c:v>5.3075956424674458E-12</c:v>
                </c:pt>
                <c:pt idx="60">
                  <c:v>5.3075956424674458E-12</c:v>
                </c:pt>
                <c:pt idx="61">
                  <c:v>5.3075956424674458E-12</c:v>
                </c:pt>
                <c:pt idx="62">
                  <c:v>5.3075956424674458E-12</c:v>
                </c:pt>
                <c:pt idx="63">
                  <c:v>5.3075956424674458E-12</c:v>
                </c:pt>
                <c:pt idx="64">
                  <c:v>5.3075956424674458E-12</c:v>
                </c:pt>
                <c:pt idx="65">
                  <c:v>5.3075956424674458E-12</c:v>
                </c:pt>
                <c:pt idx="66">
                  <c:v>5.3075956424674458E-12</c:v>
                </c:pt>
                <c:pt idx="67">
                  <c:v>5.3075956424674458E-12</c:v>
                </c:pt>
                <c:pt idx="68">
                  <c:v>5.3075956424674458E-12</c:v>
                </c:pt>
                <c:pt idx="69">
                  <c:v>5.3075956424674458E-12</c:v>
                </c:pt>
                <c:pt idx="70">
                  <c:v>5.3075956424674458E-12</c:v>
                </c:pt>
                <c:pt idx="71">
                  <c:v>5.3075956424674458E-12</c:v>
                </c:pt>
                <c:pt idx="72">
                  <c:v>5.3075956424674458E-12</c:v>
                </c:pt>
                <c:pt idx="73">
                  <c:v>5.3075956424674458E-12</c:v>
                </c:pt>
                <c:pt idx="74">
                  <c:v>5.3075956424674458E-12</c:v>
                </c:pt>
                <c:pt idx="75">
                  <c:v>5.3075956424674458E-12</c:v>
                </c:pt>
                <c:pt idx="76">
                  <c:v>5.3075956424674458E-12</c:v>
                </c:pt>
                <c:pt idx="77">
                  <c:v>5.3075956424674458E-12</c:v>
                </c:pt>
                <c:pt idx="78">
                  <c:v>5.3075956424674458E-12</c:v>
                </c:pt>
                <c:pt idx="79">
                  <c:v>5.3075956424674458E-12</c:v>
                </c:pt>
                <c:pt idx="80">
                  <c:v>5.3075956424674458E-12</c:v>
                </c:pt>
                <c:pt idx="81">
                  <c:v>5.3075956424674458E-12</c:v>
                </c:pt>
                <c:pt idx="82">
                  <c:v>5.3075956424674458E-12</c:v>
                </c:pt>
                <c:pt idx="83">
                  <c:v>5.3075956424674458E-12</c:v>
                </c:pt>
                <c:pt idx="84">
                  <c:v>5.3075956424674458E-12</c:v>
                </c:pt>
                <c:pt idx="85">
                  <c:v>5.3075956424674458E-12</c:v>
                </c:pt>
                <c:pt idx="86">
                  <c:v>5.3075956424674458E-12</c:v>
                </c:pt>
                <c:pt idx="87">
                  <c:v>5.3075956424674458E-12</c:v>
                </c:pt>
                <c:pt idx="88">
                  <c:v>5.3075956424674458E-12</c:v>
                </c:pt>
                <c:pt idx="89">
                  <c:v>5.3075956424674458E-12</c:v>
                </c:pt>
                <c:pt idx="90">
                  <c:v>5.3075956424674458E-12</c:v>
                </c:pt>
                <c:pt idx="91">
                  <c:v>5.3075956424674458E-12</c:v>
                </c:pt>
                <c:pt idx="92">
                  <c:v>5.3075956424674458E-12</c:v>
                </c:pt>
                <c:pt idx="93">
                  <c:v>5.3075956424674458E-12</c:v>
                </c:pt>
                <c:pt idx="94">
                  <c:v>5.3075956424674458E-12</c:v>
                </c:pt>
                <c:pt idx="95">
                  <c:v>5.3075956424674458E-12</c:v>
                </c:pt>
                <c:pt idx="96">
                  <c:v>5.3075956424674458E-12</c:v>
                </c:pt>
                <c:pt idx="97">
                  <c:v>5.3075956424674458E-12</c:v>
                </c:pt>
                <c:pt idx="98">
                  <c:v>5.3075956424674458E-12</c:v>
                </c:pt>
                <c:pt idx="99">
                  <c:v>5.3075956424674458E-12</c:v>
                </c:pt>
                <c:pt idx="100">
                  <c:v>5.3075956424674458E-12</c:v>
                </c:pt>
                <c:pt idx="101">
                  <c:v>5.3075956424674458E-12</c:v>
                </c:pt>
                <c:pt idx="102">
                  <c:v>5.3075956424674458E-12</c:v>
                </c:pt>
                <c:pt idx="103">
                  <c:v>5.3075956424674458E-12</c:v>
                </c:pt>
                <c:pt idx="104">
                  <c:v>5.3075956424674458E-12</c:v>
                </c:pt>
                <c:pt idx="105">
                  <c:v>5.3075956424674458E-12</c:v>
                </c:pt>
                <c:pt idx="106">
                  <c:v>5.3075956424674458E-12</c:v>
                </c:pt>
                <c:pt idx="107">
                  <c:v>5.3075956424674458E-12</c:v>
                </c:pt>
                <c:pt idx="108">
                  <c:v>5.3075956424674458E-12</c:v>
                </c:pt>
                <c:pt idx="109">
                  <c:v>5.3075956424674458E-12</c:v>
                </c:pt>
                <c:pt idx="110">
                  <c:v>5.3075956424674458E-12</c:v>
                </c:pt>
                <c:pt idx="111">
                  <c:v>5.3075956424674458E-12</c:v>
                </c:pt>
                <c:pt idx="112">
                  <c:v>5.3075956424674458E-12</c:v>
                </c:pt>
                <c:pt idx="113">
                  <c:v>5.3075956424674458E-12</c:v>
                </c:pt>
                <c:pt idx="114">
                  <c:v>5.3075956424674458E-12</c:v>
                </c:pt>
                <c:pt idx="115">
                  <c:v>5.3075956424674458E-12</c:v>
                </c:pt>
                <c:pt idx="116">
                  <c:v>5.3075956424674458E-12</c:v>
                </c:pt>
                <c:pt idx="117">
                  <c:v>5.3075956424674458E-12</c:v>
                </c:pt>
                <c:pt idx="118">
                  <c:v>5.3075956424674458E-12</c:v>
                </c:pt>
                <c:pt idx="119">
                  <c:v>5.3075956424674458E-12</c:v>
                </c:pt>
                <c:pt idx="120">
                  <c:v>5.3075956424674458E-12</c:v>
                </c:pt>
                <c:pt idx="121">
                  <c:v>5.3075956424674458E-12</c:v>
                </c:pt>
                <c:pt idx="122">
                  <c:v>5.3075956424674458E-12</c:v>
                </c:pt>
                <c:pt idx="123">
                  <c:v>5.3075956424674458E-12</c:v>
                </c:pt>
                <c:pt idx="124">
                  <c:v>5.3075956424674458E-12</c:v>
                </c:pt>
                <c:pt idx="125">
                  <c:v>5.3075956424674458E-12</c:v>
                </c:pt>
                <c:pt idx="126">
                  <c:v>5.3075956424674458E-12</c:v>
                </c:pt>
                <c:pt idx="127">
                  <c:v>5.3075956424674458E-12</c:v>
                </c:pt>
                <c:pt idx="128">
                  <c:v>5.3075956424674458E-12</c:v>
                </c:pt>
                <c:pt idx="129">
                  <c:v>5.3075956424674458E-12</c:v>
                </c:pt>
                <c:pt idx="130">
                  <c:v>5.3075956424674458E-12</c:v>
                </c:pt>
                <c:pt idx="131">
                  <c:v>5.3075956424674458E-12</c:v>
                </c:pt>
                <c:pt idx="132">
                  <c:v>5.3075956424674458E-12</c:v>
                </c:pt>
                <c:pt idx="133">
                  <c:v>5.3075956424674458E-12</c:v>
                </c:pt>
                <c:pt idx="134">
                  <c:v>5.3075956424674458E-12</c:v>
                </c:pt>
                <c:pt idx="135">
                  <c:v>5.3075956424674458E-12</c:v>
                </c:pt>
                <c:pt idx="136">
                  <c:v>5.3075956424674458E-12</c:v>
                </c:pt>
                <c:pt idx="137">
                  <c:v>5.3075956424674458E-12</c:v>
                </c:pt>
                <c:pt idx="138">
                  <c:v>5.3075956424674458E-12</c:v>
                </c:pt>
                <c:pt idx="139">
                  <c:v>5.3075956424674458E-12</c:v>
                </c:pt>
                <c:pt idx="140">
                  <c:v>5.3075956424674458E-12</c:v>
                </c:pt>
                <c:pt idx="141">
                  <c:v>5.3075956424674458E-12</c:v>
                </c:pt>
                <c:pt idx="142">
                  <c:v>5.3075956424674458E-12</c:v>
                </c:pt>
                <c:pt idx="143">
                  <c:v>5.3075956424674458E-12</c:v>
                </c:pt>
                <c:pt idx="144">
                  <c:v>5.3075956424674458E-12</c:v>
                </c:pt>
                <c:pt idx="145">
                  <c:v>5.3075956424674458E-12</c:v>
                </c:pt>
                <c:pt idx="146">
                  <c:v>5.3075956424674458E-12</c:v>
                </c:pt>
                <c:pt idx="147">
                  <c:v>5.3075956424674458E-12</c:v>
                </c:pt>
                <c:pt idx="148">
                  <c:v>5.3075956424674458E-12</c:v>
                </c:pt>
                <c:pt idx="149">
                  <c:v>5.3075956424674458E-12</c:v>
                </c:pt>
                <c:pt idx="150">
                  <c:v>5.3075956424674458E-12</c:v>
                </c:pt>
                <c:pt idx="151">
                  <c:v>5.3075956424674458E-12</c:v>
                </c:pt>
                <c:pt idx="152">
                  <c:v>5.3075956424674458E-12</c:v>
                </c:pt>
                <c:pt idx="153">
                  <c:v>5.3075956424674458E-12</c:v>
                </c:pt>
                <c:pt idx="154">
                  <c:v>5.3075956424674458E-12</c:v>
                </c:pt>
                <c:pt idx="155">
                  <c:v>5.3075956424674458E-12</c:v>
                </c:pt>
                <c:pt idx="156">
                  <c:v>5.3075956424674458E-12</c:v>
                </c:pt>
                <c:pt idx="157">
                  <c:v>5.3075956424674458E-12</c:v>
                </c:pt>
                <c:pt idx="158">
                  <c:v>5.3075956424674458E-12</c:v>
                </c:pt>
                <c:pt idx="159">
                  <c:v>5.3075956424674458E-12</c:v>
                </c:pt>
                <c:pt idx="160">
                  <c:v>5.3075956424674458E-12</c:v>
                </c:pt>
                <c:pt idx="161">
                  <c:v>5.3075956424674458E-12</c:v>
                </c:pt>
                <c:pt idx="162">
                  <c:v>5.3075956424674458E-12</c:v>
                </c:pt>
                <c:pt idx="163">
                  <c:v>5.3075956424674458E-12</c:v>
                </c:pt>
                <c:pt idx="164">
                  <c:v>5.3075956424674458E-12</c:v>
                </c:pt>
                <c:pt idx="165">
                  <c:v>5.3075956424674458E-12</c:v>
                </c:pt>
                <c:pt idx="166">
                  <c:v>5.3075956424674458E-12</c:v>
                </c:pt>
                <c:pt idx="167">
                  <c:v>5.3075956424674458E-12</c:v>
                </c:pt>
                <c:pt idx="168">
                  <c:v>5.3075956424674458E-12</c:v>
                </c:pt>
                <c:pt idx="169">
                  <c:v>5.3075956424674458E-12</c:v>
                </c:pt>
                <c:pt idx="170">
                  <c:v>5.3075956424674458E-12</c:v>
                </c:pt>
                <c:pt idx="171">
                  <c:v>5.3075956424674458E-12</c:v>
                </c:pt>
                <c:pt idx="172">
                  <c:v>5.3075956424674458E-12</c:v>
                </c:pt>
                <c:pt idx="173">
                  <c:v>5.3075956424674458E-12</c:v>
                </c:pt>
                <c:pt idx="174">
                  <c:v>5.3075956424674458E-12</c:v>
                </c:pt>
                <c:pt idx="175">
                  <c:v>5.3075956424674458E-12</c:v>
                </c:pt>
                <c:pt idx="176">
                  <c:v>5.3075956424674458E-12</c:v>
                </c:pt>
                <c:pt idx="177">
                  <c:v>5.3075956424674458E-12</c:v>
                </c:pt>
                <c:pt idx="178">
                  <c:v>5.3075956424674458E-12</c:v>
                </c:pt>
                <c:pt idx="179">
                  <c:v>5.3075956424674458E-12</c:v>
                </c:pt>
                <c:pt idx="180">
                  <c:v>5.3075956424674458E-12</c:v>
                </c:pt>
                <c:pt idx="181">
                  <c:v>5.3075956424674458E-12</c:v>
                </c:pt>
                <c:pt idx="182">
                  <c:v>5.3075956424674458E-12</c:v>
                </c:pt>
                <c:pt idx="183">
                  <c:v>5.3075956424674458E-12</c:v>
                </c:pt>
                <c:pt idx="184">
                  <c:v>5.3075956424674458E-12</c:v>
                </c:pt>
                <c:pt idx="185">
                  <c:v>5.3075956424674458E-12</c:v>
                </c:pt>
                <c:pt idx="186">
                  <c:v>5.3075956424674458E-12</c:v>
                </c:pt>
                <c:pt idx="187">
                  <c:v>5.3075956424674458E-12</c:v>
                </c:pt>
                <c:pt idx="188">
                  <c:v>5.3075956424674458E-12</c:v>
                </c:pt>
                <c:pt idx="189">
                  <c:v>5.3075956424674458E-12</c:v>
                </c:pt>
                <c:pt idx="190">
                  <c:v>5.3075956424674458E-12</c:v>
                </c:pt>
                <c:pt idx="191">
                  <c:v>5.3075956424674458E-12</c:v>
                </c:pt>
                <c:pt idx="192">
                  <c:v>5.3075956424674458E-12</c:v>
                </c:pt>
                <c:pt idx="193">
                  <c:v>5.3075956424674458E-12</c:v>
                </c:pt>
                <c:pt idx="194">
                  <c:v>5.3075956424674458E-12</c:v>
                </c:pt>
                <c:pt idx="195">
                  <c:v>5.3075956424674458E-12</c:v>
                </c:pt>
                <c:pt idx="196">
                  <c:v>5.3075956424674458E-12</c:v>
                </c:pt>
                <c:pt idx="197">
                  <c:v>5.3075956424674458E-12</c:v>
                </c:pt>
                <c:pt idx="198">
                  <c:v>5.3075956424674458E-12</c:v>
                </c:pt>
                <c:pt idx="199">
                  <c:v>5.3075956424674458E-12</c:v>
                </c:pt>
                <c:pt idx="200">
                  <c:v>5.3075956424674458E-12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I17" sqref="I1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2.33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44</v>
      </c>
      <c r="C9" s="32">
        <v>0.42</v>
      </c>
      <c r="D9" s="33">
        <f t="shared" ref="D9:D18" si="0">C9*$C$5</f>
        <v>0.97860000000000003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0.28999999999999998</v>
      </c>
      <c r="D10" s="33">
        <f t="shared" si="0"/>
        <v>0.67569999999999997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164</v>
      </c>
      <c r="C11" s="32">
        <v>0.28999999999999998</v>
      </c>
      <c r="D11" s="33">
        <f t="shared" si="0"/>
        <v>0.67569999999999997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2.33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Robinier faux-acacia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41</v>
      </c>
      <c r="C36" s="60">
        <v>1</v>
      </c>
      <c r="D36" s="60">
        <v>8</v>
      </c>
      <c r="E36" s="51"/>
      <c r="F36" s="51"/>
      <c r="G36" s="51"/>
      <c r="H36" s="51">
        <v>1</v>
      </c>
      <c r="I36" s="49">
        <f>IFERROR(B36/A36,"")</f>
        <v>8.1999999999999993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121</v>
      </c>
      <c r="C37" s="60">
        <v>2</v>
      </c>
      <c r="D37" s="60">
        <v>37</v>
      </c>
      <c r="E37" s="51"/>
      <c r="F37" s="51"/>
      <c r="G37" s="51">
        <v>0.2</v>
      </c>
      <c r="H37" s="51">
        <v>0.8</v>
      </c>
      <c r="I37" s="53">
        <f t="shared" ref="I37:I55" si="1">IF(A37&lt;&gt;0,(B37-(B36-D36))/(A37-A36),"")</f>
        <v>17.600000000000001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169</v>
      </c>
      <c r="C38" s="60">
        <v>3</v>
      </c>
      <c r="D38" s="60">
        <v>29</v>
      </c>
      <c r="E38" s="51"/>
      <c r="F38" s="51"/>
      <c r="G38" s="51">
        <v>0.5</v>
      </c>
      <c r="H38" s="51">
        <v>0.5</v>
      </c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217</v>
      </c>
      <c r="C39" s="60">
        <v>4</v>
      </c>
      <c r="D39" s="60">
        <v>23</v>
      </c>
      <c r="E39" s="51">
        <v>0.1</v>
      </c>
      <c r="F39" s="51"/>
      <c r="G39" s="51">
        <v>0.4</v>
      </c>
      <c r="H39" s="51">
        <v>0.5</v>
      </c>
      <c r="I39" s="49">
        <f t="shared" si="1"/>
        <v>15.4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259</v>
      </c>
      <c r="C40" s="60">
        <v>5</v>
      </c>
      <c r="D40" s="60">
        <v>18</v>
      </c>
      <c r="E40" s="51">
        <v>0.3</v>
      </c>
      <c r="F40" s="51"/>
      <c r="G40" s="51">
        <v>0.3</v>
      </c>
      <c r="H40" s="51">
        <v>0.4</v>
      </c>
      <c r="I40" s="49">
        <f t="shared" si="1"/>
        <v>13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30</v>
      </c>
      <c r="B41" s="60">
        <v>294</v>
      </c>
      <c r="C41" s="60">
        <v>6</v>
      </c>
      <c r="D41" s="60">
        <v>14</v>
      </c>
      <c r="E41" s="51">
        <v>0.3</v>
      </c>
      <c r="F41" s="51"/>
      <c r="G41" s="51">
        <v>0.3</v>
      </c>
      <c r="H41" s="51">
        <v>0.4</v>
      </c>
      <c r="I41" s="53">
        <f t="shared" si="1"/>
        <v>10.6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35</v>
      </c>
      <c r="B42" s="60">
        <v>323</v>
      </c>
      <c r="C42" s="60">
        <v>7</v>
      </c>
      <c r="D42" s="60">
        <v>11</v>
      </c>
      <c r="E42" s="51"/>
      <c r="F42" s="51"/>
      <c r="G42" s="51"/>
      <c r="H42" s="51"/>
      <c r="I42" s="53">
        <f t="shared" si="1"/>
        <v>8.6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40</v>
      </c>
      <c r="B43" s="60">
        <v>350</v>
      </c>
      <c r="C43" s="60">
        <v>8</v>
      </c>
      <c r="D43" s="60">
        <v>9</v>
      </c>
      <c r="E43" s="51"/>
      <c r="F43" s="51"/>
      <c r="G43" s="51"/>
      <c r="H43" s="51"/>
      <c r="I43" s="49">
        <f t="shared" si="1"/>
        <v>7.6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45</v>
      </c>
      <c r="B44" s="60">
        <v>378</v>
      </c>
      <c r="C44" s="60">
        <v>9</v>
      </c>
      <c r="D44" s="60">
        <v>378</v>
      </c>
      <c r="E44" s="51"/>
      <c r="F44" s="51"/>
      <c r="G44" s="51"/>
      <c r="H44" s="51"/>
      <c r="I44" s="49">
        <f t="shared" si="1"/>
        <v>7.4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123</v>
      </c>
      <c r="C62" s="60">
        <v>1</v>
      </c>
      <c r="D62" s="60">
        <v>16</v>
      </c>
      <c r="E62" s="51">
        <v>0.2</v>
      </c>
      <c r="F62" s="51">
        <v>0.2</v>
      </c>
      <c r="G62" s="51">
        <v>0.6</v>
      </c>
      <c r="H62" s="51"/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25</v>
      </c>
      <c r="B63" s="60">
        <v>144</v>
      </c>
      <c r="C63" s="60">
        <v>2</v>
      </c>
      <c r="D63" s="60">
        <v>17</v>
      </c>
      <c r="E63" s="51">
        <v>0.3</v>
      </c>
      <c r="F63" s="51">
        <v>0.4</v>
      </c>
      <c r="G63" s="51">
        <v>0.3</v>
      </c>
      <c r="H63" s="51"/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30</v>
      </c>
      <c r="B64" s="60">
        <v>194</v>
      </c>
      <c r="C64" s="60">
        <v>3</v>
      </c>
      <c r="D64" s="60">
        <v>34</v>
      </c>
      <c r="E64" s="51">
        <v>0.4</v>
      </c>
      <c r="F64" s="51">
        <v>0.3</v>
      </c>
      <c r="G64" s="51">
        <v>0.3</v>
      </c>
      <c r="H64" s="51"/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35</v>
      </c>
      <c r="B65" s="60">
        <v>233</v>
      </c>
      <c r="C65" s="60">
        <v>4</v>
      </c>
      <c r="D65" s="60">
        <v>41</v>
      </c>
      <c r="E65" s="51"/>
      <c r="F65" s="51"/>
      <c r="G65" s="51"/>
      <c r="H65" s="51"/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40</v>
      </c>
      <c r="B66" s="60">
        <v>264</v>
      </c>
      <c r="C66" s="60">
        <v>5</v>
      </c>
      <c r="D66" s="60">
        <v>41</v>
      </c>
      <c r="E66" s="51"/>
      <c r="F66" s="51"/>
      <c r="G66" s="51"/>
      <c r="H66" s="51"/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45</v>
      </c>
      <c r="B67" s="60">
        <v>318</v>
      </c>
      <c r="C67" s="60">
        <v>6</v>
      </c>
      <c r="D67" s="60">
        <v>53</v>
      </c>
      <c r="E67" s="51"/>
      <c r="F67" s="51"/>
      <c r="G67" s="51"/>
      <c r="H67" s="51"/>
      <c r="I67" s="49">
        <f t="shared" si="2"/>
        <v>19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50</v>
      </c>
      <c r="B68" s="60">
        <v>352</v>
      </c>
      <c r="C68" s="60">
        <v>7</v>
      </c>
      <c r="D68" s="60">
        <v>53</v>
      </c>
      <c r="E68" s="51"/>
      <c r="F68" s="51"/>
      <c r="G68" s="51"/>
      <c r="H68" s="51"/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58</v>
      </c>
      <c r="B69" s="50">
        <v>440</v>
      </c>
      <c r="C69" s="50">
        <v>8</v>
      </c>
      <c r="D69" s="50">
        <v>78</v>
      </c>
      <c r="E69" s="51"/>
      <c r="F69" s="51"/>
      <c r="G69" s="51"/>
      <c r="H69" s="51"/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66</v>
      </c>
      <c r="B70" s="50">
        <v>495</v>
      </c>
      <c r="C70" s="50">
        <v>9</v>
      </c>
      <c r="D70" s="50">
        <v>65</v>
      </c>
      <c r="E70" s="51"/>
      <c r="F70" s="51"/>
      <c r="G70" s="51"/>
      <c r="H70" s="51"/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74</v>
      </c>
      <c r="B71" s="50">
        <v>533</v>
      </c>
      <c r="C71" s="50">
        <v>10</v>
      </c>
      <c r="D71" s="50">
        <v>37</v>
      </c>
      <c r="E71" s="51"/>
      <c r="F71" s="51"/>
      <c r="G71" s="51"/>
      <c r="H71" s="51"/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82</v>
      </c>
      <c r="B72" s="50">
        <v>567</v>
      </c>
      <c r="C72" s="50">
        <v>11</v>
      </c>
      <c r="D72" s="50">
        <v>567</v>
      </c>
      <c r="E72" s="51"/>
      <c r="F72" s="51"/>
      <c r="G72" s="51"/>
      <c r="H72" s="51"/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158</v>
      </c>
      <c r="C88" s="60">
        <v>1</v>
      </c>
      <c r="D88" s="60">
        <v>39.5</v>
      </c>
      <c r="E88" s="51">
        <v>0.2</v>
      </c>
      <c r="F88" s="51">
        <v>0.2</v>
      </c>
      <c r="G88" s="51">
        <v>0.6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210.5</v>
      </c>
      <c r="C89" s="60">
        <v>2</v>
      </c>
      <c r="D89" s="60">
        <v>67</v>
      </c>
      <c r="E89" s="51">
        <v>0.3</v>
      </c>
      <c r="F89" s="51">
        <v>0.4</v>
      </c>
      <c r="G89" s="51">
        <v>0.3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243.5</v>
      </c>
      <c r="C90" s="60">
        <v>3</v>
      </c>
      <c r="D90" s="60">
        <v>70</v>
      </c>
      <c r="E90" s="87"/>
      <c r="F90" s="87"/>
      <c r="G90" s="87"/>
      <c r="H90" s="87"/>
      <c r="I90" s="53">
        <f t="shared" si="3"/>
        <v>10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288.5</v>
      </c>
      <c r="C91" s="60">
        <v>4</v>
      </c>
      <c r="D91" s="60">
        <v>75</v>
      </c>
      <c r="E91" s="87"/>
      <c r="F91" s="87"/>
      <c r="G91" s="87"/>
      <c r="H91" s="87"/>
      <c r="I91" s="53">
        <f t="shared" si="3"/>
        <v>11.5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348.5</v>
      </c>
      <c r="C92" s="60">
        <v>5</v>
      </c>
      <c r="D92" s="60">
        <v>80</v>
      </c>
      <c r="E92" s="87"/>
      <c r="F92" s="87"/>
      <c r="G92" s="87"/>
      <c r="H92" s="87"/>
      <c r="I92" s="53">
        <f t="shared" si="3"/>
        <v>13.5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423.5</v>
      </c>
      <c r="C93" s="60">
        <v>6</v>
      </c>
      <c r="D93" s="60">
        <v>87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506.5</v>
      </c>
      <c r="C94" s="60">
        <v>7</v>
      </c>
      <c r="D94" s="60">
        <v>93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588.5</v>
      </c>
      <c r="C95" s="60">
        <v>8</v>
      </c>
      <c r="D95" s="60">
        <v>98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675.5</v>
      </c>
      <c r="C96" s="60">
        <v>9</v>
      </c>
      <c r="D96" s="60">
        <v>675.5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4" sqref="C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/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Robinier faux-acacia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446.05900197653546</v>
      </c>
      <c r="T3" s="59">
        <f>IF('Données projet'!E9&gt;30,$R$33-$H$33,LOOKUP('Données projet'!$E$9,$A$3:$A$203,R3:R203)-LOOKUP('Données projet'!$E$9,$A$3:$A$203,$H$3:$H$203))</f>
        <v>630.54710489646106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394.69391436029986</v>
      </c>
      <c r="AO3" s="59">
        <f>IF('Données projet'!E10&gt;30,$AM$33-$H$33,LOOKUP('Données projet'!$E$10,$A$3:$A$203,AM3:AM203)-LOOKUP('Données projet'!$E$10,$A$3:$A$203,$H$3:$H$203))</f>
        <v>311.37245656657353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349.17860987804869</v>
      </c>
      <c r="BJ3" s="59">
        <f>IF('Données projet'!E11&gt;30,$BH$33-$H$33,LOOKUP('Données projet'!$E$11,$A$3:$A$203,BH3:BH203)-LOOKUP('Données projet'!$E$11,$A$3:$A$203,$H$3:$H$203))</f>
        <v>273.69433466447049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8.1999999999999993</v>
      </c>
      <c r="N4" s="13">
        <f>IF('Données projet'!$A$36&gt;35,N3+M4-V3,IF(A4&lt;'Données projet'!$A$36,$K$205^A4,IF(A4='Données projet'!$A$36,'Données projet'!$B$36,N3+M4-V3)))</f>
        <v>2.1016324782757847</v>
      </c>
      <c r="O4" s="13">
        <f>N4*VLOOKUP('Données projet'!$B$9,Paramètres!$A$1:$I$89,3,0)*VLOOKUP('Données projet'!$B$9,Paramètres!$A$1:$I$89,5,0)</f>
        <v>1.9015570663439298</v>
      </c>
      <c r="P4" s="13">
        <f>EXP(-1.0587+0.8836*LN(O4)+0.284)</f>
        <v>0.81315455339418119</v>
      </c>
      <c r="Q4" s="20">
        <f t="shared" ref="Q4:Q34" si="2">(O4+P4)*0.475*44/12</f>
        <v>4.7281227377105433</v>
      </c>
      <c r="R4" s="59">
        <f t="shared" si="0"/>
        <v>172.54055669063439</v>
      </c>
      <c r="S4" s="59">
        <f ca="1">AVERAGE(OFFSET($R$3,0,0,'Données projet'!$E$9+1,1))-AVERAGE(OFFSET($H$3,0,0,'Données projet'!$E$9+1,1))</f>
        <v>446.05900197653546</v>
      </c>
      <c r="T4" s="59">
        <f>$T$3</f>
        <v>630.54710489646106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169.72683149038636</v>
      </c>
      <c r="AN4" s="59">
        <f ca="1">AVERAGE(OFFSET($AM$3,0,0,'Données projet'!$E$10+1,1))-AVERAGE(OFFSET($H$3,0,0,'Données projet'!$E$10+1,1))</f>
        <v>394.69391436029986</v>
      </c>
      <c r="AO4" s="59">
        <f>$AO$3</f>
        <v>311.37245656657353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169.37551953033068</v>
      </c>
      <c r="BI4" s="59">
        <f ca="1">AVERAGE(OFFSET($BH$3,0,0,'Données projet'!$E$11+1,1))-AVERAGE(OFFSET($H$3,0,0,'Données projet'!$E$11+1,1))</f>
        <v>349.17860987804869</v>
      </c>
      <c r="BJ4" s="59">
        <f>$BJ$3</f>
        <v>273.69433466447049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8.1999999999999993</v>
      </c>
      <c r="N5" s="13">
        <f>IF('Données projet'!$A$36&gt;35,N4+M5-V4,IF(A5&lt;'Données projet'!$A$36,$K$205^A5,IF(A5='Données projet'!$A$36,'Données projet'!$B$36,N4+M5-V4)))</f>
        <v>4.4168590737436171</v>
      </c>
      <c r="O5" s="13">
        <f>N5*VLOOKUP('Données projet'!$B$9,Paramètres!$A$1:$I$89,3,0)*VLOOKUP('Données projet'!$B$9,Paramètres!$A$1:$I$89,5,0)</f>
        <v>3.9963740899232247</v>
      </c>
      <c r="P5" s="13">
        <f t="shared" ref="P5:P68" si="33">EXP(-1.0587+0.8836*LN(O5)+0.284)</f>
        <v>1.567415948479109</v>
      </c>
      <c r="Q5" s="20">
        <f t="shared" si="2"/>
        <v>9.6902676502173968</v>
      </c>
      <c r="R5" s="59">
        <f t="shared" si="0"/>
        <v>180.28754893771824</v>
      </c>
      <c r="S5" s="59">
        <f ca="1">AVERAGE(OFFSET($R$3,0,0,'Données projet'!$E$9+1,1))-AVERAGE(OFFSET($H$3,0,0,'Données projet'!$E$9+1,1))</f>
        <v>446.05900197653546</v>
      </c>
      <c r="T5" s="59">
        <f t="shared" ref="T5:T68" si="34">$T$3</f>
        <v>630.54710489646106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172.960411409861</v>
      </c>
      <c r="AN5" s="59">
        <f ca="1">AVERAGE(OFFSET($AM$3,0,0,'Données projet'!$E$10+1,1))-AVERAGE(OFFSET($H$3,0,0,'Données projet'!$E$10+1,1))</f>
        <v>394.69391436029986</v>
      </c>
      <c r="AO5" s="59">
        <f t="shared" ref="AO5:AO68" si="36">$AO$3</f>
        <v>311.37245656657353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172.59142186291126</v>
      </c>
      <c r="BI5" s="59">
        <f ca="1">AVERAGE(OFFSET($BH$3,0,0,'Données projet'!$E$11+1,1))-AVERAGE(OFFSET($H$3,0,0,'Données projet'!$E$11+1,1))</f>
        <v>349.17860987804869</v>
      </c>
      <c r="BJ5" s="59">
        <f t="shared" ref="BJ5:BJ68" si="38">$BJ$3</f>
        <v>273.69433466447049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8.1999999999999993</v>
      </c>
      <c r="N6" s="13">
        <f>IF('Données projet'!$A$36&gt;35,N5+M6-V5,IF(A6&lt;'Données projet'!$A$36,$K$205^A6,IF(A6='Données projet'!$A$36,'Données projet'!$B$36,N5+M6-V5)))</f>
        <v>9.282614481346684</v>
      </c>
      <c r="O6" s="13">
        <f>N6*VLOOKUP('Données projet'!$B$9,Paramètres!$A$1:$I$89,3,0)*VLOOKUP('Données projet'!$B$9,Paramètres!$A$1:$I$89,5,0)</f>
        <v>8.3989095827224798</v>
      </c>
      <c r="P6" s="13">
        <f t="shared" si="33"/>
        <v>3.0213109491815406</v>
      </c>
      <c r="Q6" s="20">
        <f t="shared" si="2"/>
        <v>19.890217426399502</v>
      </c>
      <c r="R6" s="59">
        <f t="shared" si="0"/>
        <v>193.2452379962844</v>
      </c>
      <c r="S6" s="59">
        <f ca="1">AVERAGE(OFFSET($R$3,0,0,'Données projet'!$E$9+1,1))-AVERAGE(OFFSET($H$3,0,0,'Données projet'!$E$9+1,1))</f>
        <v>446.05900197653546</v>
      </c>
      <c r="T6" s="59">
        <f t="shared" si="34"/>
        <v>630.54710489646106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176.27247539375691</v>
      </c>
      <c r="AN6" s="59">
        <f ca="1">AVERAGE(OFFSET($AM$3,0,0,'Données projet'!$E$10+1,1))-AVERAGE(OFFSET($H$3,0,0,'Données projet'!$E$10+1,1))</f>
        <v>394.69391436029986</v>
      </c>
      <c r="AO6" s="59">
        <f t="shared" si="36"/>
        <v>311.37245656657353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175.8995710767951</v>
      </c>
      <c r="BI6" s="59">
        <f ca="1">AVERAGE(OFFSET($BH$3,0,0,'Données projet'!$E$11+1,1))-AVERAGE(OFFSET($H$3,0,0,'Données projet'!$E$11+1,1))</f>
        <v>349.17860987804869</v>
      </c>
      <c r="BJ6" s="59">
        <f t="shared" si="38"/>
        <v>273.69433466447049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8.1999999999999993</v>
      </c>
      <c r="N7" s="13">
        <f>IF('Données projet'!$A$36&gt;35,N6+M7-V6,IF(A7&lt;'Données projet'!$A$36,$K$205^A7,IF(A7='Données projet'!$A$36,'Données projet'!$B$36,N6+M7-V6)))</f>
        <v>19.508644077311324</v>
      </c>
      <c r="O7" s="13">
        <f>N7*VLOOKUP('Données projet'!$B$9,Paramètres!$A$1:$I$89,3,0)*VLOOKUP('Données projet'!$B$9,Paramètres!$A$1:$I$89,5,0)</f>
        <v>17.651421161151287</v>
      </c>
      <c r="P7" s="13">
        <f t="shared" si="33"/>
        <v>5.8238018188481702</v>
      </c>
      <c r="Q7" s="20">
        <f t="shared" si="2"/>
        <v>40.886013356832393</v>
      </c>
      <c r="R7" s="59">
        <f t="shared" si="0"/>
        <v>216.97213542100934</v>
      </c>
      <c r="S7" s="59">
        <f ca="1">AVERAGE(OFFSET($R$3,0,0,'Données projet'!$E$9+1,1))-AVERAGE(OFFSET($H$3,0,0,'Données projet'!$E$9+1,1))</f>
        <v>446.05900197653546</v>
      </c>
      <c r="T7" s="59">
        <f t="shared" si="34"/>
        <v>630.54710489646106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179.68843191067771</v>
      </c>
      <c r="AN7" s="59">
        <f ca="1">AVERAGE(OFFSET($AM$3,0,0,'Données projet'!$E$10+1,1))-AVERAGE(OFFSET($H$3,0,0,'Données projet'!$E$10+1,1))</f>
        <v>394.69391436029986</v>
      </c>
      <c r="AO7" s="59">
        <f t="shared" si="36"/>
        <v>311.37245656657353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179.33361187542249</v>
      </c>
      <c r="BI7" s="59">
        <f ca="1">AVERAGE(OFFSET($BH$3,0,0,'Données projet'!$E$11+1,1))-AVERAGE(OFFSET($H$3,0,0,'Données projet'!$E$11+1,1))</f>
        <v>349.17860987804869</v>
      </c>
      <c r="BJ7" s="59">
        <f t="shared" si="38"/>
        <v>273.69433466447049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41</v>
      </c>
      <c r="L8" s="12">
        <f>VLOOKUP(A8,'Données projet'!$A$35:$I$55,9,0)</f>
        <v>8.1999999999999993</v>
      </c>
      <c r="M8" s="12">
        <f t="array" ref="M8">INDEX(L:L,MIN(IF(ISNUMBER(L8:L204),ROW(L8:L204),"")))</f>
        <v>8.1999999999999993</v>
      </c>
      <c r="N8" s="13">
        <f>IF('Données projet'!$A$36&gt;35,N7+M8-V7,IF(A8&lt;'Données projet'!$A$36,$K$205^A8,IF(A8='Données projet'!$A$36,'Données projet'!$B$36,N7+M8-V7)))</f>
        <v>41</v>
      </c>
      <c r="O8" s="13">
        <f>N8*VLOOKUP('Données projet'!$B$9,Paramètres!$A$1:$I$89,3,0)*VLOOKUP('Données projet'!$B$9,Paramètres!$A$1:$I$89,5,0)</f>
        <v>37.096799999999995</v>
      </c>
      <c r="P8" s="13">
        <f t="shared" si="33"/>
        <v>11.225811641270189</v>
      </c>
      <c r="Q8" s="20">
        <f t="shared" si="2"/>
        <v>84.161881941878903</v>
      </c>
      <c r="R8" s="59">
        <f t="shared" si="0"/>
        <v>262.95292981832625</v>
      </c>
      <c r="S8" s="59">
        <f ca="1">AVERAGE(OFFSET($R$3,0,0,'Données projet'!$E$9+1,1))-AVERAGE(OFFSET($H$3,0,0,'Données projet'!$E$9+1,1))</f>
        <v>446.05900197653546</v>
      </c>
      <c r="T8" s="59">
        <f t="shared" si="34"/>
        <v>630.54710489646106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8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183.23959123614566</v>
      </c>
      <c r="AN8" s="59">
        <f ca="1">AVERAGE(OFFSET($AM$3,0,0,'Données projet'!$E$10+1,1))-AVERAGE(OFFSET($H$3,0,0,'Données projet'!$E$10+1,1))</f>
        <v>394.69391436029986</v>
      </c>
      <c r="AO8" s="59">
        <f t="shared" si="36"/>
        <v>311.37245656657353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182.93643447861868</v>
      </c>
      <c r="BI8" s="59">
        <f ca="1">AVERAGE(OFFSET($BH$3,0,0,'Données projet'!$E$11+1,1))-AVERAGE(OFFSET($H$3,0,0,'Données projet'!$E$11+1,1))</f>
        <v>349.17860987804869</v>
      </c>
      <c r="BJ8" s="59">
        <f t="shared" si="38"/>
        <v>273.69433466447049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17.600000000000001</v>
      </c>
      <c r="N9" s="13">
        <f>IF('Données projet'!$A$36&gt;35,N8+M9-V8,IF(A9&lt;'Données projet'!$A$36,$K$205^A9,IF(A9='Données projet'!$A$36,'Données projet'!$B$36,N8+M9-V8)))</f>
        <v>50.6</v>
      </c>
      <c r="O9" s="13">
        <f>N9*VLOOKUP('Données projet'!$B$9,Paramètres!$A$1:$I$89,3,0)*VLOOKUP('Données projet'!$B$9,Paramètres!$A$1:$I$89,5,0)</f>
        <v>45.782879999999999</v>
      </c>
      <c r="P9" s="13">
        <f t="shared" si="33"/>
        <v>13.519148289060759</v>
      </c>
      <c r="Q9" s="20">
        <f t="shared" si="2"/>
        <v>103.28436593678082</v>
      </c>
      <c r="R9" s="59">
        <f t="shared" si="0"/>
        <v>284.75461803303978</v>
      </c>
      <c r="S9" s="59">
        <f ca="1">AVERAGE(OFFSET($R$3,0,0,'Données projet'!$E$9+1,1))-AVERAGE(OFFSET($H$3,0,0,'Données projet'!$E$9+1,1))</f>
        <v>446.05900197653546</v>
      </c>
      <c r="T9" s="59">
        <f t="shared" si="34"/>
        <v>630.54710489646106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186.96457061962562</v>
      </c>
      <c r="AN9" s="59">
        <f ca="1">AVERAGE(OFFSET($AM$3,0,0,'Données projet'!$E$10+1,1))-AVERAGE(OFFSET($H$3,0,0,'Données projet'!$E$10+1,1))</f>
        <v>394.69391436029986</v>
      </c>
      <c r="AO9" s="59">
        <f t="shared" si="36"/>
        <v>311.37245656657353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186.76276453247874</v>
      </c>
      <c r="BI9" s="59">
        <f ca="1">AVERAGE(OFFSET($BH$3,0,0,'Données projet'!$E$11+1,1))-AVERAGE(OFFSET($H$3,0,0,'Données projet'!$E$11+1,1))</f>
        <v>349.17860987804869</v>
      </c>
      <c r="BJ9" s="59">
        <f t="shared" si="38"/>
        <v>273.69433466447049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17.600000000000001</v>
      </c>
      <c r="N10" s="13">
        <f>IF('Données projet'!$A$36&gt;35,N9+M10-V9,IF(A10&lt;'Données projet'!$A$36,$K$205^A10,IF(A10='Données projet'!$A$36,'Données projet'!$B$36,N9+M10-V9)))</f>
        <v>68.2</v>
      </c>
      <c r="O10" s="13">
        <f>N10*VLOOKUP('Données projet'!$B$9,Paramètres!$A$1:$I$89,3,0)*VLOOKUP('Données projet'!$B$9,Paramètres!$A$1:$I$89,5,0)</f>
        <v>61.707360000000001</v>
      </c>
      <c r="P10" s="13">
        <f t="shared" si="33"/>
        <v>17.599235734890414</v>
      </c>
      <c r="Q10" s="20">
        <f t="shared" si="2"/>
        <v>138.12565423826746</v>
      </c>
      <c r="R10" s="59">
        <f t="shared" si="0"/>
        <v>322.24983517400369</v>
      </c>
      <c r="S10" s="59">
        <f ca="1">AVERAGE(OFFSET($R$3,0,0,'Données projet'!$E$9+1,1))-AVERAGE(OFFSET($H$3,0,0,'Données projet'!$E$9+1,1))</f>
        <v>446.05900197653546</v>
      </c>
      <c r="T10" s="59">
        <f t="shared" si="34"/>
        <v>630.54710489646106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190.91103445783983</v>
      </c>
      <c r="AN10" s="59">
        <f ca="1">AVERAGE(OFFSET($AM$3,0,0,'Données projet'!$E$10+1,1))-AVERAGE(OFFSET($H$3,0,0,'Données projet'!$E$10+1,1))</f>
        <v>394.69391436029986</v>
      </c>
      <c r="AO10" s="59">
        <f t="shared" si="36"/>
        <v>311.37245656657353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190.88248001211113</v>
      </c>
      <c r="BI10" s="59">
        <f ca="1">AVERAGE(OFFSET($BH$3,0,0,'Données projet'!$E$11+1,1))-AVERAGE(OFFSET($H$3,0,0,'Données projet'!$E$11+1,1))</f>
        <v>349.17860987804869</v>
      </c>
      <c r="BJ10" s="59">
        <f t="shared" si="38"/>
        <v>273.69433466447049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17.600000000000001</v>
      </c>
      <c r="N11" s="13">
        <f>IF('Données projet'!$A$36&gt;35,N10+M11-V10,IF(A11&lt;'Données projet'!$A$36,$K$205^A11,IF(A11='Données projet'!$A$36,'Données projet'!$B$36,N10+M11-V10)))</f>
        <v>85.800000000000011</v>
      </c>
      <c r="O11" s="13">
        <f>N11*VLOOKUP('Données projet'!$B$9,Paramètres!$A$1:$I$89,3,0)*VLOOKUP('Données projet'!$B$9,Paramètres!$A$1:$I$89,5,0)</f>
        <v>77.631840000000011</v>
      </c>
      <c r="P11" s="13">
        <f t="shared" si="33"/>
        <v>21.557147963295233</v>
      </c>
      <c r="Q11" s="20">
        <f t="shared" si="2"/>
        <v>172.75415403607255</v>
      </c>
      <c r="R11" s="59">
        <f t="shared" si="0"/>
        <v>359.5074269022931</v>
      </c>
      <c r="S11" s="59">
        <f ca="1">AVERAGE(OFFSET($R$3,0,0,'Données projet'!$E$9+1,1))-AVERAGE(OFFSET($H$3,0,0,'Données projet'!$E$9+1,1))</f>
        <v>446.05900197653546</v>
      </c>
      <c r="T11" s="59">
        <f t="shared" si="34"/>
        <v>630.54710489646106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195.13784956753307</v>
      </c>
      <c r="AN11" s="59">
        <f ca="1">AVERAGE(OFFSET($AM$3,0,0,'Données projet'!$E$10+1,1))-AVERAGE(OFFSET($H$3,0,0,'Données projet'!$E$10+1,1))</f>
        <v>394.69391436029986</v>
      </c>
      <c r="AO11" s="59">
        <f t="shared" si="36"/>
        <v>311.37245656657353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195.38485976905437</v>
      </c>
      <c r="BI11" s="59">
        <f ca="1">AVERAGE(OFFSET($BH$3,0,0,'Données projet'!$E$11+1,1))-AVERAGE(OFFSET($H$3,0,0,'Données projet'!$E$11+1,1))</f>
        <v>349.17860987804869</v>
      </c>
      <c r="BJ11" s="59">
        <f t="shared" si="38"/>
        <v>273.69433466447049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17.600000000000001</v>
      </c>
      <c r="N12" s="13">
        <f>IF('Données projet'!$A$36&gt;35,N11+M12-V11,IF(A12&lt;'Données projet'!$A$36,$K$205^A12,IF(A12='Données projet'!$A$36,'Données projet'!$B$36,N11+M12-V11)))</f>
        <v>103.4</v>
      </c>
      <c r="O12" s="13">
        <f>N12*VLOOKUP('Données projet'!$B$9,Paramètres!$A$1:$I$89,3,0)*VLOOKUP('Données projet'!$B$9,Paramètres!$A$1:$I$89,5,0)</f>
        <v>93.556319999999999</v>
      </c>
      <c r="P12" s="13">
        <f t="shared" si="33"/>
        <v>25.420979659258073</v>
      </c>
      <c r="Q12" s="20">
        <f t="shared" si="2"/>
        <v>207.21879690654114</v>
      </c>
      <c r="R12" s="59">
        <f t="shared" si="0"/>
        <v>396.57675565909722</v>
      </c>
      <c r="S12" s="59">
        <f ca="1">AVERAGE(OFFSET($R$3,0,0,'Données projet'!$E$9+1,1))-AVERAGE(OFFSET($H$3,0,0,'Données projet'!$E$9+1,1))</f>
        <v>446.05900197653546</v>
      </c>
      <c r="T12" s="59">
        <f t="shared" si="34"/>
        <v>630.54710489646106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199.71775484632516</v>
      </c>
      <c r="AN12" s="59">
        <f ca="1">AVERAGE(OFFSET($AM$3,0,0,'Données projet'!$E$10+1,1))-AVERAGE(OFFSET($H$3,0,0,'Données projet'!$E$10+1,1))</f>
        <v>394.69391436029986</v>
      </c>
      <c r="AO12" s="59">
        <f t="shared" si="36"/>
        <v>311.37245656657353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200.38402613222581</v>
      </c>
      <c r="BI12" s="59">
        <f ca="1">AVERAGE(OFFSET($BH$3,0,0,'Données projet'!$E$11+1,1))-AVERAGE(OFFSET($H$3,0,0,'Données projet'!$E$11+1,1))</f>
        <v>349.17860987804869</v>
      </c>
      <c r="BJ12" s="59">
        <f t="shared" si="38"/>
        <v>273.69433466447049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121</v>
      </c>
      <c r="L13" s="12">
        <f>VLOOKUP(A13,'Données projet'!$A$35:$I$55,9,0)</f>
        <v>17.600000000000001</v>
      </c>
      <c r="M13" s="12">
        <f t="array" ref="M13">INDEX(L:L,MIN(IF(ISNUMBER(L13:L209),ROW(L13:L209),"")))</f>
        <v>17.600000000000001</v>
      </c>
      <c r="N13" s="13">
        <f>IF('Données projet'!$A$36&gt;35,N12+M13-V12,IF(A13&lt;'Données projet'!$A$36,$K$205^A13,IF(A13='Données projet'!$A$36,'Données projet'!$B$36,N12+M13-V12)))</f>
        <v>121</v>
      </c>
      <c r="O13" s="13">
        <f>N13*VLOOKUP('Données projet'!$B$9,Paramètres!$A$1:$I$89,3,0)*VLOOKUP('Données projet'!$B$9,Paramètres!$A$1:$I$89,5,0)</f>
        <v>109.48079999999999</v>
      </c>
      <c r="P13" s="13">
        <f t="shared" si="33"/>
        <v>29.208623339903898</v>
      </c>
      <c r="Q13" s="20">
        <f t="shared" si="2"/>
        <v>241.5507456503326</v>
      </c>
      <c r="R13" s="59">
        <f t="shared" si="0"/>
        <v>433.48940763537746</v>
      </c>
      <c r="S13" s="59">
        <f ca="1">AVERAGE(OFFSET($R$3,0,0,'Données projet'!$E$9+1,1))-AVERAGE(OFFSET($H$3,0,0,'Données projet'!$E$9+1,1))</f>
        <v>446.05900197653546</v>
      </c>
      <c r="T13" s="59">
        <f t="shared" si="34"/>
        <v>630.54710489646106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37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0.2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6.3174033272786687</v>
      </c>
      <c r="AC13" s="22">
        <f t="shared" si="3"/>
        <v>6.3174033272786687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204.74066841648224</v>
      </c>
      <c r="AN13" s="59">
        <f ca="1">AVERAGE(OFFSET($AM$3,0,0,'Données projet'!$E$10+1,1))-AVERAGE(OFFSET($H$3,0,0,'Données projet'!$E$10+1,1))</f>
        <v>394.69391436029986</v>
      </c>
      <c r="AO13" s="59">
        <f t="shared" si="36"/>
        <v>311.37245656657353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206.02591806621032</v>
      </c>
      <c r="BI13" s="59">
        <f ca="1">AVERAGE(OFFSET($BH$3,0,0,'Données projet'!$E$11+1,1))-AVERAGE(OFFSET($H$3,0,0,'Données projet'!$E$11+1,1))</f>
        <v>349.17860987804869</v>
      </c>
      <c r="BJ13" s="59">
        <f t="shared" si="38"/>
        <v>273.69433466447049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17</v>
      </c>
      <c r="N14" s="13">
        <f>IF('Données projet'!$A$36&gt;35,N13+M14-V13,IF(A14&lt;'Données projet'!$A$36,$K$205^A14,IF(A14='Données projet'!$A$36,'Données projet'!$B$36,N13+M14-V13)))</f>
        <v>101</v>
      </c>
      <c r="O14" s="13">
        <f>N14*VLOOKUP('Données projet'!$B$9,Paramètres!$A$1:$I$89,3,0)*VLOOKUP('Données projet'!$B$9,Paramètres!$A$1:$I$89,5,0)</f>
        <v>91.384799999999998</v>
      </c>
      <c r="P14" s="13">
        <f t="shared" si="33"/>
        <v>24.898908025894642</v>
      </c>
      <c r="Q14" s="20">
        <f t="shared" si="2"/>
        <v>202.52745814509981</v>
      </c>
      <c r="R14" s="59">
        <f t="shared" si="0"/>
        <v>397.02325675421395</v>
      </c>
      <c r="S14" s="59">
        <f ca="1">AVERAGE(OFFSET($R$3,0,0,'Données projet'!$E$9+1,1))-AVERAGE(OFFSET($H$3,0,0,'Données projet'!$E$9+1,1))</f>
        <v>446.05900197653546</v>
      </c>
      <c r="T14" s="59">
        <f t="shared" si="34"/>
        <v>630.54710489646106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4.4670787322092051</v>
      </c>
      <c r="AC14" s="22">
        <f t="shared" si="3"/>
        <v>4.4670787322092051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210.31778487307568</v>
      </c>
      <c r="AN14" s="59">
        <f ca="1">AVERAGE(OFFSET($AM$3,0,0,'Données projet'!$E$10+1,1))-AVERAGE(OFFSET($H$3,0,0,'Données projet'!$E$10+1,1))</f>
        <v>394.69391436029986</v>
      </c>
      <c r="AO14" s="59">
        <f t="shared" si="36"/>
        <v>311.37245656657353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212.49722645475953</v>
      </c>
      <c r="BI14" s="59">
        <f ca="1">AVERAGE(OFFSET($BH$3,0,0,'Données projet'!$E$11+1,1))-AVERAGE(OFFSET($H$3,0,0,'Données projet'!$E$11+1,1))</f>
        <v>349.17860987804869</v>
      </c>
      <c r="BJ14" s="59">
        <f t="shared" si="38"/>
        <v>273.69433466447049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17</v>
      </c>
      <c r="N15" s="13">
        <f>IF('Données projet'!$A$36&gt;35,N14+M15-V14,IF(A15&lt;'Données projet'!$A$36,$K$205^A15,IF(A15='Données projet'!$A$36,'Données projet'!$B$36,N14+M15-V14)))</f>
        <v>118</v>
      </c>
      <c r="O15" s="13">
        <f>N15*VLOOKUP('Données projet'!$B$9,Paramètres!$A$1:$I$89,3,0)*VLOOKUP('Données projet'!$B$9,Paramètres!$A$1:$I$89,5,0)</f>
        <v>106.7664</v>
      </c>
      <c r="P15" s="13">
        <f t="shared" si="33"/>
        <v>28.5678052620942</v>
      </c>
      <c r="Q15" s="20">
        <f t="shared" si="2"/>
        <v>235.70707416481403</v>
      </c>
      <c r="R15" s="59">
        <f t="shared" si="0"/>
        <v>432.7368516175469</v>
      </c>
      <c r="S15" s="59">
        <f ca="1">AVERAGE(OFFSET($R$3,0,0,'Données projet'!$E$9+1,1))-AVERAGE(OFFSET($H$3,0,0,'Données projet'!$E$9+1,1))</f>
        <v>446.05900197653546</v>
      </c>
      <c r="T15" s="59">
        <f t="shared" si="34"/>
        <v>630.54710489646106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3.1587016636393348</v>
      </c>
      <c r="AC15" s="22">
        <f t="shared" si="3"/>
        <v>3.1587016636393348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216.58665188235773</v>
      </c>
      <c r="AN15" s="59">
        <f ca="1">AVERAGE(OFFSET($AM$3,0,0,'Données projet'!$E$10+1,1))-AVERAGE(OFFSET($H$3,0,0,'Données projet'!$E$10+1,1))</f>
        <v>394.69391436029986</v>
      </c>
      <c r="AO15" s="59">
        <f t="shared" si="36"/>
        <v>311.37245656657353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220.03684505695335</v>
      </c>
      <c r="BI15" s="59">
        <f ca="1">AVERAGE(OFFSET($BH$3,0,0,'Données projet'!$E$11+1,1))-AVERAGE(OFFSET($H$3,0,0,'Données projet'!$E$11+1,1))</f>
        <v>349.17860987804869</v>
      </c>
      <c r="BJ15" s="59">
        <f t="shared" si="38"/>
        <v>273.69433466447049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135</v>
      </c>
      <c r="O16" s="13">
        <f>N16*VLOOKUP('Données projet'!$B$9,Paramètres!$A$1:$I$89,3,0)*VLOOKUP('Données projet'!$B$9,Paramètres!$A$1:$I$89,5,0)</f>
        <v>122.148</v>
      </c>
      <c r="P16" s="13">
        <f t="shared" si="33"/>
        <v>32.175466547071615</v>
      </c>
      <c r="Q16" s="20">
        <f t="shared" si="2"/>
        <v>268.78003756948306</v>
      </c>
      <c r="R16" s="59">
        <f t="shared" si="0"/>
        <v>468.32103782110187</v>
      </c>
      <c r="S16" s="59">
        <f ca="1">AVERAGE(OFFSET($R$3,0,0,'Données projet'!$E$9+1,1))-AVERAGE(OFFSET($H$3,0,0,'Données projet'!$E$9+1,1))</f>
        <v>446.05900197653546</v>
      </c>
      <c r="T16" s="59">
        <f t="shared" si="34"/>
        <v>630.54710489646106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2.233539366104603</v>
      </c>
      <c r="AC16" s="22">
        <f t="shared" si="3"/>
        <v>2.233539366104603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223.71746080775932</v>
      </c>
      <c r="AN16" s="59">
        <f ca="1">AVERAGE(OFFSET($AM$3,0,0,'Données projet'!$E$10+1,1))-AVERAGE(OFFSET($H$3,0,0,'Données projet'!$E$10+1,1))</f>
        <v>394.69391436029986</v>
      </c>
      <c r="AO16" s="59">
        <f t="shared" si="36"/>
        <v>311.37245656657353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228.95054721438314</v>
      </c>
      <c r="BI16" s="59">
        <f ca="1">AVERAGE(OFFSET($BH$3,0,0,'Données projet'!$E$11+1,1))-AVERAGE(OFFSET($H$3,0,0,'Données projet'!$E$11+1,1))</f>
        <v>349.17860987804869</v>
      </c>
      <c r="BJ16" s="59">
        <f t="shared" si="38"/>
        <v>273.69433466447049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17</v>
      </c>
      <c r="N17" s="13">
        <f>IF('Données projet'!$A$36&gt;35,N16+M17-V16,IF(A17&lt;'Données projet'!$A$36,$K$205^A17,IF(A17='Données projet'!$A$36,'Données projet'!$B$36,N16+M17-V16)))</f>
        <v>152</v>
      </c>
      <c r="O17" s="13">
        <f>N17*VLOOKUP('Données projet'!$B$9,Paramètres!$A$1:$I$89,3,0)*VLOOKUP('Données projet'!$B$9,Paramètres!$A$1:$I$89,5,0)</f>
        <v>137.52959999999999</v>
      </c>
      <c r="P17" s="13">
        <f t="shared" si="33"/>
        <v>35.730486489800548</v>
      </c>
      <c r="Q17" s="20">
        <f t="shared" si="2"/>
        <v>301.76131730306923</v>
      </c>
      <c r="R17" s="59">
        <f t="shared" si="0"/>
        <v>503.79117907534243</v>
      </c>
      <c r="S17" s="59">
        <f ca="1">AVERAGE(OFFSET($R$3,0,0,'Données projet'!$E$9+1,1))-AVERAGE(OFFSET($H$3,0,0,'Données projet'!$E$9+1,1))</f>
        <v>446.05900197653546</v>
      </c>
      <c r="T17" s="59">
        <f t="shared" si="34"/>
        <v>630.54710489646106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1.5793508318196676</v>
      </c>
      <c r="AC17" s="22">
        <f t="shared" si="3"/>
        <v>1.5793508318196676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231.92084240162851</v>
      </c>
      <c r="AN17" s="59">
        <f ca="1">AVERAGE(OFFSET($AM$3,0,0,'Données projet'!$E$10+1,1))-AVERAGE(OFFSET($H$3,0,0,'Données projet'!$E$10+1,1))</f>
        <v>394.69391436029986</v>
      </c>
      <c r="AO17" s="59">
        <f t="shared" si="36"/>
        <v>311.37245656657353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239.62979927584371</v>
      </c>
      <c r="BI17" s="59">
        <f ca="1">AVERAGE(OFFSET($BH$3,0,0,'Données projet'!$E$11+1,1))-AVERAGE(OFFSET($H$3,0,0,'Données projet'!$E$11+1,1))</f>
        <v>349.17860987804869</v>
      </c>
      <c r="BJ17" s="59">
        <f t="shared" si="38"/>
        <v>273.69433466447049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169</v>
      </c>
      <c r="L18" s="12">
        <f>VLOOKUP(A18,'Données projet'!$A$35:$I$55,9,0)</f>
        <v>17</v>
      </c>
      <c r="M18" s="12">
        <f t="array" ref="M18">INDEX(L:L,MIN(IF(ISNUMBER(L18:L214),ROW(L18:L214),"")))</f>
        <v>17</v>
      </c>
      <c r="N18" s="13">
        <f>IF('Données projet'!$A$36&gt;35,N17+M18-V17,IF(A18&lt;'Données projet'!$A$36,$K$205^A18,IF(A18='Données projet'!$A$36,'Données projet'!$B$36,N17+M18-V17)))</f>
        <v>169</v>
      </c>
      <c r="O18" s="13">
        <f>N18*VLOOKUP('Données projet'!$B$9,Paramètres!$A$1:$I$89,3,0)*VLOOKUP('Données projet'!$B$9,Paramètres!$A$1:$I$89,5,0)</f>
        <v>152.91120000000001</v>
      </c>
      <c r="P18" s="13">
        <f t="shared" si="33"/>
        <v>39.239424324197543</v>
      </c>
      <c r="Q18" s="20">
        <f t="shared" si="2"/>
        <v>334.66233736464409</v>
      </c>
      <c r="R18" s="59">
        <f t="shared" si="0"/>
        <v>539.15908729752516</v>
      </c>
      <c r="S18" s="59">
        <f ca="1">AVERAGE(OFFSET($R$3,0,0,'Données projet'!$E$9+1,1))-AVERAGE(OFFSET($H$3,0,0,'Données projet'!$E$9+1,1))</f>
        <v>446.05900197653546</v>
      </c>
      <c r="T18" s="59">
        <f t="shared" si="34"/>
        <v>630.54710489646106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29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0.5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13.495465391909153</v>
      </c>
      <c r="AC18" s="22">
        <f t="shared" si="3"/>
        <v>13.495465391909153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241.45752852471435</v>
      </c>
      <c r="AN18" s="59">
        <f ca="1">AVERAGE(OFFSET($AM$3,0,0,'Données projet'!$E$10+1,1))-AVERAGE(OFFSET($H$3,0,0,'Données projet'!$E$10+1,1))</f>
        <v>394.69391436029986</v>
      </c>
      <c r="AO18" s="59">
        <f t="shared" si="36"/>
        <v>311.37245656657353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252.57587954511902</v>
      </c>
      <c r="BI18" s="59">
        <f ca="1">AVERAGE(OFFSET($BH$3,0,0,'Données projet'!$E$11+1,1))-AVERAGE(OFFSET($H$3,0,0,'Données projet'!$E$11+1,1))</f>
        <v>349.17860987804869</v>
      </c>
      <c r="BJ18" s="59">
        <f t="shared" si="38"/>
        <v>273.69433466447049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15.4</v>
      </c>
      <c r="N19" s="13">
        <f>IF('Données projet'!$A$36&gt;35,N18+M19-V18,IF(A19&lt;'Données projet'!$A$36,$K$205^A19,IF(A19='Données projet'!$A$36,'Données projet'!$B$36,N18+M19-V18)))</f>
        <v>155.4</v>
      </c>
      <c r="O19" s="13">
        <f>N19*VLOOKUP('Données projet'!$B$9,Paramètres!$A$1:$I$89,3,0)*VLOOKUP('Données projet'!$B$9,Paramètres!$A$1:$I$89,5,0)</f>
        <v>140.60592</v>
      </c>
      <c r="P19" s="13">
        <f t="shared" si="33"/>
        <v>36.435778350352258</v>
      </c>
      <c r="Q19" s="20">
        <f t="shared" si="2"/>
        <v>308.34762462686348</v>
      </c>
      <c r="R19" s="59">
        <f t="shared" si="0"/>
        <v>515.28967054897748</v>
      </c>
      <c r="S19" s="59">
        <f ca="1">AVERAGE(OFFSET($R$3,0,0,'Données projet'!$E$9+1,1))-AVERAGE(OFFSET($H$3,0,0,'Données projet'!$E$9+1,1))</f>
        <v>446.05900197653546</v>
      </c>
      <c r="T19" s="59">
        <f t="shared" si="34"/>
        <v>630.54710489646106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9.5427350938873321</v>
      </c>
      <c r="AC19" s="22">
        <f t="shared" si="3"/>
        <v>9.5427350938873321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252.65032761239547</v>
      </c>
      <c r="AN19" s="59">
        <f ca="1">AVERAGE(OFFSET($AM$3,0,0,'Données projet'!$E$10+1,1))-AVERAGE(OFFSET($H$3,0,0,'Données projet'!$E$10+1,1))</f>
        <v>394.69391436029986</v>
      </c>
      <c r="AO19" s="59">
        <f t="shared" si="36"/>
        <v>311.37245656657353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268.43080252293612</v>
      </c>
      <c r="BI19" s="59">
        <f ca="1">AVERAGE(OFFSET($BH$3,0,0,'Données projet'!$E$11+1,1))-AVERAGE(OFFSET($H$3,0,0,'Données projet'!$E$11+1,1))</f>
        <v>349.17860987804869</v>
      </c>
      <c r="BJ19" s="59">
        <f t="shared" si="38"/>
        <v>273.69433466447049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15.4</v>
      </c>
      <c r="N20" s="13">
        <f>IF('Données projet'!$A$36&gt;35,N19+M20-V19,IF(A20&lt;'Données projet'!$A$36,$K$205^A20,IF(A20='Données projet'!$A$36,'Données projet'!$B$36,N19+M20-V19)))</f>
        <v>170.8</v>
      </c>
      <c r="O20" s="13">
        <f>N20*VLOOKUP('Données projet'!$B$9,Paramètres!$A$1:$I$89,3,0)*VLOOKUP('Données projet'!$B$9,Paramètres!$A$1:$I$89,5,0)</f>
        <v>154.53984</v>
      </c>
      <c r="P20" s="13">
        <f t="shared" si="33"/>
        <v>39.608483410353038</v>
      </c>
      <c r="Q20" s="20">
        <f t="shared" si="2"/>
        <v>338.14166327303155</v>
      </c>
      <c r="R20" s="59">
        <f t="shared" si="0"/>
        <v>547.50778758890431</v>
      </c>
      <c r="S20" s="59">
        <f ca="1">AVERAGE(OFFSET($R$3,0,0,'Données projet'!$E$9+1,1))-AVERAGE(OFFSET($H$3,0,0,'Données projet'!$E$9+1,1))</f>
        <v>446.05900197653546</v>
      </c>
      <c r="T20" s="59">
        <f t="shared" si="34"/>
        <v>630.54710489646106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6.7477326959545785</v>
      </c>
      <c r="AC20" s="22">
        <f t="shared" si="3"/>
        <v>6.7477326959545785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265.89896925630694</v>
      </c>
      <c r="AN20" s="59">
        <f ca="1">AVERAGE(OFFSET($AM$3,0,0,'Données projet'!$E$10+1,1))-AVERAGE(OFFSET($H$3,0,0,'Données projet'!$E$10+1,1))</f>
        <v>394.69391436029986</v>
      </c>
      <c r="AO20" s="59">
        <f t="shared" si="36"/>
        <v>311.37245656657353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288.01697308330836</v>
      </c>
      <c r="BI20" s="59">
        <f ca="1">AVERAGE(OFFSET($BH$3,0,0,'Données projet'!$E$11+1,1))-AVERAGE(OFFSET($H$3,0,0,'Données projet'!$E$11+1,1))</f>
        <v>349.17860987804869</v>
      </c>
      <c r="BJ20" s="59">
        <f t="shared" si="38"/>
        <v>273.69433466447049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15.4</v>
      </c>
      <c r="N21" s="13">
        <f>IF('Données projet'!$A$36&gt;35,N20+M21-V20,IF(A21&lt;'Données projet'!$A$36,$K$205^A21,IF(A21='Données projet'!$A$36,'Données projet'!$B$36,N20+M21-V20)))</f>
        <v>186.20000000000002</v>
      </c>
      <c r="O21" s="13">
        <f>N21*VLOOKUP('Données projet'!$B$9,Paramètres!$A$1:$I$89,3,0)*VLOOKUP('Données projet'!$B$9,Paramètres!$A$1:$I$89,5,0)</f>
        <v>168.47376000000003</v>
      </c>
      <c r="P21" s="13">
        <f t="shared" si="33"/>
        <v>42.748017388135018</v>
      </c>
      <c r="Q21" s="20">
        <f t="shared" si="2"/>
        <v>367.87792895100188</v>
      </c>
      <c r="R21" s="59">
        <f t="shared" si="0"/>
        <v>579.64728214300499</v>
      </c>
      <c r="S21" s="59">
        <f ca="1">AVERAGE(OFFSET($R$3,0,0,'Données projet'!$E$9+1,1))-AVERAGE(OFFSET($H$3,0,0,'Données projet'!$E$9+1,1))</f>
        <v>446.05900197653546</v>
      </c>
      <c r="T21" s="59">
        <f t="shared" si="34"/>
        <v>630.54710489646106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4.7713675469436669</v>
      </c>
      <c r="AC21" s="22">
        <f t="shared" si="3"/>
        <v>4.7713675469436669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281.69850685249713</v>
      </c>
      <c r="AN21" s="59">
        <f ca="1">AVERAGE(OFFSET($AM$3,0,0,'Données projet'!$E$10+1,1))-AVERAGE(OFFSET($H$3,0,0,'Données projet'!$E$10+1,1))</f>
        <v>394.69391436029986</v>
      </c>
      <c r="AO21" s="59">
        <f t="shared" si="36"/>
        <v>311.37245656657353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312.38804068758367</v>
      </c>
      <c r="BI21" s="59">
        <f ca="1">AVERAGE(OFFSET($BH$3,0,0,'Données projet'!$E$11+1,1))-AVERAGE(OFFSET($H$3,0,0,'Données projet'!$E$11+1,1))</f>
        <v>349.17860987804869</v>
      </c>
      <c r="BJ21" s="59">
        <f t="shared" si="38"/>
        <v>273.69433466447049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15.4</v>
      </c>
      <c r="N22" s="13">
        <f>IF('Données projet'!$A$36&gt;35,N21+M22-V21,IF(A22&lt;'Données projet'!$A$36,$K$205^A22,IF(A22='Données projet'!$A$36,'Données projet'!$B$36,N21+M22-V21)))</f>
        <v>201.60000000000002</v>
      </c>
      <c r="O22" s="13">
        <f>N22*VLOOKUP('Données projet'!$B$9,Paramètres!$A$1:$I$89,3,0)*VLOOKUP('Données projet'!$B$9,Paramètres!$A$1:$I$89,5,0)</f>
        <v>182.40768000000003</v>
      </c>
      <c r="P22" s="13">
        <f t="shared" si="33"/>
        <v>45.857435663065921</v>
      </c>
      <c r="Q22" s="20">
        <f t="shared" si="2"/>
        <v>397.56174311317318</v>
      </c>
      <c r="R22" s="59">
        <f t="shared" si="0"/>
        <v>611.71383735619668</v>
      </c>
      <c r="S22" s="59">
        <f ca="1">AVERAGE(OFFSET($R$3,0,0,'Données projet'!$E$9+1,1))-AVERAGE(OFFSET($H$3,0,0,'Données projet'!$E$9+1,1))</f>
        <v>446.05900197653546</v>
      </c>
      <c r="T22" s="59">
        <f t="shared" si="34"/>
        <v>630.54710489646106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3.3738663479772897</v>
      </c>
      <c r="AC22" s="22">
        <f t="shared" si="3"/>
        <v>3.3738663479772897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300.66213304049893</v>
      </c>
      <c r="AN22" s="59">
        <f ca="1">AVERAGE(OFFSET($AM$3,0,0,'Données projet'!$E$10+1,1))-AVERAGE(OFFSET($H$3,0,0,'Données projet'!$E$10+1,1))</f>
        <v>394.69391436029986</v>
      </c>
      <c r="AO22" s="59">
        <f t="shared" si="36"/>
        <v>311.37245656657353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342.8941240850686</v>
      </c>
      <c r="BI22" s="59">
        <f ca="1">AVERAGE(OFFSET($BH$3,0,0,'Données projet'!$E$11+1,1))-AVERAGE(OFFSET($H$3,0,0,'Données projet'!$E$11+1,1))</f>
        <v>349.17860987804869</v>
      </c>
      <c r="BJ22" s="59">
        <f t="shared" si="38"/>
        <v>273.69433466447049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217</v>
      </c>
      <c r="L23" s="12">
        <f>VLOOKUP(A23,'Données projet'!$A$35:$I$55,9,0)</f>
        <v>15.4</v>
      </c>
      <c r="M23" s="12">
        <f t="array" ref="M23">INDEX(L:L,MIN(IF(ISNUMBER(L23:L219),ROW(L23:L219),"")))</f>
        <v>15.4</v>
      </c>
      <c r="N23" s="13">
        <f>IF('Données projet'!$A$36&gt;35,N22+M23-V22,IF(A23&lt;'Données projet'!$A$36,$K$205^A23,IF(A23='Données projet'!$A$36,'Données projet'!$B$36,N22+M23-V22)))</f>
        <v>217.00000000000003</v>
      </c>
      <c r="O23" s="13">
        <f>N23*VLOOKUP('Données projet'!$B$9,Paramètres!$A$1:$I$89,3,0)*VLOOKUP('Données projet'!$B$9,Paramètres!$A$1:$I$89,5,0)</f>
        <v>196.34160000000003</v>
      </c>
      <c r="P23" s="13">
        <f t="shared" si="33"/>
        <v>48.939300310809159</v>
      </c>
      <c r="Q23" s="20">
        <f t="shared" si="2"/>
        <v>427.19756804132595</v>
      </c>
      <c r="R23" s="59">
        <f t="shared" si="0"/>
        <v>643.71227092822164</v>
      </c>
      <c r="S23" s="59">
        <f ca="1">AVERAGE(OFFSET($R$3,0,0,'Données projet'!$E$9+1,1))-AVERAGE(OFFSET($H$3,0,0,'Données projet'!$E$9+1,1))</f>
        <v>446.05900197653546</v>
      </c>
      <c r="T23" s="59">
        <f t="shared" si="34"/>
        <v>630.54710489646106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23</v>
      </c>
      <c r="W23" s="16">
        <f>IF(ISNA(VLOOKUP(A23,'Données projet'!$A$35:$I$55,5,0)),0%,VLOOKUP(A23,'Données projet'!$A$35:$I$55,5,0)*VLOOKUP('Données projet'!$B$9,Paramètres!$A$1:$I$89,7,0))</f>
        <v>0.03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0.4</v>
      </c>
      <c r="Z23" s="21">
        <f>EXP(-LN(2)/35)*Z22+(1-EXP(-LN(2)/35))/(LN(2)/35)*V23*W23*VLOOKUP('Données projet'!$B$9,Paramètres!$A$1:$I$89,3,0)*0.475*44/12</f>
        <v>0.6901584235869751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10.239752774953422</v>
      </c>
      <c r="AC23" s="22">
        <f t="shared" si="3"/>
        <v>10.929911198540397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323.54946839214159</v>
      </c>
      <c r="AN23" s="59">
        <f ca="1">AVERAGE(OFFSET($AM$3,0,0,'Données projet'!$E$10+1,1))-AVERAGE(OFFSET($H$3,0,0,'Données projet'!$E$10+1,1))</f>
        <v>394.69391436029986</v>
      </c>
      <c r="AO23" s="59">
        <f t="shared" si="36"/>
        <v>311.37245656657353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381.26547623001761</v>
      </c>
      <c r="BI23" s="59">
        <f ca="1">AVERAGE(OFFSET($BH$3,0,0,'Données projet'!$E$11+1,1))-AVERAGE(OFFSET($H$3,0,0,'Données projet'!$E$11+1,1))</f>
        <v>349.17860987804869</v>
      </c>
      <c r="BJ23" s="59">
        <f t="shared" si="38"/>
        <v>273.69433466447049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39.5</v>
      </c>
      <c r="BM23" s="16">
        <f>IF(ISNA(VLOOKUP(A23,'Données projet'!$A$87:$I$107,5,0)),0%,VLOOKUP(A23,'Données projet'!$A$87:$I$107,5,0)*VLOOKUP('Données projet'!$B$11,Paramètres!$A$1:$I$89,7,0))</f>
        <v>0.11000000000000001</v>
      </c>
      <c r="BN23" s="16">
        <f>IF(ISNA(VLOOKUP(A23,'Données projet'!$A$87:$I$107,6,0)),0%,VLOOKUP(A23,'Données projet'!$A$87:$I$107,6,0)*VLOOKUP('Données projet'!$B$11,Paramètres!$A$1:$I$89,7,0))</f>
        <v>0.11000000000000001</v>
      </c>
      <c r="BO23" s="16">
        <f>IF(ISNA(VLOOKUP(A23,'Données projet'!$A$87:$I$107,7,0)),0%,VLOOKUP(A23,'Données projet'!$A$87:$I$107,7,0))</f>
        <v>0.6</v>
      </c>
      <c r="BP23" s="21">
        <f>EXP(-LN(2)/35)*BP22+(1-EXP(-LN(2)/35))/(LN(2)/35)*BL23*BM23*VLOOKUP('Données projet'!$B$11,Paramètres!$A$1:$I$89,3,0)*0.475*44/12</f>
        <v>2.6975157575580879</v>
      </c>
      <c r="BQ23" s="21">
        <f>EXP(-LN(2)/25)*BQ22+(1-EXP(-LN(2)/25))/(LN(2)/25)*Calculateur!BL23*Calculateur!BN23*VLOOKUP('Données projet'!$B$11,Paramètres!$A$1:$I$89,3,0)*0.475*44/12</f>
        <v>2.686894610186497</v>
      </c>
      <c r="BR23" s="21">
        <f>EXP(-LN(2)/2)*BR22+(1-EXP(-LN(2)/2))/(LN(2)/2)*BL23*BO23*VLOOKUP('Données projet'!$B$11,Paramètres!$A$1:$I$89,3,0)*0.475*44/12</f>
        <v>12.558267751244545</v>
      </c>
      <c r="BS23" s="22">
        <f t="shared" si="9"/>
        <v>17.942678118989129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13</v>
      </c>
      <c r="N24" s="13">
        <f>IF('Données projet'!$A$36&gt;35,N23+M24-V23,IF(A24&lt;'Données projet'!$A$36,$K$205^A24,IF(A24='Données projet'!$A$36,'Données projet'!$B$36,N23+M24-V23)))</f>
        <v>207.00000000000003</v>
      </c>
      <c r="O24" s="13">
        <f>N24*VLOOKUP('Données projet'!$B$9,Paramètres!$A$1:$I$89,3,0)*VLOOKUP('Données projet'!$B$9,Paramètres!$A$1:$I$89,5,0)</f>
        <v>187.2936</v>
      </c>
      <c r="P24" s="13">
        <f t="shared" si="33"/>
        <v>46.941107550760421</v>
      </c>
      <c r="Q24" s="20">
        <f t="shared" si="2"/>
        <v>407.95878231757439</v>
      </c>
      <c r="R24" s="59">
        <f t="shared" si="0"/>
        <v>626.81631069344871</v>
      </c>
      <c r="S24" s="59">
        <f ca="1">AVERAGE(OFFSET($R$3,0,0,'Données projet'!$E$9+1,1))-AVERAGE(OFFSET($H$3,0,0,'Données projet'!$E$9+1,1))</f>
        <v>446.05900197653546</v>
      </c>
      <c r="T24" s="59">
        <f t="shared" si="34"/>
        <v>630.54710489646106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0.67662483785550709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7.2405986248433321</v>
      </c>
      <c r="AC24" s="22">
        <f t="shared" si="3"/>
        <v>7.9172234626988391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351.30163915346839</v>
      </c>
      <c r="AN24" s="59">
        <f ca="1">AVERAGE(OFFSET($AM$3,0,0,'Données projet'!$E$10+1,1))-AVERAGE(OFFSET($H$3,0,0,'Données projet'!$E$10+1,1))</f>
        <v>394.69391436029986</v>
      </c>
      <c r="AO24" s="59">
        <f t="shared" si="36"/>
        <v>311.37245656657353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127.69999999999999</v>
      </c>
      <c r="BE24" s="13">
        <f>BD24*VLOOKUP('Données projet'!$B$11,Paramètres!$A$1:$I$89,3,0)*VLOOKUP('Données projet'!$B$11,Paramètres!$A$1:$I$89,5,0)</f>
        <v>59.763599999999997</v>
      </c>
      <c r="BF24" s="13">
        <f t="shared" si="37"/>
        <v>17.108485949725164</v>
      </c>
      <c r="BG24" s="20">
        <f t="shared" si="7"/>
        <v>133.88554969577129</v>
      </c>
      <c r="BH24" s="59">
        <f t="shared" si="8"/>
        <v>352.74307807164564</v>
      </c>
      <c r="BI24" s="59">
        <f ca="1">AVERAGE(OFFSET($BH$3,0,0,'Données projet'!$E$11+1,1))-AVERAGE(OFFSET($H$3,0,0,'Données projet'!$E$11+1,1))</f>
        <v>349.17860987804869</v>
      </c>
      <c r="BJ24" s="59">
        <f t="shared" si="38"/>
        <v>273.69433466447049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2.6446191188745241</v>
      </c>
      <c r="BQ24" s="21">
        <f>EXP(-LN(2)/25)*BQ23+(1-EXP(-LN(2)/25))/(LN(2)/25)*Calculateur!BL24*Calculateur!BN24*VLOOKUP('Données projet'!$B$11,Paramètres!$A$1:$I$89,3,0)*0.475*44/12</f>
        <v>2.6134213357733005</v>
      </c>
      <c r="BR24" s="21">
        <f>EXP(-LN(2)/2)*BR23+(1-EXP(-LN(2)/2))/(LN(2)/2)*BL24*BO24*VLOOKUP('Données projet'!$B$11,Paramètres!$A$1:$I$89,3,0)*0.475*44/12</f>
        <v>8.8800362868613529</v>
      </c>
      <c r="BS24" s="22">
        <f t="shared" si="9"/>
        <v>14.138076741509177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13</v>
      </c>
      <c r="N25" s="13">
        <f>IF('Données projet'!$A$36&gt;35,N24+M25-V24,IF(A25&lt;'Données projet'!$A$36,$K$205^A25,IF(A25='Données projet'!$A$36,'Données projet'!$B$36,N24+M25-V24)))</f>
        <v>220.00000000000003</v>
      </c>
      <c r="O25" s="13">
        <f>N25*VLOOKUP('Données projet'!$B$9,Paramètres!$A$1:$I$89,3,0)*VLOOKUP('Données projet'!$B$9,Paramètres!$A$1:$I$89,5,0)</f>
        <v>199.05600000000001</v>
      </c>
      <c r="P25" s="13">
        <f t="shared" si="33"/>
        <v>49.536648006253934</v>
      </c>
      <c r="Q25" s="20">
        <f t="shared" si="2"/>
        <v>432.96552861089231</v>
      </c>
      <c r="R25" s="59">
        <f t="shared" si="0"/>
        <v>654.14644251436073</v>
      </c>
      <c r="S25" s="59">
        <f ca="1">AVERAGE(OFFSET($R$3,0,0,'Données projet'!$E$9+1,1))-AVERAGE(OFFSET($H$3,0,0,'Données projet'!$E$9+1,1))</f>
        <v>446.05900197653546</v>
      </c>
      <c r="T25" s="59">
        <f t="shared" si="34"/>
        <v>630.54710489646106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0.66335663748556095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5.1198763874767117</v>
      </c>
      <c r="AC25" s="22">
        <f t="shared" si="3"/>
        <v>5.7832330249622723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385.08477677989947</v>
      </c>
      <c r="AN25" s="59">
        <f ca="1">AVERAGE(OFFSET($AM$3,0,0,'Données projet'!$E$10+1,1))-AVERAGE(OFFSET($H$3,0,0,'Données projet'!$E$10+1,1))</f>
        <v>394.69391436029986</v>
      </c>
      <c r="AO25" s="59">
        <f t="shared" si="36"/>
        <v>311.37245656657353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9.0000000000000011E-2</v>
      </c>
      <c r="AS25" s="16">
        <f>IF(ISNA(VLOOKUP(A25,'Données projet'!$A$61:$I$81,6,0)),0%,VLOOKUP(A25,'Données projet'!$A$61:$I$81,6,0)*VLOOKUP('Données projet'!$B$10,Paramètres!$A$1:$I$89,7,0))</f>
        <v>9.0000000000000011E-2</v>
      </c>
      <c r="AT25" s="16">
        <f>IF(ISNA(VLOOKUP(A25,'Données projet'!$A$61:$I$81,7,0)),0%,VLOOKUP(A25,'Données projet'!$A$61:$I$81,7,0))</f>
        <v>0.6</v>
      </c>
      <c r="AU25" s="21">
        <f>EXP(-LN(2)/35)*AU24+(1-EXP(-LN(2)/35))/(LN(2)/35)*AQ25*AR25*VLOOKUP('Données projet'!$B$10,Paramètres!$A$1:$I$89,3,0)*0.475*44/12</f>
        <v>1.142331183868097</v>
      </c>
      <c r="AV25" s="21">
        <f>EXP(-LN(2)/25)*AV24+(1-EXP(-LN(2)/25))/(LN(2)/25)*Calculateur!AQ25*Calculateur!AS25*VLOOKUP('Données projet'!$B$10,Paramètres!$A$1:$I$89,3,0)*0.475*44/12</f>
        <v>1.1378333907349032</v>
      </c>
      <c r="AW25" s="21">
        <f>EXP(-LN(2)/2)*AW24+(1-EXP(-LN(2)/2))/(LN(2)/2)*AQ25*AT25*VLOOKUP('Données projet'!$B$10,Paramètres!$A$1:$I$89,3,0)*0.475*44/12</f>
        <v>6.4999191736399347</v>
      </c>
      <c r="AX25" s="21">
        <f t="shared" si="6"/>
        <v>8.7800837482429337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136.89999999999998</v>
      </c>
      <c r="BE25" s="13">
        <f>BD25*VLOOKUP('Données projet'!$B$11,Paramètres!$A$1:$I$89,3,0)*VLOOKUP('Données projet'!$B$11,Paramètres!$A$1:$I$89,5,0)</f>
        <v>64.069199999999995</v>
      </c>
      <c r="BF25" s="13">
        <f t="shared" si="37"/>
        <v>18.193128517714101</v>
      </c>
      <c r="BG25" s="20">
        <f t="shared" si="7"/>
        <v>143.27355550168537</v>
      </c>
      <c r="BH25" s="59">
        <f t="shared" si="8"/>
        <v>364.45446940515376</v>
      </c>
      <c r="BI25" s="59">
        <f ca="1">AVERAGE(OFFSET($BH$3,0,0,'Données projet'!$E$11+1,1))-AVERAGE(OFFSET($H$3,0,0,'Données projet'!$E$11+1,1))</f>
        <v>349.17860987804869</v>
      </c>
      <c r="BJ25" s="59">
        <f t="shared" si="38"/>
        <v>273.69433466447049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2.5927597510117808</v>
      </c>
      <c r="BQ25" s="21">
        <f>EXP(-LN(2)/25)*BQ24+(1-EXP(-LN(2)/25))/(LN(2)/25)*Calculateur!BL25*Calculateur!BN25*VLOOKUP('Données projet'!$B$11,Paramètres!$A$1:$I$89,3,0)*0.475*44/12</f>
        <v>2.5419571919127244</v>
      </c>
      <c r="BR25" s="21">
        <f>EXP(-LN(2)/2)*BR24+(1-EXP(-LN(2)/2))/(LN(2)/2)*BL25*BO25*VLOOKUP('Données projet'!$B$11,Paramètres!$A$1:$I$89,3,0)*0.475*44/12</f>
        <v>6.2791338756222732</v>
      </c>
      <c r="BS25" s="22">
        <f t="shared" si="9"/>
        <v>11.413850818546779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13</v>
      </c>
      <c r="N26" s="13">
        <f>IF('Données projet'!$A$36&gt;35,N25+M26-V25,IF(A26&lt;'Données projet'!$A$36,$K$205^A26,IF(A26='Données projet'!$A$36,'Données projet'!$B$36,N25+M26-V25)))</f>
        <v>233.00000000000003</v>
      </c>
      <c r="O26" s="13">
        <f>N26*VLOOKUP('Données projet'!$B$9,Paramètres!$A$1:$I$89,3,0)*VLOOKUP('Données projet'!$B$9,Paramètres!$A$1:$I$89,5,0)</f>
        <v>210.81840000000003</v>
      </c>
      <c r="P26" s="13">
        <f t="shared" si="33"/>
        <v>52.114386184062198</v>
      </c>
      <c r="Q26" s="20">
        <f t="shared" si="2"/>
        <v>457.94126927057505</v>
      </c>
      <c r="R26" s="59">
        <f t="shared" si="0"/>
        <v>681.42646598012152</v>
      </c>
      <c r="S26" s="59">
        <f ca="1">AVERAGE(OFFSET($R$3,0,0,'Données projet'!$E$9+1,1))-AVERAGE(OFFSET($H$3,0,0,'Données projet'!$E$9+1,1))</f>
        <v>446.05900197653546</v>
      </c>
      <c r="T26" s="59">
        <f t="shared" si="34"/>
        <v>630.54710489646106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0.65034861843206626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3.6202993124216669</v>
      </c>
      <c r="AC26" s="22">
        <f t="shared" si="3"/>
        <v>4.2706479308537331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382.62559598029742</v>
      </c>
      <c r="AN26" s="59">
        <f ca="1">AVERAGE(OFFSET($AM$3,0,0,'Données projet'!$E$10+1,1))-AVERAGE(OFFSET($H$3,0,0,'Données projet'!$E$10+1,1))</f>
        <v>394.69391436029986</v>
      </c>
      <c r="AO26" s="59">
        <f t="shared" si="36"/>
        <v>311.37245656657353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1.119930766105667</v>
      </c>
      <c r="AV26" s="21">
        <f>EXP(-LN(2)/25)*AV25+(1-EXP(-LN(2)/25))/(LN(2)/25)*Calculateur!AQ26*Calculateur!AS26*VLOOKUP('Données projet'!$B$10,Paramètres!$A$1:$I$89,3,0)*0.475*44/12</f>
        <v>1.1067192768291998</v>
      </c>
      <c r="AW26" s="21">
        <f>EXP(-LN(2)/2)*AW25+(1-EXP(-LN(2)/2))/(LN(2)/2)*AQ26*AT26*VLOOKUP('Données projet'!$B$10,Paramètres!$A$1:$I$89,3,0)*0.475*44/12</f>
        <v>4.5961369248452586</v>
      </c>
      <c r="AX26" s="21">
        <f t="shared" si="6"/>
        <v>6.8227869677801252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146.09999999999997</v>
      </c>
      <c r="BE26" s="13">
        <f>BD26*VLOOKUP('Données projet'!$B$11,Paramètres!$A$1:$I$89,3,0)*VLOOKUP('Données projet'!$B$11,Paramètres!$A$1:$I$89,5,0)</f>
        <v>68.374799999999979</v>
      </c>
      <c r="BF26" s="13">
        <f t="shared" si="37"/>
        <v>19.269313009600907</v>
      </c>
      <c r="BG26" s="20">
        <f t="shared" si="7"/>
        <v>152.64683015838821</v>
      </c>
      <c r="BH26" s="59">
        <f t="shared" si="8"/>
        <v>376.13202686793471</v>
      </c>
      <c r="BI26" s="59">
        <f ca="1">AVERAGE(OFFSET($BH$3,0,0,'Données projet'!$E$11+1,1))-AVERAGE(OFFSET($H$3,0,0,'Données projet'!$E$11+1,1))</f>
        <v>349.17860987804869</v>
      </c>
      <c r="BJ26" s="59">
        <f t="shared" si="38"/>
        <v>273.69433466447049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2.541917313721735</v>
      </c>
      <c r="BQ26" s="21">
        <f>EXP(-LN(2)/25)*BQ25+(1-EXP(-LN(2)/25))/(LN(2)/25)*Calculateur!BL26*Calculateur!BN26*VLOOKUP('Données projet'!$B$11,Paramètres!$A$1:$I$89,3,0)*0.475*44/12</f>
        <v>2.4724472388241518</v>
      </c>
      <c r="BR26" s="21">
        <f>EXP(-LN(2)/2)*BR25+(1-EXP(-LN(2)/2))/(LN(2)/2)*BL26*BO26*VLOOKUP('Données projet'!$B$11,Paramètres!$A$1:$I$89,3,0)*0.475*44/12</f>
        <v>4.4400181434306774</v>
      </c>
      <c r="BS26" s="22">
        <f t="shared" si="9"/>
        <v>9.4543826959765642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13</v>
      </c>
      <c r="N27" s="13">
        <f>IF('Données projet'!$A$36&gt;35,N26+M27-V26,IF(A27&lt;'Données projet'!$A$36,$K$205^A27,IF(A27='Données projet'!$A$36,'Données projet'!$B$36,N26+M27-V26)))</f>
        <v>246.00000000000003</v>
      </c>
      <c r="O27" s="13">
        <f>N27*VLOOKUP('Données projet'!$B$9,Paramètres!$A$1:$I$89,3,0)*VLOOKUP('Données projet'!$B$9,Paramètres!$A$1:$I$89,5,0)</f>
        <v>222.58080000000001</v>
      </c>
      <c r="P27" s="13">
        <f t="shared" si="33"/>
        <v>54.675428546153249</v>
      </c>
      <c r="Q27" s="20">
        <f t="shared" si="2"/>
        <v>482.8879313845502</v>
      </c>
      <c r="R27" s="59">
        <f t="shared" si="0"/>
        <v>708.65863956816997</v>
      </c>
      <c r="S27" s="59">
        <f ca="1">AVERAGE(OFFSET($R$3,0,0,'Données projet'!$E$9+1,1))-AVERAGE(OFFSET($H$3,0,0,'Données projet'!$E$9+1,1))</f>
        <v>446.05900197653546</v>
      </c>
      <c r="T27" s="59">
        <f t="shared" si="34"/>
        <v>630.54710489646106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0.63759567869810241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2.5599381937383563</v>
      </c>
      <c r="AC27" s="22">
        <f t="shared" si="3"/>
        <v>3.1975338724364586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400.92084812526218</v>
      </c>
      <c r="AN27" s="59">
        <f ca="1">AVERAGE(OFFSET($AM$3,0,0,'Données projet'!$E$10+1,1))-AVERAGE(OFFSET($H$3,0,0,'Données projet'!$E$10+1,1))</f>
        <v>394.69391436029986</v>
      </c>
      <c r="AO27" s="59">
        <f t="shared" si="36"/>
        <v>311.37245656657353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1.0979696068726525</v>
      </c>
      <c r="AV27" s="21">
        <f>EXP(-LN(2)/25)*AV26+(1-EXP(-LN(2)/25))/(LN(2)/25)*Calculateur!AQ27*Calculateur!AS27*VLOOKUP('Données projet'!$B$10,Paramètres!$A$1:$I$89,3,0)*0.475*44/12</f>
        <v>1.076455980004468</v>
      </c>
      <c r="AW27" s="21">
        <f>EXP(-LN(2)/2)*AW26+(1-EXP(-LN(2)/2))/(LN(2)/2)*AQ27*AT27*VLOOKUP('Données projet'!$B$10,Paramètres!$A$1:$I$89,3,0)*0.475*44/12</f>
        <v>3.2499595868199678</v>
      </c>
      <c r="AX27" s="21">
        <f t="shared" si="6"/>
        <v>5.4243851736970878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155.29999999999995</v>
      </c>
      <c r="BE27" s="13">
        <f>BD27*VLOOKUP('Données projet'!$B$11,Paramètres!$A$1:$I$89,3,0)*VLOOKUP('Données projet'!$B$11,Paramètres!$A$1:$I$89,5,0)</f>
        <v>72.680399999999977</v>
      </c>
      <c r="BF27" s="13">
        <f t="shared" si="37"/>
        <v>20.337632665681216</v>
      </c>
      <c r="BG27" s="20">
        <f t="shared" si="7"/>
        <v>162.00640689272805</v>
      </c>
      <c r="BH27" s="59">
        <f t="shared" si="8"/>
        <v>387.77711507634785</v>
      </c>
      <c r="BI27" s="59">
        <f ca="1">AVERAGE(OFFSET($BH$3,0,0,'Données projet'!$E$11+1,1))-AVERAGE(OFFSET($H$3,0,0,'Données projet'!$E$11+1,1))</f>
        <v>349.17860987804869</v>
      </c>
      <c r="BJ27" s="59">
        <f t="shared" si="38"/>
        <v>273.69433466447049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2.492071865616122</v>
      </c>
      <c r="BQ27" s="21">
        <f>EXP(-LN(2)/25)*BQ26+(1-EXP(-LN(2)/25))/(LN(2)/25)*Calculateur!BL27*Calculateur!BN27*VLOOKUP('Données projet'!$B$11,Paramètres!$A$1:$I$89,3,0)*0.475*44/12</f>
        <v>2.4048380390581561</v>
      </c>
      <c r="BR27" s="21">
        <f>EXP(-LN(2)/2)*BR26+(1-EXP(-LN(2)/2))/(LN(2)/2)*BL27*BO27*VLOOKUP('Données projet'!$B$11,Paramètres!$A$1:$I$89,3,0)*0.475*44/12</f>
        <v>3.139566937811137</v>
      </c>
      <c r="BS27" s="22">
        <f t="shared" si="9"/>
        <v>8.0364768424854152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259</v>
      </c>
      <c r="L28" s="12">
        <f>VLOOKUP(A28,'Données projet'!$A$35:$I$55,9,0)</f>
        <v>13</v>
      </c>
      <c r="M28" s="12">
        <f t="array" ref="M28">INDEX(L:L,MIN(IF(ISNUMBER(L28:L224),ROW(L28:L224),"")))</f>
        <v>13</v>
      </c>
      <c r="N28" s="13">
        <f>IF('Données projet'!$A$36&gt;35,N27+M28-V27,IF(A28&lt;'Données projet'!$A$36,$K$205^A28,IF(A28='Données projet'!$A$36,'Données projet'!$B$36,N27+M28-V27)))</f>
        <v>259</v>
      </c>
      <c r="O28" s="13">
        <f>N28*VLOOKUP('Données projet'!$B$9,Paramètres!$A$1:$I$89,3,0)*VLOOKUP('Données projet'!$B$9,Paramètres!$A$1:$I$89,5,0)</f>
        <v>234.3432</v>
      </c>
      <c r="P28" s="13">
        <f t="shared" si="33"/>
        <v>57.220758006491664</v>
      </c>
      <c r="Q28" s="20">
        <f t="shared" si="2"/>
        <v>507.80722686130622</v>
      </c>
      <c r="R28" s="59">
        <f t="shared" si="0"/>
        <v>735.84500082763839</v>
      </c>
      <c r="S28" s="59">
        <f ca="1">AVERAGE(OFFSET($R$3,0,0,'Données projet'!$E$9+1,1))-AVERAGE(OFFSET($H$3,0,0,'Données projet'!$E$9+1,1))</f>
        <v>446.05900197653546</v>
      </c>
      <c r="T28" s="59">
        <f t="shared" si="34"/>
        <v>630.54710489646106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18</v>
      </c>
      <c r="W28" s="16">
        <f>IF(ISNA(VLOOKUP(A28,'Données projet'!$A$35:$I$55,5,0)),0%,VLOOKUP(A28,'Données projet'!$A$35:$I$55,5,0)*VLOOKUP('Données projet'!$B$9,Paramètres!$A$1:$I$89,7,0))</f>
        <v>0.09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0.3</v>
      </c>
      <c r="Z28" s="21">
        <f>EXP(-LN(2)/35)*Z27+(1-EXP(-LN(2)/35))/(LN(2)/35)*V28*W28*VLOOKUP('Données projet'!$B$9,Paramètres!$A$1:$I$89,3,0)*0.475*44/12</f>
        <v>2.2454647673640857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6.4201466788195916</v>
      </c>
      <c r="AC28" s="22">
        <f t="shared" si="3"/>
        <v>8.6656114461836768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419.16328695263314</v>
      </c>
      <c r="AN28" s="59">
        <f ca="1">AVERAGE(OFFSET($AM$3,0,0,'Données projet'!$E$10+1,1))-AVERAGE(OFFSET($H$3,0,0,'Données projet'!$E$10+1,1))</f>
        <v>394.69391436029986</v>
      </c>
      <c r="AO28" s="59">
        <f t="shared" si="36"/>
        <v>311.37245656657353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0.13500000000000001</v>
      </c>
      <c r="AS28" s="16">
        <f>IF(ISNA(VLOOKUP(A28,'Données projet'!$A$61:$I$81,6,0)),0%,VLOOKUP(A28,'Données projet'!$A$61:$I$81,6,0)*VLOOKUP('Données projet'!$B$10,Paramètres!$A$1:$I$89,7,0))</f>
        <v>0.18000000000000002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2.8970294168669923</v>
      </c>
      <c r="AV28" s="21">
        <f>EXP(-LN(2)/25)*AV27+(1-EXP(-LN(2)/25))/(LN(2)/25)*Calculateur!AQ28*Calculateur!AS28*VLOOKUP('Données projet'!$B$10,Paramètres!$A$1:$I$89,3,0)*0.475*44/12</f>
        <v>3.4649161899345557</v>
      </c>
      <c r="AW28" s="21">
        <f>EXP(-LN(2)/2)*AW27+(1-EXP(-LN(2)/2))/(LN(2)/2)*AQ28*AT28*VLOOKUP('Données projet'!$B$10,Paramètres!$A$1:$I$89,3,0)*0.475*44/12</f>
        <v>5.7511505234188451</v>
      </c>
      <c r="AX28" s="21">
        <f t="shared" si="6"/>
        <v>12.113096130220393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164.49999999999994</v>
      </c>
      <c r="BE28" s="13">
        <f>BD28*VLOOKUP('Données projet'!$B$11,Paramètres!$A$1:$I$89,3,0)*VLOOKUP('Données projet'!$B$11,Paramètres!$A$1:$I$89,5,0)</f>
        <v>76.985999999999976</v>
      </c>
      <c r="BF28" s="13">
        <f t="shared" si="37"/>
        <v>21.398606468170591</v>
      </c>
      <c r="BG28" s="20">
        <f t="shared" si="7"/>
        <v>171.35318959873041</v>
      </c>
      <c r="BH28" s="59">
        <f t="shared" si="8"/>
        <v>399.39096356506252</v>
      </c>
      <c r="BI28" s="59">
        <f ca="1">AVERAGE(OFFSET($BH$3,0,0,'Données projet'!$E$11+1,1))-AVERAGE(OFFSET($H$3,0,0,'Données projet'!$E$11+1,1))</f>
        <v>349.17860987804869</v>
      </c>
      <c r="BJ28" s="59">
        <f t="shared" si="38"/>
        <v>273.69433466447049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2.4432038563451388</v>
      </c>
      <c r="BQ28" s="21">
        <f>EXP(-LN(2)/25)*BQ27+(1-EXP(-LN(2)/25))/(LN(2)/25)*Calculateur!BL28*Calculateur!BN28*VLOOKUP('Données projet'!$B$11,Paramètres!$A$1:$I$89,3,0)*0.475*44/12</f>
        <v>2.3390776164151745</v>
      </c>
      <c r="BR28" s="21">
        <f>EXP(-LN(2)/2)*BR27+(1-EXP(-LN(2)/2))/(LN(2)/2)*BL28*BO28*VLOOKUP('Données projet'!$B$11,Paramètres!$A$1:$I$89,3,0)*0.475*44/12</f>
        <v>2.2200090717153387</v>
      </c>
      <c r="BS28" s="22">
        <f t="shared" si="9"/>
        <v>7.0022905444756525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10.6</v>
      </c>
      <c r="N29" s="13">
        <f>IF('Données projet'!$A$36&gt;35,N28+M29-V28,IF(A29&lt;'Données projet'!$A$36,$K$205^A29,IF(A29='Données projet'!$A$36,'Données projet'!$B$36,N28+M29-V28)))</f>
        <v>251.60000000000002</v>
      </c>
      <c r="O29" s="13">
        <f>N29*VLOOKUP('Données projet'!$B$9,Paramètres!$A$1:$I$89,3,0)*VLOOKUP('Données projet'!$B$9,Paramètres!$A$1:$I$89,5,0)</f>
        <v>227.64768000000001</v>
      </c>
      <c r="P29" s="13">
        <f t="shared" si="33"/>
        <v>55.773751036838362</v>
      </c>
      <c r="Q29" s="20">
        <f t="shared" si="2"/>
        <v>493.62565905582687</v>
      </c>
      <c r="R29" s="59">
        <f t="shared" si="0"/>
        <v>723.91237310501708</v>
      </c>
      <c r="S29" s="59">
        <f ca="1">AVERAGE(OFFSET($R$3,0,0,'Données projet'!$E$9+1,1))-AVERAGE(OFFSET($H$3,0,0,'Données projet'!$E$9+1,1))</f>
        <v>446.05900197653546</v>
      </c>
      <c r="T29" s="59">
        <f t="shared" si="34"/>
        <v>630.54710489646106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2.2014325728743476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4.5397292528056248</v>
      </c>
      <c r="AC29" s="22">
        <f t="shared" si="3"/>
        <v>6.7411618256799724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416.75249233326872</v>
      </c>
      <c r="AN29" s="59">
        <f ca="1">AVERAGE(OFFSET($AM$3,0,0,'Données projet'!$E$10+1,1))-AVERAGE(OFFSET($H$3,0,0,'Données projet'!$E$10+1,1))</f>
        <v>394.69391436029986</v>
      </c>
      <c r="AO29" s="59">
        <f t="shared" si="36"/>
        <v>311.37245656657353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2.8402204370156969</v>
      </c>
      <c r="AV29" s="21">
        <f>EXP(-LN(2)/25)*AV28+(1-EXP(-LN(2)/25))/(LN(2)/25)*Calculateur!AQ29*Calculateur!AS29*VLOOKUP('Données projet'!$B$10,Paramètres!$A$1:$I$89,3,0)*0.475*44/12</f>
        <v>3.370167874508772</v>
      </c>
      <c r="AW29" s="21">
        <f>EXP(-LN(2)/2)*AW28+(1-EXP(-LN(2)/2))/(LN(2)/2)*AQ29*AT29*VLOOKUP('Données projet'!$B$10,Paramètres!$A$1:$I$89,3,0)*0.475*44/12</f>
        <v>4.066677534734028</v>
      </c>
      <c r="AX29" s="21">
        <f t="shared" si="6"/>
        <v>10.277065846258497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173.69999999999993</v>
      </c>
      <c r="BE29" s="13">
        <f>BD29*VLOOKUP('Données projet'!$B$11,Paramètres!$A$1:$I$89,3,0)*VLOOKUP('Données projet'!$B$11,Paramètres!$A$1:$I$89,5,0)</f>
        <v>81.291599999999974</v>
      </c>
      <c r="BF29" s="13">
        <f t="shared" si="37"/>
        <v>22.452692070336486</v>
      </c>
      <c r="BG29" s="20">
        <f t="shared" si="7"/>
        <v>180.68797535583599</v>
      </c>
      <c r="BH29" s="59">
        <f t="shared" si="8"/>
        <v>410.9746894050262</v>
      </c>
      <c r="BI29" s="59">
        <f ca="1">AVERAGE(OFFSET($BH$3,0,0,'Données projet'!$E$11+1,1))-AVERAGE(OFFSET($H$3,0,0,'Données projet'!$E$11+1,1))</f>
        <v>349.17860987804869</v>
      </c>
      <c r="BJ29" s="59">
        <f t="shared" si="38"/>
        <v>273.69433466447049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2.3952941189294172</v>
      </c>
      <c r="BQ29" s="21">
        <f>EXP(-LN(2)/25)*BQ28+(1-EXP(-LN(2)/25))/(LN(2)/25)*Calculateur!BL29*Calculateur!BN29*VLOOKUP('Données projet'!$B$11,Paramètres!$A$1:$I$89,3,0)*0.475*44/12</f>
        <v>2.275115415987556</v>
      </c>
      <c r="BR29" s="21">
        <f>EXP(-LN(2)/2)*BR28+(1-EXP(-LN(2)/2))/(LN(2)/2)*BL29*BO29*VLOOKUP('Données projet'!$B$11,Paramètres!$A$1:$I$89,3,0)*0.475*44/12</f>
        <v>1.5697834689055685</v>
      </c>
      <c r="BS29" s="22">
        <f t="shared" si="9"/>
        <v>6.2401930038225419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10.6</v>
      </c>
      <c r="N30" s="13">
        <f>IF('Données projet'!$A$36&gt;35,N29+M30-V29,IF(A30&lt;'Données projet'!$A$36,$K$205^A30,IF(A30='Données projet'!$A$36,'Données projet'!$B$36,N29+M30-V29)))</f>
        <v>262.20000000000005</v>
      </c>
      <c r="O30" s="13">
        <f>N30*VLOOKUP('Données projet'!$B$9,Paramètres!$A$1:$I$89,3,0)*VLOOKUP('Données projet'!$B$9,Paramètres!$A$1:$I$89,5,0)</f>
        <v>237.23856000000004</v>
      </c>
      <c r="P30" s="13">
        <f t="shared" si="33"/>
        <v>57.84499363660688</v>
      </c>
      <c r="Q30" s="20">
        <f t="shared" si="2"/>
        <v>513.93718925042367</v>
      </c>
      <c r="R30" s="59">
        <f t="shared" si="0"/>
        <v>746.45503212298718</v>
      </c>
      <c r="S30" s="59">
        <f ca="1">AVERAGE(OFFSET($R$3,0,0,'Données projet'!$E$9+1,1))-AVERAGE(OFFSET($H$3,0,0,'Données projet'!$E$9+1,1))</f>
        <v>446.05900197653546</v>
      </c>
      <c r="T30" s="59">
        <f t="shared" si="34"/>
        <v>630.54710489646106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2.1582638228615663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3.2100733394097962</v>
      </c>
      <c r="AC30" s="22">
        <f t="shared" si="3"/>
        <v>5.3683371622713629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436.31499430851682</v>
      </c>
      <c r="AN30" s="59">
        <f ca="1">AVERAGE(OFFSET($AM$3,0,0,'Données projet'!$E$10+1,1))-AVERAGE(OFFSET($H$3,0,0,'Données projet'!$E$10+1,1))</f>
        <v>394.69391436029986</v>
      </c>
      <c r="AO30" s="59">
        <f t="shared" si="36"/>
        <v>311.37245656657353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2.7845254466092291</v>
      </c>
      <c r="AV30" s="21">
        <f>EXP(-LN(2)/25)*AV29+(1-EXP(-LN(2)/25))/(LN(2)/25)*Calculateur!AQ30*Calculateur!AS30*VLOOKUP('Données projet'!$B$10,Paramètres!$A$1:$I$89,3,0)*0.475*44/12</f>
        <v>3.2780104567509039</v>
      </c>
      <c r="AW30" s="21">
        <f>EXP(-LN(2)/2)*AW29+(1-EXP(-LN(2)/2))/(LN(2)/2)*AQ30*AT30*VLOOKUP('Données projet'!$B$10,Paramètres!$A$1:$I$89,3,0)*0.475*44/12</f>
        <v>2.875575261709423</v>
      </c>
      <c r="AX30" s="21">
        <f t="shared" si="6"/>
        <v>8.9381111650695555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182.89999999999992</v>
      </c>
      <c r="BE30" s="13">
        <f>BD30*VLOOKUP('Données projet'!$B$11,Paramètres!$A$1:$I$89,3,0)*VLOOKUP('Données projet'!$B$11,Paramètres!$A$1:$I$89,5,0)</f>
        <v>85.597199999999958</v>
      </c>
      <c r="BF30" s="13">
        <f t="shared" si="37"/>
        <v>23.500295908287228</v>
      </c>
      <c r="BG30" s="20">
        <f t="shared" si="7"/>
        <v>190.01147204026685</v>
      </c>
      <c r="BH30" s="59">
        <f t="shared" si="8"/>
        <v>422.52931491283039</v>
      </c>
      <c r="BI30" s="59">
        <f ca="1">AVERAGE(OFFSET($BH$3,0,0,'Données projet'!$E$11+1,1))-AVERAGE(OFFSET($H$3,0,0,'Données projet'!$E$11+1,1))</f>
        <v>349.17860987804869</v>
      </c>
      <c r="BJ30" s="59">
        <f t="shared" si="38"/>
        <v>273.69433466447049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2.3483238622423634</v>
      </c>
      <c r="BQ30" s="21">
        <f>EXP(-LN(2)/25)*BQ29+(1-EXP(-LN(2)/25))/(LN(2)/25)*Calculateur!BL30*Calculateur!BN30*VLOOKUP('Données projet'!$B$11,Paramètres!$A$1:$I$89,3,0)*0.475*44/12</f>
        <v>2.2129022652942565</v>
      </c>
      <c r="BR30" s="21">
        <f>EXP(-LN(2)/2)*BR29+(1-EXP(-LN(2)/2))/(LN(2)/2)*BL30*BO30*VLOOKUP('Données projet'!$B$11,Paramètres!$A$1:$I$89,3,0)*0.475*44/12</f>
        <v>1.1100045358576693</v>
      </c>
      <c r="BS30" s="22">
        <f t="shared" si="9"/>
        <v>5.6712306633942893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10.6</v>
      </c>
      <c r="N31" s="13">
        <f>IF('Données projet'!$A$36&gt;35,N30+M31-V30,IF(A31&lt;'Données projet'!$A$36,$K$205^A31,IF(A31='Données projet'!$A$36,'Données projet'!$B$36,N30+M31-V30)))</f>
        <v>272.80000000000007</v>
      </c>
      <c r="O31" s="13">
        <f>N31*VLOOKUP('Données projet'!$B$9,Paramètres!$A$1:$I$89,3,0)*VLOOKUP('Données projet'!$B$9,Paramètres!$A$1:$I$89,5,0)</f>
        <v>246.82944000000003</v>
      </c>
      <c r="P31" s="13">
        <f t="shared" si="33"/>
        <v>59.906509645447485</v>
      </c>
      <c r="Q31" s="20">
        <f t="shared" si="2"/>
        <v>534.23177896582104</v>
      </c>
      <c r="R31" s="59">
        <f t="shared" si="0"/>
        <v>768.96324838780515</v>
      </c>
      <c r="S31" s="59">
        <f ca="1">AVERAGE(OFFSET($R$3,0,0,'Données projet'!$E$9+1,1))-AVERAGE(OFFSET($H$3,0,0,'Données projet'!$E$9+1,1))</f>
        <v>446.05900197653546</v>
      </c>
      <c r="T31" s="59">
        <f t="shared" si="34"/>
        <v>630.54710489646106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2.1159415857061981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2.2698646264028128</v>
      </c>
      <c r="AC31" s="22">
        <f t="shared" si="3"/>
        <v>4.3858062121090109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455.82589347112923</v>
      </c>
      <c r="AN31" s="59">
        <f ca="1">AVERAGE(OFFSET($AM$3,0,0,'Données projet'!$E$10+1,1))-AVERAGE(OFFSET($H$3,0,0,'Données projet'!$E$10+1,1))</f>
        <v>394.69391436029986</v>
      </c>
      <c r="AO31" s="59">
        <f t="shared" si="36"/>
        <v>311.37245656657353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2.7299226009940423</v>
      </c>
      <c r="AV31" s="21">
        <f>EXP(-LN(2)/25)*AV30+(1-EXP(-LN(2)/25))/(LN(2)/25)*Calculateur!AQ31*Calculateur!AS31*VLOOKUP('Données projet'!$B$10,Paramètres!$A$1:$I$89,3,0)*0.475*44/12</f>
        <v>3.1883730884279724</v>
      </c>
      <c r="AW31" s="21">
        <f>EXP(-LN(2)/2)*AW30+(1-EXP(-LN(2)/2))/(LN(2)/2)*AQ31*AT31*VLOOKUP('Données projet'!$B$10,Paramètres!$A$1:$I$89,3,0)*0.475*44/12</f>
        <v>2.0333387673670145</v>
      </c>
      <c r="AX31" s="21">
        <f t="shared" si="6"/>
        <v>7.95163445678903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192.09999999999991</v>
      </c>
      <c r="BE31" s="13">
        <f>BD31*VLOOKUP('Données projet'!$B$11,Paramètres!$A$1:$I$89,3,0)*VLOOKUP('Données projet'!$B$11,Paramètres!$A$1:$I$89,5,0)</f>
        <v>89.902799999999957</v>
      </c>
      <c r="BF31" s="13">
        <f t="shared" si="37"/>
        <v>24.541781220398729</v>
      </c>
      <c r="BG31" s="20">
        <f t="shared" si="7"/>
        <v>199.32431229219435</v>
      </c>
      <c r="BH31" s="59">
        <f t="shared" si="8"/>
        <v>434.05578171417847</v>
      </c>
      <c r="BI31" s="59">
        <f ca="1">AVERAGE(OFFSET($BH$3,0,0,'Données projet'!$E$11+1,1))-AVERAGE(OFFSET($H$3,0,0,'Données projet'!$E$11+1,1))</f>
        <v>349.17860987804869</v>
      </c>
      <c r="BJ31" s="59">
        <f t="shared" si="38"/>
        <v>273.69433466447049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2.3022746636399152</v>
      </c>
      <c r="BQ31" s="21">
        <f>EXP(-LN(2)/25)*BQ30+(1-EXP(-LN(2)/25))/(LN(2)/25)*Calculateur!BL31*Calculateur!BN31*VLOOKUP('Données projet'!$B$11,Paramètres!$A$1:$I$89,3,0)*0.475*44/12</f>
        <v>2.1523903364783123</v>
      </c>
      <c r="BR31" s="21">
        <f>EXP(-LN(2)/2)*BR30+(1-EXP(-LN(2)/2))/(LN(2)/2)*BL31*BO31*VLOOKUP('Données projet'!$B$11,Paramètres!$A$1:$I$89,3,0)*0.475*44/12</f>
        <v>0.78489173445278426</v>
      </c>
      <c r="BS31" s="22">
        <f t="shared" si="9"/>
        <v>5.2395567345710115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10.6</v>
      </c>
      <c r="N32" s="13">
        <f>IF('Données projet'!$A$36&gt;35,N31+M32-V31,IF(A32&lt;'Données projet'!$A$36,$K$205^A32,IF(A32='Données projet'!$A$36,'Données projet'!$B$36,N31+M32-V31)))</f>
        <v>283.40000000000009</v>
      </c>
      <c r="O32" s="13">
        <f>N32*VLOOKUP('Données projet'!$B$9,Paramètres!$A$1:$I$89,3,0)*VLOOKUP('Données projet'!$B$9,Paramètres!$A$1:$I$89,5,0)</f>
        <v>256.42032000000006</v>
      </c>
      <c r="P32" s="13">
        <f t="shared" si="33"/>
        <v>61.958720258016918</v>
      </c>
      <c r="Q32" s="20">
        <f t="shared" si="2"/>
        <v>554.51016178271277</v>
      </c>
      <c r="R32" s="59">
        <f t="shared" si="0"/>
        <v>791.43805910548861</v>
      </c>
      <c r="S32" s="59">
        <f ca="1">AVERAGE(OFFSET($R$3,0,0,'Données projet'!$E$9+1,1))-AVERAGE(OFFSET($H$3,0,0,'Données projet'!$E$9+1,1))</f>
        <v>446.05900197653546</v>
      </c>
      <c r="T32" s="59">
        <f t="shared" si="34"/>
        <v>630.54710489646106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2.0744492618074308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1.6050366697048983</v>
      </c>
      <c r="AC32" s="22">
        <f t="shared" si="3"/>
        <v>3.6794859315123292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475.28853709399789</v>
      </c>
      <c r="AN32" s="59">
        <f ca="1">AVERAGE(OFFSET($AM$3,0,0,'Données projet'!$E$10+1,1))-AVERAGE(OFFSET($H$3,0,0,'Données projet'!$E$10+1,1))</f>
        <v>394.69391436029986</v>
      </c>
      <c r="AO32" s="59">
        <f t="shared" si="36"/>
        <v>311.37245656657353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2.6763904838769217</v>
      </c>
      <c r="AV32" s="21">
        <f>EXP(-LN(2)/25)*AV31+(1-EXP(-LN(2)/25))/(LN(2)/25)*Calculateur!AQ32*Calculateur!AS32*VLOOKUP('Données projet'!$B$10,Paramètres!$A$1:$I$89,3,0)*0.475*44/12</f>
        <v>3.1011868586556557</v>
      </c>
      <c r="AW32" s="21">
        <f>EXP(-LN(2)/2)*AW31+(1-EXP(-LN(2)/2))/(LN(2)/2)*AQ32*AT32*VLOOKUP('Données projet'!$B$10,Paramètres!$A$1:$I$89,3,0)*0.475*44/12</f>
        <v>1.437787630854712</v>
      </c>
      <c r="AX32" s="21">
        <f t="shared" si="6"/>
        <v>7.2153649733872891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201.2999999999999</v>
      </c>
      <c r="BE32" s="13">
        <f>BD32*VLOOKUP('Données projet'!$B$11,Paramètres!$A$1:$I$89,3,0)*VLOOKUP('Données projet'!$B$11,Paramètres!$A$1:$I$89,5,0)</f>
        <v>94.208399999999955</v>
      </c>
      <c r="BF32" s="13">
        <f t="shared" si="37"/>
        <v>25.577474486943441</v>
      </c>
      <c r="BG32" s="20">
        <f t="shared" si="7"/>
        <v>208.62706473142643</v>
      </c>
      <c r="BH32" s="59">
        <f t="shared" si="8"/>
        <v>445.55496205420229</v>
      </c>
      <c r="BI32" s="59">
        <f ca="1">AVERAGE(OFFSET($BH$3,0,0,'Données projet'!$E$11+1,1))-AVERAGE(OFFSET($H$3,0,0,'Données projet'!$E$11+1,1))</f>
        <v>349.17860987804869</v>
      </c>
      <c r="BJ32" s="59">
        <f t="shared" si="38"/>
        <v>273.69433466447049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2.2571284617348231</v>
      </c>
      <c r="BQ32" s="21">
        <f>EXP(-LN(2)/25)*BQ31+(1-EXP(-LN(2)/25))/(LN(2)/25)*Calculateur!BL32*Calculateur!BN32*VLOOKUP('Données projet'!$B$11,Paramètres!$A$1:$I$89,3,0)*0.475*44/12</f>
        <v>2.0935331095380243</v>
      </c>
      <c r="BR32" s="21">
        <f>EXP(-LN(2)/2)*BR31+(1-EXP(-LN(2)/2))/(LN(2)/2)*BL32*BO32*VLOOKUP('Données projet'!$B$11,Paramètres!$A$1:$I$89,3,0)*0.475*44/12</f>
        <v>0.55500226792883467</v>
      </c>
      <c r="BS32" s="22">
        <f t="shared" si="9"/>
        <v>4.905663839201682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294</v>
      </c>
      <c r="L33" s="12">
        <f>VLOOKUP(A33,'Données projet'!$A$35:$I$55,9,0)</f>
        <v>10.6</v>
      </c>
      <c r="M33" s="12">
        <f t="array" ref="M33">INDEX(L:L,MIN(IF(ISNUMBER(L33:L229),ROW(L33:L229),"")))</f>
        <v>10.6</v>
      </c>
      <c r="N33" s="13">
        <f>IF('Données projet'!$A$36&gt;35,N32+M33-V32,IF(A33&lt;'Données projet'!$A$36,$K$205^A33,IF(A33='Données projet'!$A$36,'Données projet'!$B$36,N32+M33-V32)))</f>
        <v>294.00000000000011</v>
      </c>
      <c r="O33" s="13">
        <f>N33*VLOOKUP('Données projet'!$B$9,Paramètres!$A$1:$I$89,3,0)*VLOOKUP('Données projet'!$B$9,Paramètres!$A$1:$I$89,5,0)</f>
        <v>266.01120000000009</v>
      </c>
      <c r="P33" s="13">
        <f t="shared" si="33"/>
        <v>64.002013376125717</v>
      </c>
      <c r="Q33" s="20">
        <f t="shared" si="2"/>
        <v>574.77301329675242</v>
      </c>
      <c r="R33" s="59">
        <f t="shared" si="0"/>
        <v>813.88043822979444</v>
      </c>
      <c r="S33" s="59">
        <f ca="1">AVERAGE(OFFSET($R$3,0,0,'Données projet'!$E$9+1,1))-AVERAGE(OFFSET($H$3,0,0,'Données projet'!$E$9+1,1))</f>
        <v>446.05900197653546</v>
      </c>
      <c r="T33" s="59">
        <f t="shared" si="34"/>
        <v>630.54710489646106</v>
      </c>
      <c r="U33" s="15">
        <f>IF(ISNA(VLOOKUP(A33,'Données projet'!$A$35:$I$55,3,0)),0,VLOOKUP(A33,'Données projet'!$A$35:$I$55,3,0))</f>
        <v>6</v>
      </c>
      <c r="V33" s="15">
        <f>IF(ISNA(VLOOKUP(A33,'Données projet'!$A$35:$I$55,4,0)),0,VLOOKUP(A33,'Données projet'!$A$35:$I$55,4,0))</f>
        <v>14</v>
      </c>
      <c r="W33" s="16">
        <f>IF(ISNA(VLOOKUP(A33,'Données projet'!$A$35:$I$55,5,0)),0%,VLOOKUP(A33,'Données projet'!$A$35:$I$55,5,0)*VLOOKUP('Données projet'!$B$9,Paramètres!$A$1:$I$89,7,0))</f>
        <v>0.09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3.2940598723182806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4.7204855530082188</v>
      </c>
      <c r="AC33" s="22">
        <f t="shared" si="3"/>
        <v>8.0145454253264994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494.7057898999069</v>
      </c>
      <c r="AN33" s="59">
        <f ca="1">AVERAGE(OFFSET($AM$3,0,0,'Données projet'!$E$10+1,1))-AVERAGE(OFFSET($H$3,0,0,'Données projet'!$E$10+1,1))</f>
        <v>394.69391436029986</v>
      </c>
      <c r="AO33" s="59">
        <f t="shared" si="36"/>
        <v>311.37245656657353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0.18000000000000002</v>
      </c>
      <c r="AS33" s="16">
        <f>IF(ISNA(VLOOKUP(A33,'Données projet'!$A$61:$I$81,6,0)),0%,VLOOKUP(A33,'Données projet'!$A$61:$I$81,6,0)*VLOOKUP('Données projet'!$B$10,Paramètres!$A$1:$I$89,7,0))</f>
        <v>0.13500000000000001</v>
      </c>
      <c r="AT33" s="16">
        <f>IF(ISNA(VLOOKUP(A33,'Données projet'!$A$61:$I$81,7,0)),0%,VLOOKUP(A33,'Données projet'!$A$61:$I$81,7,0))</f>
        <v>0.3</v>
      </c>
      <c r="AU33" s="21">
        <f>EXP(-LN(2)/35)*AU32+(1-EXP(-LN(2)/35))/(LN(2)/35)*AQ33*AR33*VLOOKUP('Données projet'!$B$10,Paramètres!$A$1:$I$89,3,0)*0.475*44/12</f>
        <v>7.4788156303645135</v>
      </c>
      <c r="AV33" s="21">
        <f>EXP(-LN(2)/25)*AV32+(1-EXP(-LN(2)/25))/(LN(2)/25)*Calculateur!AQ33*Calculateur!AS33*VLOOKUP('Données projet'!$B$10,Paramètres!$A$1:$I$89,3,0)*0.475*44/12</f>
        <v>6.6432286738888919</v>
      </c>
      <c r="AW33" s="21">
        <f>EXP(-LN(2)/2)*AW32+(1-EXP(-LN(2)/2))/(LN(2)/2)*AQ33*AT33*VLOOKUP('Données projet'!$B$10,Paramètres!$A$1:$I$89,3,0)*0.475*44/12</f>
        <v>7.9228335056759391</v>
      </c>
      <c r="AX33" s="21">
        <f t="shared" si="6"/>
        <v>22.044877809929346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210.5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210.49999999999989</v>
      </c>
      <c r="BE33" s="13">
        <f>BD33*VLOOKUP('Données projet'!$B$11,Paramètres!$A$1:$I$89,3,0)*VLOOKUP('Données projet'!$B$11,Paramètres!$A$1:$I$89,5,0)</f>
        <v>98.513999999999953</v>
      </c>
      <c r="BF33" s="13">
        <f t="shared" si="37"/>
        <v>26.607670659193456</v>
      </c>
      <c r="BG33" s="20">
        <f t="shared" si="7"/>
        <v>217.92024306476185</v>
      </c>
      <c r="BH33" s="59">
        <f t="shared" si="8"/>
        <v>457.02766799780386</v>
      </c>
      <c r="BI33" s="59">
        <f ca="1">AVERAGE(OFFSET($BH$3,0,0,'Données projet'!$E$11+1,1))-AVERAGE(OFFSET($H$3,0,0,'Données projet'!$E$11+1,1))</f>
        <v>349.17860987804869</v>
      </c>
      <c r="BJ33" s="59">
        <f t="shared" si="38"/>
        <v>273.69433466447049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67</v>
      </c>
      <c r="BM33" s="16">
        <f>IF(ISNA(VLOOKUP(A33,'Données projet'!$A$87:$I$107,5,0)),0%,VLOOKUP(A33,'Données projet'!$A$87:$I$107,5,0)*VLOOKUP('Données projet'!$B$11,Paramètres!$A$1:$I$89,7,0))</f>
        <v>0.16500000000000001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0.3</v>
      </c>
      <c r="BP33" s="21">
        <f>EXP(-LN(2)/35)*BP32+(1-EXP(-LN(2)/35))/(LN(2)/35)*BL33*BM33*VLOOKUP('Données projet'!$B$11,Paramètres!$A$1:$I$89,3,0)*0.475*44/12</f>
        <v>9.0761671349983928</v>
      </c>
      <c r="BQ33" s="21">
        <f>EXP(-LN(2)/25)*BQ32+(1-EXP(-LN(2)/25))/(LN(2)/25)*Calculateur!BL33*Calculateur!BN33*VLOOKUP('Données projet'!$B$11,Paramètres!$A$1:$I$89,3,0)*0.475*44/12</f>
        <v>11.151320216689932</v>
      </c>
      <c r="BR33" s="21">
        <f>EXP(-LN(2)/2)*BR32+(1-EXP(-LN(2)/2))/(LN(2)/2)*BL33*BO33*VLOOKUP('Données projet'!$B$11,Paramètres!$A$1:$I$89,3,0)*0.475*44/12</f>
        <v>11.043128643598349</v>
      </c>
      <c r="BS33" s="22">
        <f t="shared" si="9"/>
        <v>31.270615995286676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8.6</v>
      </c>
      <c r="N34" s="13">
        <f>IF('Données projet'!$A$36&gt;35,N33+M34-V33,IF(A34&lt;'Données projet'!$A$36,$K$205^A34,IF(A34='Données projet'!$A$36,'Données projet'!$B$36,N33+M34-V33)))</f>
        <v>288.60000000000014</v>
      </c>
      <c r="O34" s="13">
        <f>N34*VLOOKUP('Données projet'!$B$9,Paramètres!$A$1:$I$89,3,0)*VLOOKUP('Données projet'!$B$9,Paramètres!$A$1:$I$89,5,0)</f>
        <v>261.12528000000009</v>
      </c>
      <c r="P34" s="13">
        <f t="shared" si="33"/>
        <v>62.962181856353716</v>
      </c>
      <c r="Q34" s="20">
        <f t="shared" si="2"/>
        <v>564.45232939981622</v>
      </c>
      <c r="R34" s="59">
        <f t="shared" si="0"/>
        <v>804.50045261263381</v>
      </c>
      <c r="S34" s="59">
        <f ca="1">AVERAGE(OFFSET($R$3,0,0,'Données projet'!$E$9+1,1))-AVERAGE(OFFSET($H$3,0,0,'Données projet'!$E$9+1,1))</f>
        <v>446.05900197653546</v>
      </c>
      <c r="T34" s="59">
        <f t="shared" si="34"/>
        <v>630.54710489646106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3.2294653674002514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3.3378873450252415</v>
      </c>
      <c r="AC34" s="22">
        <f t="shared" si="3"/>
        <v>6.5673527124254925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470.6812874997147</v>
      </c>
      <c r="AN34" s="59">
        <f ca="1">AVERAGE(OFFSET($AM$3,0,0,'Données projet'!$E$10+1,1))-AVERAGE(OFFSET($H$3,0,0,'Données projet'!$E$10+1,1))</f>
        <v>394.69391436029986</v>
      </c>
      <c r="AO34" s="59">
        <f t="shared" si="36"/>
        <v>311.37245656657353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7.3321606174801763</v>
      </c>
      <c r="AV34" s="21">
        <f>EXP(-LN(2)/25)*AV33+(1-EXP(-LN(2)/25))/(LN(2)/25)*Calculateur!AQ34*Calculateur!AS34*VLOOKUP('Données projet'!$B$10,Paramètres!$A$1:$I$89,3,0)*0.475*44/12</f>
        <v>6.4615692364491872</v>
      </c>
      <c r="AW34" s="21">
        <f>EXP(-LN(2)/2)*AW33+(1-EXP(-LN(2)/2))/(LN(2)/2)*AQ34*AT34*VLOOKUP('Données projet'!$B$10,Paramètres!$A$1:$I$89,3,0)*0.475*44/12</f>
        <v>5.6022892980754442</v>
      </c>
      <c r="AX34" s="21">
        <f t="shared" si="6"/>
        <v>19.396019152004808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</v>
      </c>
      <c r="BD34" s="12">
        <f>IF('Données projet'!$A$88&gt;35,BD33+BC34-BL33,IF(A34&lt;'Données projet'!$A$88,$BA$205^A34,IF(A34='Données projet'!$A$88,'Données projet'!$B$88,BD33+BC34-BL33)))</f>
        <v>153.49999999999989</v>
      </c>
      <c r="BE34" s="13">
        <f>BD34*VLOOKUP('Données projet'!$B$11,Paramètres!$A$1:$I$89,3,0)*VLOOKUP('Données projet'!$B$11,Paramètres!$A$1:$I$89,5,0)</f>
        <v>71.837999999999951</v>
      </c>
      <c r="BF34" s="13">
        <f t="shared" si="37"/>
        <v>20.129206956785634</v>
      </c>
      <c r="BG34" s="20">
        <f t="shared" si="7"/>
        <v>160.17621878306821</v>
      </c>
      <c r="BH34" s="59">
        <f t="shared" si="8"/>
        <v>400.22434199588577</v>
      </c>
      <c r="BI34" s="59">
        <f ca="1">AVERAGE(OFFSET($BH$3,0,0,'Données projet'!$E$11+1,1))-AVERAGE(OFFSET($H$3,0,0,'Données projet'!$E$11+1,1))</f>
        <v>349.17860987804869</v>
      </c>
      <c r="BJ34" s="59">
        <f t="shared" si="38"/>
        <v>273.69433466447049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8.8981890333964007</v>
      </c>
      <c r="BQ34" s="21">
        <f>EXP(-LN(2)/25)*BQ33+(1-EXP(-LN(2)/25))/(LN(2)/25)*Calculateur!BL34*Calculateur!BN34*VLOOKUP('Données projet'!$B$11,Paramètres!$A$1:$I$89,3,0)*0.475*44/12</f>
        <v>10.846386778942103</v>
      </c>
      <c r="BR34" s="21">
        <f>EXP(-LN(2)/2)*BR33+(1-EXP(-LN(2)/2))/(LN(2)/2)*BL34*BO34*VLOOKUP('Données projet'!$B$11,Paramètres!$A$1:$I$89,3,0)*0.475*44/12</f>
        <v>7.8086711494037937</v>
      </c>
      <c r="BS34" s="22">
        <f t="shared" si="9"/>
        <v>27.553246961742296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8.6</v>
      </c>
      <c r="N35" s="13">
        <f>IF('Données projet'!$A$36&gt;35,N34+M35-V34,IF(A35&lt;'Données projet'!$A$36,$K$205^A35,IF(A35='Données projet'!$A$36,'Données projet'!$B$36,N34+M35-V34)))</f>
        <v>297.20000000000016</v>
      </c>
      <c r="O35" s="13">
        <f>N35*VLOOKUP('Données projet'!$B$9,Paramètres!$A$1:$I$89,3,0)*VLOOKUP('Données projet'!$B$9,Paramètres!$A$1:$I$89,5,0)</f>
        <v>268.90656000000013</v>
      </c>
      <c r="P35" s="13">
        <f t="shared" si="33"/>
        <v>64.617158945843826</v>
      </c>
      <c r="Q35" s="20">
        <f t="shared" ref="Q35:Q66" si="53">(O35+P35)*0.475*44/12</f>
        <v>580.88714383067816</v>
      </c>
      <c r="R35" s="59">
        <f t="shared" si="0"/>
        <v>821.85964631120351</v>
      </c>
      <c r="S35" s="59">
        <f ca="1">AVERAGE(OFFSET($R$3,0,0,'Données projet'!$E$9+1,1))-AVERAGE(OFFSET($H$3,0,0,'Données projet'!$E$9+1,1))</f>
        <v>446.05900197653546</v>
      </c>
      <c r="T35" s="59">
        <f t="shared" si="34"/>
        <v>630.54710489646106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3.1661375213249068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2.3602427765041099</v>
      </c>
      <c r="AC35" s="22">
        <f t="shared" si="3"/>
        <v>5.5263802978290162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490.39928990417604</v>
      </c>
      <c r="AN35" s="59">
        <f ca="1">AVERAGE(OFFSET($AM$3,0,0,'Données projet'!$E$10+1,1))-AVERAGE(OFFSET($H$3,0,0,'Données projet'!$E$10+1,1))</f>
        <v>394.69391436029986</v>
      </c>
      <c r="AO35" s="59">
        <f t="shared" si="36"/>
        <v>311.37245656657353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7.1883814199477758</v>
      </c>
      <c r="AV35" s="21">
        <f>EXP(-LN(2)/25)*AV34+(1-EXP(-LN(2)/25))/(LN(2)/25)*Calculateur!AQ35*Calculateur!AS35*VLOOKUP('Données projet'!$B$10,Paramètres!$A$1:$I$89,3,0)*0.475*44/12</f>
        <v>6.2848772858793263</v>
      </c>
      <c r="AW35" s="21">
        <f>EXP(-LN(2)/2)*AW34+(1-EXP(-LN(2)/2))/(LN(2)/2)*AQ35*AT35*VLOOKUP('Données projet'!$B$10,Paramètres!$A$1:$I$89,3,0)*0.475*44/12</f>
        <v>3.9614167528379705</v>
      </c>
      <c r="AX35" s="21">
        <f t="shared" si="6"/>
        <v>17.434675458665073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</v>
      </c>
      <c r="BD35" s="12">
        <f>IF('Données projet'!$A$88&gt;35,BD34+BC35-BL34,IF(A35&lt;'Données projet'!$A$88,$BA$205^A35,IF(A35='Données projet'!$A$88,'Données projet'!$B$88,BD34+BC35-BL34)))</f>
        <v>163.49999999999989</v>
      </c>
      <c r="BE35" s="13">
        <f>BD35*VLOOKUP('Données projet'!$B$11,Paramètres!$A$1:$I$89,3,0)*VLOOKUP('Données projet'!$B$11,Paramètres!$A$1:$I$89,5,0)</f>
        <v>76.517999999999944</v>
      </c>
      <c r="BF35" s="13">
        <f t="shared" si="37"/>
        <v>21.283624623620089</v>
      </c>
      <c r="BG35" s="20">
        <f t="shared" si="7"/>
        <v>170.33782955280489</v>
      </c>
      <c r="BH35" s="59">
        <f t="shared" si="8"/>
        <v>411.31033203333021</v>
      </c>
      <c r="BI35" s="59">
        <f ca="1">AVERAGE(OFFSET($BH$3,0,0,'Données projet'!$E$11+1,1))-AVERAGE(OFFSET($H$3,0,0,'Données projet'!$E$11+1,1))</f>
        <v>349.17860987804869</v>
      </c>
      <c r="BJ35" s="59">
        <f t="shared" si="38"/>
        <v>273.69433466447049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8.7237009738109013</v>
      </c>
      <c r="BQ35" s="21">
        <f>EXP(-LN(2)/25)*BQ34+(1-EXP(-LN(2)/25))/(LN(2)/25)*Calculateur!BL35*Calculateur!BN35*VLOOKUP('Données projet'!$B$11,Paramètres!$A$1:$I$89,3,0)*0.475*44/12</f>
        <v>10.54979176208524</v>
      </c>
      <c r="BR35" s="21">
        <f>EXP(-LN(2)/2)*BR34+(1-EXP(-LN(2)/2))/(LN(2)/2)*BL35*BO35*VLOOKUP('Données projet'!$B$11,Paramètres!$A$1:$I$89,3,0)*0.475*44/12</f>
        <v>5.5215643217991754</v>
      </c>
      <c r="BS35" s="22">
        <f t="shared" si="9"/>
        <v>24.795057057695317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8.6</v>
      </c>
      <c r="N36" s="13">
        <f>IF('Données projet'!$A$36&gt;35,N35+M36-V35,IF(A36&lt;'Données projet'!$A$36,$K$205^A36,IF(A36='Données projet'!$A$36,'Données projet'!$B$36,N35+M36-V35)))</f>
        <v>305.80000000000018</v>
      </c>
      <c r="O36" s="13">
        <f>N36*VLOOKUP('Données projet'!$B$9,Paramètres!$A$1:$I$89,3,0)*VLOOKUP('Données projet'!$B$9,Paramètres!$A$1:$I$89,5,0)</f>
        <v>276.68784000000016</v>
      </c>
      <c r="P36" s="13">
        <f t="shared" si="33"/>
        <v>66.266570237082931</v>
      </c>
      <c r="Q36" s="20">
        <f t="shared" si="53"/>
        <v>597.31226449625308</v>
      </c>
      <c r="R36" s="59">
        <f t="shared" si="0"/>
        <v>839.19311033079384</v>
      </c>
      <c r="S36" s="59">
        <f ca="1">AVERAGE(OFFSET($R$3,0,0,'Données projet'!$E$9+1,1))-AVERAGE(OFFSET($H$3,0,0,'Données projet'!$E$9+1,1))</f>
        <v>446.05900197653546</v>
      </c>
      <c r="T36" s="59">
        <f t="shared" si="34"/>
        <v>630.54710489646106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3.1040514956849279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1.6689436725126212</v>
      </c>
      <c r="AC36" s="22">
        <f t="shared" si="3"/>
        <v>4.7729951681975491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510.06914345150301</v>
      </c>
      <c r="AN36" s="59">
        <f ca="1">AVERAGE(OFFSET($AM$3,0,0,'Données projet'!$E$10+1,1))-AVERAGE(OFFSET($H$3,0,0,'Données projet'!$E$10+1,1))</f>
        <v>394.69391436029986</v>
      </c>
      <c r="AO36" s="59">
        <f t="shared" si="36"/>
        <v>311.37245656657353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7.047421644782335</v>
      </c>
      <c r="AV36" s="21">
        <f>EXP(-LN(2)/25)*AV35+(1-EXP(-LN(2)/25))/(LN(2)/25)*Calculateur!AQ36*Calculateur!AS36*VLOOKUP('Données projet'!$B$10,Paramètres!$A$1:$I$89,3,0)*0.475*44/12</f>
        <v>6.1130169859896242</v>
      </c>
      <c r="AW36" s="21">
        <f>EXP(-LN(2)/2)*AW35+(1-EXP(-LN(2)/2))/(LN(2)/2)*AQ36*AT36*VLOOKUP('Données projet'!$B$10,Paramètres!$A$1:$I$89,3,0)*0.475*44/12</f>
        <v>2.8011446490377225</v>
      </c>
      <c r="AX36" s="21">
        <f t="shared" si="6"/>
        <v>15.961583279809682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</v>
      </c>
      <c r="BD36" s="12">
        <f>IF('Données projet'!$A$88&gt;35,BD35+BC36-BL35,IF(A36&lt;'Données projet'!$A$88,$BA$205^A36,IF(A36='Données projet'!$A$88,'Données projet'!$B$88,BD35+BC36-BL35)))</f>
        <v>173.49999999999989</v>
      </c>
      <c r="BE36" s="13">
        <f>BD36*VLOOKUP('Données projet'!$B$11,Paramètres!$A$1:$I$89,3,0)*VLOOKUP('Données projet'!$B$11,Paramètres!$A$1:$I$89,5,0)</f>
        <v>81.197999999999951</v>
      </c>
      <c r="BF36" s="13">
        <f t="shared" si="37"/>
        <v>22.429847477648512</v>
      </c>
      <c r="BG36" s="20">
        <f t="shared" si="7"/>
        <v>180.48516769023772</v>
      </c>
      <c r="BH36" s="59">
        <f t="shared" si="8"/>
        <v>422.36601352477845</v>
      </c>
      <c r="BI36" s="59">
        <f ca="1">AVERAGE(OFFSET($BH$3,0,0,'Données projet'!$E$11+1,1))-AVERAGE(OFFSET($H$3,0,0,'Données projet'!$E$11+1,1))</f>
        <v>349.17860987804869</v>
      </c>
      <c r="BJ36" s="59">
        <f t="shared" si="38"/>
        <v>273.69433466447049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8.5526345186466646</v>
      </c>
      <c r="BQ36" s="21">
        <f>EXP(-LN(2)/25)*BQ35+(1-EXP(-LN(2)/25))/(LN(2)/25)*Calculateur!BL36*Calculateur!BN36*VLOOKUP('Données projet'!$B$11,Paramètres!$A$1:$I$89,3,0)*0.475*44/12</f>
        <v>10.261307151561583</v>
      </c>
      <c r="BR36" s="21">
        <f>EXP(-LN(2)/2)*BR35+(1-EXP(-LN(2)/2))/(LN(2)/2)*BL36*BO36*VLOOKUP('Données projet'!$B$11,Paramètres!$A$1:$I$89,3,0)*0.475*44/12</f>
        <v>3.9043355747018973</v>
      </c>
      <c r="BS36" s="22">
        <f t="shared" si="9"/>
        <v>22.718277244910144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8.6</v>
      </c>
      <c r="N37" s="13">
        <f>IF('Données projet'!$A$36&gt;35,N36+M37-V36,IF(A37&lt;'Données projet'!$A$36,$K$205^A37,IF(A37='Données projet'!$A$36,'Données projet'!$B$36,N36+M37-V36)))</f>
        <v>314.4000000000002</v>
      </c>
      <c r="O37" s="13">
        <f>N37*VLOOKUP('Données projet'!$B$9,Paramètres!$A$1:$I$89,3,0)*VLOOKUP('Données projet'!$B$9,Paramètres!$A$1:$I$89,5,0)</f>
        <v>284.4691200000002</v>
      </c>
      <c r="P37" s="13">
        <f t="shared" si="33"/>
        <v>67.910590237379097</v>
      </c>
      <c r="Q37" s="20">
        <f t="shared" si="53"/>
        <v>613.72799533010232</v>
      </c>
      <c r="R37" s="59">
        <f t="shared" si="0"/>
        <v>856.5014267922179</v>
      </c>
      <c r="S37" s="59">
        <f ca="1">AVERAGE(OFFSET($R$3,0,0,'Données projet'!$E$9+1,1))-AVERAGE(OFFSET($H$3,0,0,'Données projet'!$E$9+1,1))</f>
        <v>446.05900197653546</v>
      </c>
      <c r="T37" s="59">
        <f t="shared" si="34"/>
        <v>630.54710489646106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3.0431829391390126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1.1801213882520551</v>
      </c>
      <c r="AC37" s="22">
        <f t="shared" si="3"/>
        <v>4.2233043273910678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529.69368850800265</v>
      </c>
      <c r="AN37" s="59">
        <f ca="1">AVERAGE(OFFSET($AM$3,0,0,'Données projet'!$E$10+1,1))-AVERAGE(OFFSET($H$3,0,0,'Données projet'!$E$10+1,1))</f>
        <v>394.69391436029986</v>
      </c>
      <c r="AO37" s="59">
        <f t="shared" si="36"/>
        <v>311.37245656657353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6.9092260048309146</v>
      </c>
      <c r="AV37" s="21">
        <f>EXP(-LN(2)/25)*AV36+(1-EXP(-LN(2)/25))/(LN(2)/25)*Calculateur!AQ37*Calculateur!AS37*VLOOKUP('Données projet'!$B$10,Paramètres!$A$1:$I$89,3,0)*0.475*44/12</f>
        <v>5.9458562150381464</v>
      </c>
      <c r="AW37" s="21">
        <f>EXP(-LN(2)/2)*AW36+(1-EXP(-LN(2)/2))/(LN(2)/2)*AQ37*AT37*VLOOKUP('Données projet'!$B$10,Paramètres!$A$1:$I$89,3,0)*0.475*44/12</f>
        <v>1.9807083764189855</v>
      </c>
      <c r="AX37" s="21">
        <f t="shared" si="6"/>
        <v>14.835790596288046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</v>
      </c>
      <c r="BD37" s="12">
        <f>IF('Données projet'!$A$88&gt;35,BD36+BC37-BL36,IF(A37&lt;'Données projet'!$A$88,$BA$205^A37,IF(A37='Données projet'!$A$88,'Données projet'!$B$88,BD36+BC37-BL36)))</f>
        <v>183.49999999999989</v>
      </c>
      <c r="BE37" s="13">
        <f>BD37*VLOOKUP('Données projet'!$B$11,Paramètres!$A$1:$I$89,3,0)*VLOOKUP('Données projet'!$B$11,Paramètres!$A$1:$I$89,5,0)</f>
        <v>85.877999999999957</v>
      </c>
      <c r="BF37" s="13">
        <f t="shared" si="37"/>
        <v>23.56840165498652</v>
      </c>
      <c r="BG37" s="20">
        <f t="shared" si="7"/>
        <v>190.61914954910142</v>
      </c>
      <c r="BH37" s="59">
        <f t="shared" si="8"/>
        <v>433.39258101121698</v>
      </c>
      <c r="BI37" s="59">
        <f ca="1">AVERAGE(OFFSET($BH$3,0,0,'Données projet'!$E$11+1,1))-AVERAGE(OFFSET($H$3,0,0,'Données projet'!$E$11+1,1))</f>
        <v>349.17860987804869</v>
      </c>
      <c r="BJ37" s="59">
        <f t="shared" si="38"/>
        <v>273.69433466447049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8.3849225723279641</v>
      </c>
      <c r="BQ37" s="21">
        <f>EXP(-LN(2)/25)*BQ36+(1-EXP(-LN(2)/25))/(LN(2)/25)*Calculateur!BL37*Calculateur!BN37*VLOOKUP('Données projet'!$B$11,Paramètres!$A$1:$I$89,3,0)*0.475*44/12</f>
        <v>9.9807111678834417</v>
      </c>
      <c r="BR37" s="21">
        <f>EXP(-LN(2)/2)*BR36+(1-EXP(-LN(2)/2))/(LN(2)/2)*BL37*BO37*VLOOKUP('Données projet'!$B$11,Paramètres!$A$1:$I$89,3,0)*0.475*44/12</f>
        <v>2.7607821608995882</v>
      </c>
      <c r="BS37" s="22">
        <f t="shared" si="9"/>
        <v>21.126415901110995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323</v>
      </c>
      <c r="L38" s="12">
        <f>VLOOKUP(A38,'Données projet'!$A$35:$I$55,9,0)</f>
        <v>8.6</v>
      </c>
      <c r="M38" s="12">
        <f t="array" ref="M38">INDEX(L:L,MIN(IF(ISNUMBER(L38:L234),ROW(L38:L234),"")))</f>
        <v>8.6</v>
      </c>
      <c r="N38" s="13">
        <f>IF('Données projet'!$A$36&gt;35,N37+M38-V37,IF(A38&lt;'Données projet'!$A$36,$K$205^A38,IF(A38='Données projet'!$A$36,'Données projet'!$B$36,N37+M38-V37)))</f>
        <v>323.00000000000023</v>
      </c>
      <c r="O38" s="13">
        <f>N38*VLOOKUP('Données projet'!$B$9,Paramètres!$A$1:$I$89,3,0)*VLOOKUP('Données projet'!$B$9,Paramètres!$A$1:$I$89,5,0)</f>
        <v>292.25040000000018</v>
      </c>
      <c r="P38" s="13">
        <f t="shared" si="33"/>
        <v>69.549383363839993</v>
      </c>
      <c r="Q38" s="20">
        <f t="shared" si="53"/>
        <v>630.13462269202159</v>
      </c>
      <c r="R38" s="59">
        <f t="shared" si="0"/>
        <v>873.78515541659613</v>
      </c>
      <c r="S38" s="59">
        <f ca="1">AVERAGE(OFFSET($R$3,0,0,'Données projet'!$E$9+1,1))-AVERAGE(OFFSET($H$3,0,0,'Données projet'!$E$9+1,1))</f>
        <v>446.05900197653546</v>
      </c>
      <c r="T38" s="59">
        <f t="shared" si="34"/>
        <v>630.54710489646106</v>
      </c>
      <c r="U38" s="15">
        <f>IF(ISNA(VLOOKUP(A38,'Données projet'!$A$35:$I$55,3,0)),0,VLOOKUP(A38,'Données projet'!$A$35:$I$55,3,0))</f>
        <v>7</v>
      </c>
      <c r="V38" s="15">
        <f>IF(ISNA(VLOOKUP(A38,'Données projet'!$A$35:$I$55,4,0)),0,VLOOKUP(A38,'Données projet'!$A$35:$I$55,4,0))</f>
        <v>11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2.9835079778608091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0.83447183625631072</v>
      </c>
      <c r="AC38" s="22">
        <f t="shared" si="3"/>
        <v>3.8179798141171197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549.27539867031885</v>
      </c>
      <c r="AN38" s="59">
        <f ca="1">AVERAGE(OFFSET($AM$3,0,0,'Données projet'!$E$10+1,1))-AVERAGE(OFFSET($H$3,0,0,'Données projet'!$E$10+1,1))</f>
        <v>394.69391436029986</v>
      </c>
      <c r="AO38" s="59">
        <f t="shared" si="36"/>
        <v>311.37245656657353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6.7737402970879241</v>
      </c>
      <c r="AV38" s="21">
        <f>EXP(-LN(2)/25)*AV37+(1-EXP(-LN(2)/25))/(LN(2)/25)*Calculateur!AQ38*Calculateur!AS38*VLOOKUP('Données projet'!$B$10,Paramètres!$A$1:$I$89,3,0)*0.475*44/12</f>
        <v>5.7832664641589391</v>
      </c>
      <c r="AW38" s="21">
        <f>EXP(-LN(2)/2)*AW37+(1-EXP(-LN(2)/2))/(LN(2)/2)*AQ38*AT38*VLOOKUP('Données projet'!$B$10,Paramètres!$A$1:$I$89,3,0)*0.475*44/12</f>
        <v>1.4005723245188615</v>
      </c>
      <c r="AX38" s="21">
        <f t="shared" si="6"/>
        <v>13.957579085765726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</v>
      </c>
      <c r="BD38" s="12">
        <f>IF('Données projet'!$A$88&gt;35,BD37+BC38-BL37,IF(A38&lt;'Données projet'!$A$88,$BA$205^A38,IF(A38='Données projet'!$A$88,'Données projet'!$B$88,BD37+BC38-BL37)))</f>
        <v>193.49999999999989</v>
      </c>
      <c r="BE38" s="13">
        <f>BD38*VLOOKUP('Données projet'!$B$11,Paramètres!$A$1:$I$89,3,0)*VLOOKUP('Données projet'!$B$11,Paramètres!$A$1:$I$89,5,0)</f>
        <v>90.55799999999995</v>
      </c>
      <c r="BF38" s="13">
        <f t="shared" si="37"/>
        <v>24.699752708509138</v>
      </c>
      <c r="BG38" s="20">
        <f t="shared" si="7"/>
        <v>200.74058596732002</v>
      </c>
      <c r="BH38" s="59">
        <f t="shared" si="8"/>
        <v>444.39111869189452</v>
      </c>
      <c r="BI38" s="59">
        <f ca="1">AVERAGE(OFFSET($BH$3,0,0,'Données projet'!$E$11+1,1))-AVERAGE(OFFSET($H$3,0,0,'Données projet'!$E$11+1,1))</f>
        <v>349.17860987804869</v>
      </c>
      <c r="BJ38" s="59">
        <f t="shared" si="38"/>
        <v>273.69433466447049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8.2204993549823868</v>
      </c>
      <c r="BQ38" s="21">
        <f>EXP(-LN(2)/25)*BQ37+(1-EXP(-LN(2)/25))/(LN(2)/25)*Calculateur!BL38*Calculateur!BN38*VLOOKUP('Données projet'!$B$11,Paramètres!$A$1:$I$89,3,0)*0.475*44/12</f>
        <v>9.7077880961348804</v>
      </c>
      <c r="BR38" s="21">
        <f>EXP(-LN(2)/2)*BR37+(1-EXP(-LN(2)/2))/(LN(2)/2)*BL38*BO38*VLOOKUP('Données projet'!$B$11,Paramètres!$A$1:$I$89,3,0)*0.475*44/12</f>
        <v>1.9521677873509491</v>
      </c>
      <c r="BS38" s="22">
        <f t="shared" si="9"/>
        <v>19.880455238468215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7.6</v>
      </c>
      <c r="N39" s="13">
        <f>IF('Données projet'!$A$36&gt;35,N38+M39-V38,IF(A39&lt;'Données projet'!$A$36,$K$205^A39,IF(A39='Données projet'!$A$36,'Données projet'!$B$36,N38+M39-V38)))</f>
        <v>319.60000000000025</v>
      </c>
      <c r="O39" s="13">
        <f>N39*VLOOKUP('Données projet'!$B$9,Paramètres!$A$1:$I$89,3,0)*VLOOKUP('Données projet'!$B$9,Paramètres!$A$1:$I$89,5,0)</f>
        <v>289.17408000000023</v>
      </c>
      <c r="P39" s="13">
        <f t="shared" si="33"/>
        <v>68.902103026957732</v>
      </c>
      <c r="Q39" s="20">
        <f t="shared" si="53"/>
        <v>623.64935210528506</v>
      </c>
      <c r="R39" s="59">
        <f t="shared" si="0"/>
        <v>868.16177034631949</v>
      </c>
      <c r="S39" s="59">
        <f ca="1">AVERAGE(OFFSET($R$3,0,0,'Données projet'!$E$9+1,1))-AVERAGE(OFFSET($H$3,0,0,'Données projet'!$E$9+1,1))</f>
        <v>446.05900197653546</v>
      </c>
      <c r="T39" s="59">
        <f t="shared" si="34"/>
        <v>630.54710489646106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2.9250032061751385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0.59006069412602768</v>
      </c>
      <c r="AC39" s="22">
        <f t="shared" si="3"/>
        <v>3.5150639003011661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516.03863939323878</v>
      </c>
      <c r="AN39" s="59">
        <f ca="1">AVERAGE(OFFSET($AM$3,0,0,'Données projet'!$E$10+1,1))-AVERAGE(OFFSET($H$3,0,0,'Données projet'!$E$10+1,1))</f>
        <v>394.69391436029986</v>
      </c>
      <c r="AO39" s="59">
        <f t="shared" si="36"/>
        <v>311.37245656657353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6.640911381435652</v>
      </c>
      <c r="AV39" s="21">
        <f>EXP(-LN(2)/25)*AV38+(1-EXP(-LN(2)/25))/(LN(2)/25)*Calculateur!AQ39*Calculateur!AS39*VLOOKUP('Données projet'!$B$10,Paramètres!$A$1:$I$89,3,0)*0.475*44/12</f>
        <v>5.6251227385677476</v>
      </c>
      <c r="AW39" s="21">
        <f>EXP(-LN(2)/2)*AW38+(1-EXP(-LN(2)/2))/(LN(2)/2)*AQ39*AT39*VLOOKUP('Données projet'!$B$10,Paramètres!$A$1:$I$89,3,0)*0.475*44/12</f>
        <v>0.99035418820949284</v>
      </c>
      <c r="AX39" s="21">
        <f t="shared" si="6"/>
        <v>13.256388308212893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</v>
      </c>
      <c r="BD39" s="12">
        <f>IF('Données projet'!$A$88&gt;35,BD38+BC39-BL38,IF(A39&lt;'Données projet'!$A$88,$BA$205^A39,IF(A39='Données projet'!$A$88,'Données projet'!$B$88,BD38+BC39-BL38)))</f>
        <v>203.49999999999989</v>
      </c>
      <c r="BE39" s="13">
        <f>BD39*VLOOKUP('Données projet'!$B$11,Paramètres!$A$1:$I$89,3,0)*VLOOKUP('Données projet'!$B$11,Paramètres!$A$1:$I$89,5,0)</f>
        <v>95.237999999999957</v>
      </c>
      <c r="BF39" s="13">
        <f t="shared" si="37"/>
        <v>25.824315354051119</v>
      </c>
      <c r="BG39" s="20">
        <f t="shared" si="7"/>
        <v>210.85019924163896</v>
      </c>
      <c r="BH39" s="59">
        <f t="shared" si="8"/>
        <v>455.36261748267339</v>
      </c>
      <c r="BI39" s="59">
        <f ca="1">AVERAGE(OFFSET($BH$3,0,0,'Données projet'!$E$11+1,1))-AVERAGE(OFFSET($H$3,0,0,'Données projet'!$E$11+1,1))</f>
        <v>349.17860987804869</v>
      </c>
      <c r="BJ39" s="59">
        <f t="shared" si="38"/>
        <v>273.69433466447049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8.0593003766406959</v>
      </c>
      <c r="BQ39" s="21">
        <f>EXP(-LN(2)/25)*BQ38+(1-EXP(-LN(2)/25))/(LN(2)/25)*Calculateur!BL39*Calculateur!BN39*VLOOKUP('Données projet'!$B$11,Paramètres!$A$1:$I$89,3,0)*0.475*44/12</f>
        <v>9.4423281201356843</v>
      </c>
      <c r="BR39" s="21">
        <f>EXP(-LN(2)/2)*BR38+(1-EXP(-LN(2)/2))/(LN(2)/2)*BL39*BO39*VLOOKUP('Données projet'!$B$11,Paramètres!$A$1:$I$89,3,0)*0.475*44/12</f>
        <v>1.3803910804497943</v>
      </c>
      <c r="BS39" s="22">
        <f t="shared" si="9"/>
        <v>18.882019577226174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7.6</v>
      </c>
      <c r="N40" s="13">
        <f>IF('Données projet'!$A$36&gt;35,N39+M40-V39,IF(A40&lt;'Données projet'!$A$36,$K$205^A40,IF(A40='Données projet'!$A$36,'Données projet'!$B$36,N39+M40-V39)))</f>
        <v>327.20000000000027</v>
      </c>
      <c r="O40" s="13">
        <f>N40*VLOOKUP('Données projet'!$B$9,Paramètres!$A$1:$I$89,3,0)*VLOOKUP('Données projet'!$B$9,Paramètres!$A$1:$I$89,5,0)</f>
        <v>296.05056000000025</v>
      </c>
      <c r="P40" s="13">
        <f t="shared" si="33"/>
        <v>70.347871650924077</v>
      </c>
      <c r="Q40" s="20">
        <f t="shared" si="53"/>
        <v>638.1439351253598</v>
      </c>
      <c r="R40" s="59">
        <f t="shared" si="0"/>
        <v>883.50328709603093</v>
      </c>
      <c r="S40" s="59">
        <f ca="1">AVERAGE(OFFSET($R$3,0,0,'Données projet'!$E$9+1,1))-AVERAGE(OFFSET($H$3,0,0,'Données projet'!$E$9+1,1))</f>
        <v>446.05900197653546</v>
      </c>
      <c r="T40" s="59">
        <f t="shared" si="34"/>
        <v>630.54710489646106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2.8676456773778369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0.41723591812815541</v>
      </c>
      <c r="AC40" s="22">
        <f t="shared" si="3"/>
        <v>3.2848815955059925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535.35616357298522</v>
      </c>
      <c r="AN40" s="59">
        <f ca="1">AVERAGE(OFFSET($AM$3,0,0,'Données projet'!$E$10+1,1))-AVERAGE(OFFSET($H$3,0,0,'Données projet'!$E$10+1,1))</f>
        <v>394.69391436029986</v>
      </c>
      <c r="AO40" s="59">
        <f t="shared" si="36"/>
        <v>311.37245656657353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6.510687159801682</v>
      </c>
      <c r="AV40" s="21">
        <f>EXP(-LN(2)/25)*AV39+(1-EXP(-LN(2)/25))/(LN(2)/25)*Calculateur!AQ40*Calculateur!AS40*VLOOKUP('Données projet'!$B$10,Paramètres!$A$1:$I$89,3,0)*0.475*44/12</f>
        <v>5.4713034614692644</v>
      </c>
      <c r="AW40" s="21">
        <f>EXP(-LN(2)/2)*AW39+(1-EXP(-LN(2)/2))/(LN(2)/2)*AQ40*AT40*VLOOKUP('Données projet'!$B$10,Paramètres!$A$1:$I$89,3,0)*0.475*44/12</f>
        <v>0.70028616225943086</v>
      </c>
      <c r="AX40" s="21">
        <f t="shared" si="6"/>
        <v>12.682276783530376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</v>
      </c>
      <c r="BD40" s="12">
        <f>IF('Données projet'!$A$88&gt;35,BD39+BC40-BL39,IF(A40&lt;'Données projet'!$A$88,$BA$205^A40,IF(A40='Données projet'!$A$88,'Données projet'!$B$88,BD39+BC40-BL39)))</f>
        <v>213.49999999999989</v>
      </c>
      <c r="BE40" s="13">
        <f>BD40*VLOOKUP('Données projet'!$B$11,Paramètres!$A$1:$I$89,3,0)*VLOOKUP('Données projet'!$B$11,Paramètres!$A$1:$I$89,5,0)</f>
        <v>99.91799999999995</v>
      </c>
      <c r="BF40" s="13">
        <f t="shared" si="37"/>
        <v>26.942461246512746</v>
      </c>
      <c r="BG40" s="20">
        <f t="shared" si="7"/>
        <v>220.94863667100961</v>
      </c>
      <c r="BH40" s="59">
        <f t="shared" si="8"/>
        <v>466.30798864168071</v>
      </c>
      <c r="BI40" s="59">
        <f ca="1">AVERAGE(OFFSET($BH$3,0,0,'Données projet'!$E$11+1,1))-AVERAGE(OFFSET($H$3,0,0,'Données projet'!$E$11+1,1))</f>
        <v>349.17860987804869</v>
      </c>
      <c r="BJ40" s="59">
        <f t="shared" si="38"/>
        <v>273.69433466447049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7.9012624119426178</v>
      </c>
      <c r="BQ40" s="21">
        <f>EXP(-LN(2)/25)*BQ39+(1-EXP(-LN(2)/25))/(LN(2)/25)*Calculateur!BL40*Calculateur!BN40*VLOOKUP('Données projet'!$B$11,Paramètres!$A$1:$I$89,3,0)*0.475*44/12</f>
        <v>9.1841271611401183</v>
      </c>
      <c r="BR40" s="21">
        <f>EXP(-LN(2)/2)*BR39+(1-EXP(-LN(2)/2))/(LN(2)/2)*BL40*BO40*VLOOKUP('Données projet'!$B$11,Paramètres!$A$1:$I$89,3,0)*0.475*44/12</f>
        <v>0.97608389367547466</v>
      </c>
      <c r="BS40" s="22">
        <f t="shared" si="9"/>
        <v>18.061473466758212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7.6</v>
      </c>
      <c r="N41" s="13">
        <f>IF('Données projet'!$A$36&gt;35,N40+M41-V40,IF(A41&lt;'Données projet'!$A$36,$K$205^A41,IF(A41='Données projet'!$A$36,'Données projet'!$B$36,N40+M41-V40)))</f>
        <v>334.8000000000003</v>
      </c>
      <c r="O41" s="13">
        <f>N41*VLOOKUP('Données projet'!$B$9,Paramètres!$A$1:$I$89,3,0)*VLOOKUP('Données projet'!$B$9,Paramètres!$A$1:$I$89,5,0)</f>
        <v>302.92704000000026</v>
      </c>
      <c r="P41" s="13">
        <f t="shared" si="33"/>
        <v>71.789736305653022</v>
      </c>
      <c r="Q41" s="20">
        <f t="shared" si="53"/>
        <v>652.63171873234603</v>
      </c>
      <c r="R41" s="59">
        <f t="shared" si="0"/>
        <v>898.82331202590478</v>
      </c>
      <c r="S41" s="59">
        <f ca="1">AVERAGE(OFFSET($R$3,0,0,'Données projet'!$E$9+1,1))-AVERAGE(OFFSET($H$3,0,0,'Données projet'!$E$9+1,1))</f>
        <v>446.05900197653546</v>
      </c>
      <c r="T41" s="59">
        <f t="shared" si="34"/>
        <v>630.54710489646106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2.8114128947356125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0.29503034706301384</v>
      </c>
      <c r="AC41" s="22">
        <f t="shared" si="3"/>
        <v>3.1064432417986265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554.63271279013418</v>
      </c>
      <c r="AN41" s="59">
        <f ca="1">AVERAGE(OFFSET($AM$3,0,0,'Données projet'!$E$10+1,1))-AVERAGE(OFFSET($H$3,0,0,'Données projet'!$E$10+1,1))</f>
        <v>394.69391436029986</v>
      </c>
      <c r="AO41" s="59">
        <f t="shared" si="36"/>
        <v>311.37245656657353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6.383016555725022</v>
      </c>
      <c r="AV41" s="21">
        <f>EXP(-LN(2)/25)*AV40+(1-EXP(-LN(2)/25))/(LN(2)/25)*Calculateur!AQ41*Calculateur!AS41*VLOOKUP('Données projet'!$B$10,Paramètres!$A$1:$I$89,3,0)*0.475*44/12</f>
        <v>5.3216903805920435</v>
      </c>
      <c r="AW41" s="21">
        <f>EXP(-LN(2)/2)*AW40+(1-EXP(-LN(2)/2))/(LN(2)/2)*AQ41*AT41*VLOOKUP('Données projet'!$B$10,Paramètres!$A$1:$I$89,3,0)*0.475*44/12</f>
        <v>0.49517709410474653</v>
      </c>
      <c r="AX41" s="21">
        <f t="shared" si="6"/>
        <v>12.199884030421813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</v>
      </c>
      <c r="BD41" s="12">
        <f>IF('Données projet'!$A$88&gt;35,BD40+BC41-BL40,IF(A41&lt;'Données projet'!$A$88,$BA$205^A41,IF(A41='Données projet'!$A$88,'Données projet'!$B$88,BD40+BC41-BL40)))</f>
        <v>223.49999999999989</v>
      </c>
      <c r="BE41" s="13">
        <f>BD41*VLOOKUP('Données projet'!$B$11,Paramètres!$A$1:$I$89,3,0)*VLOOKUP('Données projet'!$B$11,Paramètres!$A$1:$I$89,5,0)</f>
        <v>104.59799999999994</v>
      </c>
      <c r="BF41" s="13">
        <f t="shared" si="37"/>
        <v>28.054525257841597</v>
      </c>
      <c r="BG41" s="20">
        <f t="shared" si="7"/>
        <v>231.03648149074067</v>
      </c>
      <c r="BH41" s="59">
        <f t="shared" si="8"/>
        <v>477.22807478429939</v>
      </c>
      <c r="BI41" s="59">
        <f ca="1">AVERAGE(OFFSET($BH$3,0,0,'Données projet'!$E$11+1,1))-AVERAGE(OFFSET($H$3,0,0,'Données projet'!$E$11+1,1))</f>
        <v>349.17860987804869</v>
      </c>
      <c r="BJ41" s="59">
        <f t="shared" si="38"/>
        <v>273.69433466447049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7.7463234753386283</v>
      </c>
      <c r="BQ41" s="21">
        <f>EXP(-LN(2)/25)*BQ40+(1-EXP(-LN(2)/25))/(LN(2)/25)*Calculateur!BL41*Calculateur!BN41*VLOOKUP('Données projet'!$B$11,Paramètres!$A$1:$I$89,3,0)*0.475*44/12</f>
        <v>8.9329867209464844</v>
      </c>
      <c r="BR41" s="21">
        <f>EXP(-LN(2)/2)*BR40+(1-EXP(-LN(2)/2))/(LN(2)/2)*BL41*BO41*VLOOKUP('Données projet'!$B$11,Paramètres!$A$1:$I$89,3,0)*0.475*44/12</f>
        <v>0.69019554022489726</v>
      </c>
      <c r="BS41" s="22">
        <f t="shared" si="9"/>
        <v>17.369505736510011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7.6</v>
      </c>
      <c r="N42" s="13">
        <f>IF('Données projet'!$A$36&gt;35,N41+M42-V41,IF(A42&lt;'Données projet'!$A$36,$K$205^A42,IF(A42='Données projet'!$A$36,'Données projet'!$B$36,N41+M42-V41)))</f>
        <v>342.40000000000032</v>
      </c>
      <c r="O42" s="13">
        <f>N42*VLOOKUP('Données projet'!$B$9,Paramètres!$A$1:$I$89,3,0)*VLOOKUP('Données projet'!$B$9,Paramètres!$A$1:$I$89,5,0)</f>
        <v>309.80352000000028</v>
      </c>
      <c r="P42" s="13">
        <f t="shared" si="33"/>
        <v>73.227795813703821</v>
      </c>
      <c r="Q42" s="20">
        <f t="shared" si="53"/>
        <v>667.11287504220138</v>
      </c>
      <c r="R42" s="59">
        <f t="shared" si="0"/>
        <v>914.12227213230847</v>
      </c>
      <c r="S42" s="59">
        <f ca="1">AVERAGE(OFFSET($R$3,0,0,'Données projet'!$E$9+1,1))-AVERAGE(OFFSET($H$3,0,0,'Données projet'!$E$9+1,1))</f>
        <v>446.05900197653546</v>
      </c>
      <c r="T42" s="59">
        <f t="shared" si="34"/>
        <v>630.54710489646106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2.7562828026623913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0.20861795906407771</v>
      </c>
      <c r="AC42" s="22">
        <f t="shared" si="3"/>
        <v>2.9649007617264691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573.87033428557982</v>
      </c>
      <c r="AN42" s="59">
        <f ca="1">AVERAGE(OFFSET($AM$3,0,0,'Données projet'!$E$10+1,1))-AVERAGE(OFFSET($H$3,0,0,'Données projet'!$E$10+1,1))</f>
        <v>394.69391436029986</v>
      </c>
      <c r="AO42" s="59">
        <f t="shared" si="36"/>
        <v>311.37245656657353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6.2578494943229259</v>
      </c>
      <c r="AV42" s="21">
        <f>EXP(-LN(2)/25)*AV41+(1-EXP(-LN(2)/25))/(LN(2)/25)*Calculateur!AQ42*Calculateur!AS42*VLOOKUP('Données projet'!$B$10,Paramètres!$A$1:$I$89,3,0)*0.475*44/12</f>
        <v>5.1761684772792202</v>
      </c>
      <c r="AW42" s="21">
        <f>EXP(-LN(2)/2)*AW41+(1-EXP(-LN(2)/2))/(LN(2)/2)*AQ42*AT42*VLOOKUP('Données projet'!$B$10,Paramètres!$A$1:$I$89,3,0)*0.475*44/12</f>
        <v>0.35014308112971548</v>
      </c>
      <c r="AX42" s="21">
        <f t="shared" si="6"/>
        <v>11.784161052731861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</v>
      </c>
      <c r="BD42" s="12">
        <f>IF('Données projet'!$A$88&gt;35,BD41+BC42-BL41,IF(A42&lt;'Données projet'!$A$88,$BA$205^A42,IF(A42='Données projet'!$A$88,'Données projet'!$B$88,BD41+BC42-BL41)))</f>
        <v>233.49999999999989</v>
      </c>
      <c r="BE42" s="13">
        <f>BD42*VLOOKUP('Données projet'!$B$11,Paramètres!$A$1:$I$89,3,0)*VLOOKUP('Données projet'!$B$11,Paramètres!$A$1:$I$89,5,0)</f>
        <v>109.27799999999995</v>
      </c>
      <c r="BF42" s="13">
        <f t="shared" si="37"/>
        <v>29.160810599699261</v>
      </c>
      <c r="BG42" s="20">
        <f t="shared" si="7"/>
        <v>241.11426179447608</v>
      </c>
      <c r="BH42" s="59">
        <f t="shared" si="8"/>
        <v>488.12365888458316</v>
      </c>
      <c r="BI42" s="59">
        <f ca="1">AVERAGE(OFFSET($BH$3,0,0,'Données projet'!$E$11+1,1))-AVERAGE(OFFSET($H$3,0,0,'Données projet'!$E$11+1,1))</f>
        <v>349.17860987804869</v>
      </c>
      <c r="BJ42" s="59">
        <f t="shared" si="38"/>
        <v>273.69433466447049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7.5944227967780238</v>
      </c>
      <c r="BQ42" s="21">
        <f>EXP(-LN(2)/25)*BQ41+(1-EXP(-LN(2)/25))/(LN(2)/25)*Calculateur!BL42*Calculateur!BN42*VLOOKUP('Données projet'!$B$11,Paramètres!$A$1:$I$89,3,0)*0.475*44/12</f>
        <v>8.6887137292968486</v>
      </c>
      <c r="BR42" s="21">
        <f>EXP(-LN(2)/2)*BR41+(1-EXP(-LN(2)/2))/(LN(2)/2)*BL42*BO42*VLOOKUP('Données projet'!$B$11,Paramètres!$A$1:$I$89,3,0)*0.475*44/12</f>
        <v>0.48804194683773744</v>
      </c>
      <c r="BS42" s="22">
        <f t="shared" si="9"/>
        <v>16.771178472912609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350</v>
      </c>
      <c r="L43" s="12">
        <f>VLOOKUP(A43,'Données projet'!$A$35:$I$55,9,0)</f>
        <v>7.6</v>
      </c>
      <c r="M43" s="12">
        <f t="array" ref="M43">INDEX(L:L,MIN(IF(ISNUMBER(L43:L239),ROW(L43:L239),"")))</f>
        <v>7.6</v>
      </c>
      <c r="N43" s="13">
        <f>IF('Données projet'!$A$36&gt;35,N42+M43-V42,IF(A43&lt;'Données projet'!$A$36,$K$205^A43,IF(A43='Données projet'!$A$36,'Données projet'!$B$36,N42+M43-V42)))</f>
        <v>350.00000000000034</v>
      </c>
      <c r="O43" s="13">
        <f>N43*VLOOKUP('Données projet'!$B$9,Paramètres!$A$1:$I$89,3,0)*VLOOKUP('Données projet'!$B$9,Paramètres!$A$1:$I$89,5,0)</f>
        <v>316.68000000000029</v>
      </c>
      <c r="P43" s="13">
        <f t="shared" si="33"/>
        <v>74.662144360177834</v>
      </c>
      <c r="Q43" s="20">
        <f t="shared" si="53"/>
        <v>681.58756809397687</v>
      </c>
      <c r="R43" s="59">
        <f t="shared" si="0"/>
        <v>929.40058191309765</v>
      </c>
      <c r="S43" s="59">
        <f ca="1">AVERAGE(OFFSET($R$3,0,0,'Données projet'!$E$9+1,1))-AVERAGE(OFFSET($H$3,0,0,'Données projet'!$E$9+1,1))</f>
        <v>446.05900197653546</v>
      </c>
      <c r="T43" s="59">
        <f t="shared" si="34"/>
        <v>630.54710489646106</v>
      </c>
      <c r="U43" s="15">
        <f>IF(ISNA(VLOOKUP(A43,'Données projet'!$A$35:$I$55,3,0)),0,VLOOKUP(A43,'Données projet'!$A$35:$I$55,3,0))</f>
        <v>8</v>
      </c>
      <c r="V43" s="15">
        <f>IF(ISNA(VLOOKUP(A43,'Données projet'!$A$35:$I$55,4,0)),0,VLOOKUP(A43,'Données projet'!$A$35:$I$55,4,0))</f>
        <v>9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2.70223377806869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0.14751517353150692</v>
      </c>
      <c r="AC43" s="22">
        <f t="shared" si="3"/>
        <v>2.8497489516001968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593.07085238604986</v>
      </c>
      <c r="AN43" s="59">
        <f ca="1">AVERAGE(OFFSET($AM$3,0,0,'Données projet'!$E$10+1,1))-AVERAGE(OFFSET($H$3,0,0,'Données projet'!$E$10+1,1))</f>
        <v>394.69391436029986</v>
      </c>
      <c r="AO43" s="59">
        <f t="shared" si="36"/>
        <v>311.37245656657353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6.1351368826505563</v>
      </c>
      <c r="AV43" s="21">
        <f>EXP(-LN(2)/25)*AV42+(1-EXP(-LN(2)/25))/(LN(2)/25)*Calculateur!AQ43*Calculateur!AS43*VLOOKUP('Données projet'!$B$10,Paramètres!$A$1:$I$89,3,0)*0.475*44/12</f>
        <v>5.0346258780651496</v>
      </c>
      <c r="AW43" s="21">
        <f>EXP(-LN(2)/2)*AW42+(1-EXP(-LN(2)/2))/(LN(2)/2)*AQ43*AT43*VLOOKUP('Données projet'!$B$10,Paramètres!$A$1:$I$89,3,0)*0.475*44/12</f>
        <v>0.24758854705237329</v>
      </c>
      <c r="AX43" s="21">
        <f t="shared" si="6"/>
        <v>11.417351307768079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243.5</v>
      </c>
      <c r="BB43" s="12">
        <f>VLOOKUP(A43,'Données projet'!$A$87:$I$107,9,0)</f>
        <v>10</v>
      </c>
      <c r="BC43" s="12">
        <f t="array" ref="BC43">INDEX(BB:BB,MIN(IF(ISNUMBER(BB43:BB239),ROW(BB43:BB239),"")))</f>
        <v>10</v>
      </c>
      <c r="BD43" s="12">
        <f>IF('Données projet'!$A$88&gt;35,BD42+BC43-BL42,IF(A43&lt;'Données projet'!$A$88,$BA$205^A43,IF(A43='Données projet'!$A$88,'Données projet'!$B$88,BD42+BC43-BL42)))</f>
        <v>243.49999999999989</v>
      </c>
      <c r="BE43" s="13">
        <f>BD43*VLOOKUP('Données projet'!$B$11,Paramètres!$A$1:$I$89,3,0)*VLOOKUP('Données projet'!$B$11,Paramètres!$A$1:$I$89,5,0)</f>
        <v>113.95799999999994</v>
      </c>
      <c r="BF43" s="13">
        <f t="shared" si="37"/>
        <v>30.261593043834445</v>
      </c>
      <c r="BG43" s="20">
        <f t="shared" si="7"/>
        <v>251.1824578846782</v>
      </c>
      <c r="BH43" s="59">
        <f t="shared" si="8"/>
        <v>498.99547170379901</v>
      </c>
      <c r="BI43" s="59">
        <f ca="1">AVERAGE(OFFSET($BH$3,0,0,'Données projet'!$E$11+1,1))-AVERAGE(OFFSET($H$3,0,0,'Données projet'!$E$11+1,1))</f>
        <v>349.17860987804869</v>
      </c>
      <c r="BJ43" s="59">
        <f t="shared" si="38"/>
        <v>273.69433466447049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7.4455007978737271</v>
      </c>
      <c r="BQ43" s="21">
        <f>EXP(-LN(2)/25)*BQ42+(1-EXP(-LN(2)/25))/(LN(2)/25)*Calculateur!BL43*Calculateur!BN43*VLOOKUP('Données projet'!$B$11,Paramètres!$A$1:$I$89,3,0)*0.475*44/12</f>
        <v>8.4511203954496299</v>
      </c>
      <c r="BR43" s="21">
        <f>EXP(-LN(2)/2)*BR42+(1-EXP(-LN(2)/2))/(LN(2)/2)*BL43*BO43*VLOOKUP('Données projet'!$B$11,Paramètres!$A$1:$I$89,3,0)*0.475*44/12</f>
        <v>0.34509777011244869</v>
      </c>
      <c r="BS43" s="22">
        <f t="shared" si="9"/>
        <v>16.241718963435805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7.4</v>
      </c>
      <c r="N44" s="13">
        <f>IF('Données projet'!$A$36&gt;35,N43+M44-V43,IF(A44&lt;'Données projet'!$A$36,$K$205^A44,IF(A44='Données projet'!$A$36,'Données projet'!$B$36,N43+M44-V43)))</f>
        <v>348.40000000000032</v>
      </c>
      <c r="O44" s="13">
        <f>N44*VLOOKUP('Données projet'!$B$9,Paramètres!$A$1:$I$89,3,0)*VLOOKUP('Données projet'!$B$9,Paramètres!$A$1:$I$89,5,0)</f>
        <v>315.2323200000003</v>
      </c>
      <c r="P44" s="13">
        <f t="shared" si="33"/>
        <v>74.360480118488482</v>
      </c>
      <c r="Q44" s="20">
        <f t="shared" si="53"/>
        <v>678.54079353970121</v>
      </c>
      <c r="R44" s="59">
        <f t="shared" si="0"/>
        <v>927.14348313420521</v>
      </c>
      <c r="S44" s="59">
        <f ca="1">AVERAGE(OFFSET($R$3,0,0,'Données projet'!$E$9+1,1))-AVERAGE(OFFSET($H$3,0,0,'Données projet'!$E$9+1,1))</f>
        <v>446.05900197653546</v>
      </c>
      <c r="T44" s="59">
        <f t="shared" si="34"/>
        <v>630.54710489646106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2.6492446218806216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0.10430897953203885</v>
      </c>
      <c r="AC44" s="22">
        <f t="shared" si="3"/>
        <v>2.7535536014126603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19</v>
      </c>
      <c r="AI44" s="13">
        <f>IF('Données projet'!$A$62&gt;35,AI43+AH44-AQ43,IF(A44&lt;'Données projet'!$A$62,$AF$205^A44,IF(A44='Données projet'!$A$62,'Données projet'!$B$62,AI43+AH44-AQ43)))</f>
        <v>242.00000000000006</v>
      </c>
      <c r="AJ44" s="13">
        <f>AI44*VLOOKUP('Données projet'!$B$10,Paramètres!$A$1:$I$89,3,0)*VLOOKUP('Données projet'!$B$10,Paramètres!$A$1:$I$89,5,0)</f>
        <v>144.71600000000007</v>
      </c>
      <c r="AK44" s="13">
        <f t="shared" si="35"/>
        <v>37.375282885096105</v>
      </c>
      <c r="AL44" s="20">
        <f t="shared" si="4"/>
        <v>317.14231769154247</v>
      </c>
      <c r="AM44" s="59">
        <f t="shared" si="5"/>
        <v>565.74500728604642</v>
      </c>
      <c r="AN44" s="59">
        <f ca="1">AVERAGE(OFFSET($AM$3,0,0,'Données projet'!$E$10+1,1))-AVERAGE(OFFSET($H$3,0,0,'Données projet'!$E$10+1,1))</f>
        <v>394.69391436029986</v>
      </c>
      <c r="AO44" s="59">
        <f t="shared" si="36"/>
        <v>311.37245656657353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6.0148305904457793</v>
      </c>
      <c r="AV44" s="21">
        <f>EXP(-LN(2)/25)*AV43+(1-EXP(-LN(2)/25))/(LN(2)/25)*Calculateur!AQ44*Calculateur!AS44*VLOOKUP('Données projet'!$B$10,Paramètres!$A$1:$I$89,3,0)*0.475*44/12</f>
        <v>4.8969537686699898</v>
      </c>
      <c r="AW44" s="21">
        <f>EXP(-LN(2)/2)*AW43+(1-EXP(-LN(2)/2))/(LN(2)/2)*AQ44*AT44*VLOOKUP('Données projet'!$B$10,Paramètres!$A$1:$I$89,3,0)*0.475*44/12</f>
        <v>0.17507154056485777</v>
      </c>
      <c r="AX44" s="21">
        <f t="shared" si="6"/>
        <v>11.086855899680627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184.99999999999989</v>
      </c>
      <c r="BE44" s="13">
        <f>BD44*VLOOKUP('Données projet'!$B$11,Paramètres!$A$1:$I$89,3,0)*VLOOKUP('Données projet'!$B$11,Paramètres!$A$1:$I$89,5,0)</f>
        <v>86.579999999999941</v>
      </c>
      <c r="BF44" s="13">
        <f t="shared" si="37"/>
        <v>23.738552844733956</v>
      </c>
      <c r="BG44" s="20">
        <f t="shared" si="7"/>
        <v>192.13814620457819</v>
      </c>
      <c r="BH44" s="59">
        <f t="shared" si="8"/>
        <v>440.74083579908216</v>
      </c>
      <c r="BI44" s="59">
        <f ca="1">AVERAGE(OFFSET($BH$3,0,0,'Données projet'!$E$11+1,1))-AVERAGE(OFFSET($H$3,0,0,'Données projet'!$E$11+1,1))</f>
        <v>349.17860987804869</v>
      </c>
      <c r="BJ44" s="59">
        <f t="shared" si="38"/>
        <v>273.69433466447049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7.2994990685344936</v>
      </c>
      <c r="BQ44" s="21">
        <f>EXP(-LN(2)/25)*BQ43+(1-EXP(-LN(2)/25))/(LN(2)/25)*Calculateur!BL44*Calculateur!BN44*VLOOKUP('Données projet'!$B$11,Paramètres!$A$1:$I$89,3,0)*0.475*44/12</f>
        <v>8.2200240638109534</v>
      </c>
      <c r="BR44" s="21">
        <f>EXP(-LN(2)/2)*BR43+(1-EXP(-LN(2)/2))/(LN(2)/2)*BL44*BO44*VLOOKUP('Données projet'!$B$11,Paramètres!$A$1:$I$89,3,0)*0.475*44/12</f>
        <v>0.24402097341886875</v>
      </c>
      <c r="BS44" s="22">
        <f t="shared" si="9"/>
        <v>15.763544105764316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7.4</v>
      </c>
      <c r="N45" s="13">
        <f>IF('Données projet'!$A$36&gt;35,N44+M45-V44,IF(A45&lt;'Données projet'!$A$36,$K$205^A45,IF(A45='Données projet'!$A$36,'Données projet'!$B$36,N44+M45-V44)))</f>
        <v>355.8000000000003</v>
      </c>
      <c r="O45" s="13">
        <f>N45*VLOOKUP('Données projet'!$B$9,Paramètres!$A$1:$I$89,3,0)*VLOOKUP('Données projet'!$B$9,Paramètres!$A$1:$I$89,5,0)</f>
        <v>321.92784000000023</v>
      </c>
      <c r="P45" s="13">
        <f t="shared" si="33"/>
        <v>75.754337936715828</v>
      </c>
      <c r="Q45" s="20">
        <f t="shared" si="53"/>
        <v>692.6297932397805</v>
      </c>
      <c r="R45" s="59">
        <f t="shared" si="0"/>
        <v>942.00845950041526</v>
      </c>
      <c r="S45" s="59">
        <f ca="1">AVERAGE(OFFSET($R$3,0,0,'Données projet'!$E$9+1,1))-AVERAGE(OFFSET($H$3,0,0,'Données projet'!$E$9+1,1))</f>
        <v>446.05900197653546</v>
      </c>
      <c r="T45" s="59">
        <f t="shared" si="34"/>
        <v>630.54710489646106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2.597294550725207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7.3757586765753461E-2</v>
      </c>
      <c r="AC45" s="22">
        <f t="shared" si="3"/>
        <v>2.6710521374909604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19</v>
      </c>
      <c r="AI45" s="13">
        <f>IF('Données projet'!$A$62&gt;35,AI44+AH45-AQ44,IF(A45&lt;'Données projet'!$A$62,$AF$205^A45,IF(A45='Données projet'!$A$62,'Données projet'!$B$62,AI44+AH45-AQ44)))</f>
        <v>261.00000000000006</v>
      </c>
      <c r="AJ45" s="13">
        <f>AI45*VLOOKUP('Données projet'!$B$10,Paramètres!$A$1:$I$89,3,0)*VLOOKUP('Données projet'!$B$10,Paramètres!$A$1:$I$89,5,0)</f>
        <v>156.07800000000003</v>
      </c>
      <c r="AK45" s="13">
        <f t="shared" si="35"/>
        <v>39.956623674978466</v>
      </c>
      <c r="AL45" s="20">
        <f t="shared" si="4"/>
        <v>341.42696956725422</v>
      </c>
      <c r="AM45" s="59">
        <f t="shared" si="5"/>
        <v>590.80563582788898</v>
      </c>
      <c r="AN45" s="59">
        <f ca="1">AVERAGE(OFFSET($AM$3,0,0,'Données projet'!$E$10+1,1))-AVERAGE(OFFSET($H$3,0,0,'Données projet'!$E$10+1,1))</f>
        <v>394.69391436029986</v>
      </c>
      <c r="AO45" s="59">
        <f t="shared" si="36"/>
        <v>311.37245656657353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5.8968834312515455</v>
      </c>
      <c r="AV45" s="21">
        <f>EXP(-LN(2)/25)*AV44+(1-EXP(-LN(2)/25))/(LN(2)/25)*Calculateur!AQ45*Calculateur!AS45*VLOOKUP('Données projet'!$B$10,Paramètres!$A$1:$I$89,3,0)*0.475*44/12</f>
        <v>4.7630463103461027</v>
      </c>
      <c r="AW45" s="21">
        <f>EXP(-LN(2)/2)*AW44+(1-EXP(-LN(2)/2))/(LN(2)/2)*AQ45*AT45*VLOOKUP('Données projet'!$B$10,Paramètres!$A$1:$I$89,3,0)*0.475*44/12</f>
        <v>0.12379427352618667</v>
      </c>
      <c r="AX45" s="21">
        <f t="shared" si="6"/>
        <v>10.783724015123834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196.49999999999989</v>
      </c>
      <c r="BE45" s="13">
        <f>BD45*VLOOKUP('Données projet'!$B$11,Paramètres!$A$1:$I$89,3,0)*VLOOKUP('Données projet'!$B$11,Paramètres!$A$1:$I$89,5,0)</f>
        <v>91.961999999999946</v>
      </c>
      <c r="BF45" s="13">
        <f t="shared" si="37"/>
        <v>25.037816603121904</v>
      </c>
      <c r="BG45" s="20">
        <f t="shared" si="7"/>
        <v>203.77468058377053</v>
      </c>
      <c r="BH45" s="59">
        <f t="shared" si="8"/>
        <v>453.15334684440529</v>
      </c>
      <c r="BI45" s="59">
        <f ca="1">AVERAGE(OFFSET($BH$3,0,0,'Données projet'!$E$11+1,1))-AVERAGE(OFFSET($H$3,0,0,'Données projet'!$E$11+1,1))</f>
        <v>349.17860987804869</v>
      </c>
      <c r="BJ45" s="59">
        <f t="shared" si="38"/>
        <v>273.69433466447049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7.1563603440553401</v>
      </c>
      <c r="BQ45" s="21">
        <f>EXP(-LN(2)/25)*BQ44+(1-EXP(-LN(2)/25))/(LN(2)/25)*Calculateur!BL45*Calculateur!BN45*VLOOKUP('Données projet'!$B$11,Paramètres!$A$1:$I$89,3,0)*0.475*44/12</f>
        <v>7.9952470735137648</v>
      </c>
      <c r="BR45" s="21">
        <f>EXP(-LN(2)/2)*BR44+(1-EXP(-LN(2)/2))/(LN(2)/2)*BL45*BO45*VLOOKUP('Données projet'!$B$11,Paramètres!$A$1:$I$89,3,0)*0.475*44/12</f>
        <v>0.17254888505622437</v>
      </c>
      <c r="BS45" s="22">
        <f t="shared" si="9"/>
        <v>15.32415630262533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7.4</v>
      </c>
      <c r="N46" s="13">
        <f>IF('Données projet'!$A$36&gt;35,N45+M46-V45,IF(A46&lt;'Données projet'!$A$36,$K$205^A46,IF(A46='Données projet'!$A$36,'Données projet'!$B$36,N45+M46-V45)))</f>
        <v>363.20000000000027</v>
      </c>
      <c r="O46" s="13">
        <f>N46*VLOOKUP('Données projet'!$B$9,Paramètres!$A$1:$I$89,3,0)*VLOOKUP('Données projet'!$B$9,Paramètres!$A$1:$I$89,5,0)</f>
        <v>328.62336000000022</v>
      </c>
      <c r="P46" s="13">
        <f t="shared" si="33"/>
        <v>77.144825174157688</v>
      </c>
      <c r="Q46" s="20">
        <f t="shared" si="53"/>
        <v>706.71292251165823</v>
      </c>
      <c r="R46" s="59">
        <f t="shared" si="0"/>
        <v>956.85410397809028</v>
      </c>
      <c r="S46" s="59">
        <f ca="1">AVERAGE(OFFSET($R$3,0,0,'Données projet'!$E$9+1,1))-AVERAGE(OFFSET($H$3,0,0,'Données projet'!$E$9+1,1))</f>
        <v>446.05900197653546</v>
      </c>
      <c r="T46" s="59">
        <f t="shared" si="34"/>
        <v>630.54710489646106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2.5463631887787357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5.2154489766019427E-2</v>
      </c>
      <c r="AC46" s="22">
        <f t="shared" si="3"/>
        <v>2.5985176785447552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19</v>
      </c>
      <c r="AI46" s="13">
        <f>IF('Données projet'!$A$62&gt;35,AI45+AH46-AQ45,IF(A46&lt;'Données projet'!$A$62,$AF$205^A46,IF(A46='Données projet'!$A$62,'Données projet'!$B$62,AI45+AH46-AQ45)))</f>
        <v>280.00000000000006</v>
      </c>
      <c r="AJ46" s="13">
        <f>AI46*VLOOKUP('Données projet'!$B$10,Paramètres!$A$1:$I$89,3,0)*VLOOKUP('Données projet'!$B$10,Paramètres!$A$1:$I$89,5,0)</f>
        <v>167.44000000000005</v>
      </c>
      <c r="AK46" s="13">
        <f t="shared" si="35"/>
        <v>42.516163405082935</v>
      </c>
      <c r="AL46" s="20">
        <f t="shared" si="4"/>
        <v>365.67365126385283</v>
      </c>
      <c r="AM46" s="59">
        <f t="shared" si="5"/>
        <v>615.81483273028493</v>
      </c>
      <c r="AN46" s="59">
        <f ca="1">AVERAGE(OFFSET($AM$3,0,0,'Données projet'!$E$10+1,1))-AVERAGE(OFFSET($H$3,0,0,'Données projet'!$E$10+1,1))</f>
        <v>394.69391436029986</v>
      </c>
      <c r="AO46" s="59">
        <f t="shared" si="36"/>
        <v>311.37245656657353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5.7812491439084468</v>
      </c>
      <c r="AV46" s="21">
        <f>EXP(-LN(2)/25)*AV45+(1-EXP(-LN(2)/25))/(LN(2)/25)*Calculateur!AQ46*Calculateur!AS46*VLOOKUP('Données projet'!$B$10,Paramètres!$A$1:$I$89,3,0)*0.475*44/12</f>
        <v>4.6328005585119696</v>
      </c>
      <c r="AW46" s="21">
        <f>EXP(-LN(2)/2)*AW45+(1-EXP(-LN(2)/2))/(LN(2)/2)*AQ46*AT46*VLOOKUP('Données projet'!$B$10,Paramètres!$A$1:$I$89,3,0)*0.475*44/12</f>
        <v>8.7535770282428899E-2</v>
      </c>
      <c r="AX46" s="21">
        <f t="shared" si="6"/>
        <v>10.501585472702846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11.5</v>
      </c>
      <c r="BD46" s="12">
        <f>IF('Données projet'!$A$88&gt;35,BD45+BC46-BL45,IF(A46&lt;'Données projet'!$A$88,$BA$205^A46,IF(A46='Données projet'!$A$88,'Données projet'!$B$88,BD45+BC46-BL45)))</f>
        <v>207.99999999999989</v>
      </c>
      <c r="BE46" s="13">
        <f>BD46*VLOOKUP('Données projet'!$B$11,Paramètres!$A$1:$I$89,3,0)*VLOOKUP('Données projet'!$B$11,Paramètres!$A$1:$I$89,5,0)</f>
        <v>97.343999999999937</v>
      </c>
      <c r="BF46" s="13">
        <f t="shared" si="37"/>
        <v>26.328254259866451</v>
      </c>
      <c r="BG46" s="20">
        <f t="shared" si="7"/>
        <v>215.39584283593396</v>
      </c>
      <c r="BH46" s="59">
        <f t="shared" si="8"/>
        <v>465.53702430236604</v>
      </c>
      <c r="BI46" s="59">
        <f ca="1">AVERAGE(OFFSET($BH$3,0,0,'Données projet'!$E$11+1,1))-AVERAGE(OFFSET($H$3,0,0,'Données projet'!$E$11+1,1))</f>
        <v>349.17860987804869</v>
      </c>
      <c r="BJ46" s="59">
        <f t="shared" si="38"/>
        <v>273.69433466447049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7.0160284826572221</v>
      </c>
      <c r="BQ46" s="21">
        <f>EXP(-LN(2)/25)*BQ45+(1-EXP(-LN(2)/25))/(LN(2)/25)*Calculateur!BL46*Calculateur!BN46*VLOOKUP('Données projet'!$B$11,Paramètres!$A$1:$I$89,3,0)*0.475*44/12</f>
        <v>7.7766166218367605</v>
      </c>
      <c r="BR46" s="21">
        <f>EXP(-LN(2)/2)*BR45+(1-EXP(-LN(2)/2))/(LN(2)/2)*BL46*BO46*VLOOKUP('Données projet'!$B$11,Paramètres!$A$1:$I$89,3,0)*0.475*44/12</f>
        <v>0.1220104867094344</v>
      </c>
      <c r="BS46" s="22">
        <f t="shared" si="9"/>
        <v>14.914655591203417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7.4</v>
      </c>
      <c r="N47" s="13">
        <f>IF('Données projet'!$A$36&gt;35,N46+M47-V46,IF(A47&lt;'Données projet'!$A$36,$K$205^A47,IF(A47='Données projet'!$A$36,'Données projet'!$B$36,N46+M47-V46)))</f>
        <v>370.60000000000025</v>
      </c>
      <c r="O47" s="13">
        <f>N47*VLOOKUP('Données projet'!$B$9,Paramètres!$A$1:$I$89,3,0)*VLOOKUP('Données projet'!$B$9,Paramètres!$A$1:$I$89,5,0)</f>
        <v>335.31888000000021</v>
      </c>
      <c r="P47" s="13">
        <f t="shared" si="33"/>
        <v>78.532018418019703</v>
      </c>
      <c r="Q47" s="20">
        <f t="shared" si="53"/>
        <v>720.7903147447181</v>
      </c>
      <c r="R47" s="59">
        <f t="shared" si="0"/>
        <v>971.68078348285553</v>
      </c>
      <c r="S47" s="59">
        <f ca="1">AVERAGE(OFFSET($R$3,0,0,'Données projet'!$E$9+1,1))-AVERAGE(OFFSET($H$3,0,0,'Données projet'!$E$9+1,1))</f>
        <v>446.05900197653546</v>
      </c>
      <c r="T47" s="59">
        <f t="shared" si="34"/>
        <v>630.54710489646106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2.496430559774971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3.687879338287673E-2</v>
      </c>
      <c r="AC47" s="22">
        <f t="shared" si="3"/>
        <v>2.5333093531578479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19</v>
      </c>
      <c r="AI47" s="13">
        <f>IF('Données projet'!$A$62&gt;35,AI46+AH47-AQ46,IF(A47&lt;'Données projet'!$A$62,$AF$205^A47,IF(A47='Données projet'!$A$62,'Données projet'!$B$62,AI46+AH47-AQ46)))</f>
        <v>299.00000000000006</v>
      </c>
      <c r="AJ47" s="13">
        <f>AI47*VLOOKUP('Données projet'!$B$10,Paramètres!$A$1:$I$89,3,0)*VLOOKUP('Données projet'!$B$10,Paramètres!$A$1:$I$89,5,0)</f>
        <v>178.80200000000002</v>
      </c>
      <c r="AK47" s="13">
        <f t="shared" si="35"/>
        <v>45.055549739375941</v>
      </c>
      <c r="AL47" s="20">
        <f t="shared" si="4"/>
        <v>389.88523246274644</v>
      </c>
      <c r="AM47" s="59">
        <f t="shared" si="5"/>
        <v>640.77570120088387</v>
      </c>
      <c r="AN47" s="59">
        <f ca="1">AVERAGE(OFFSET($AM$3,0,0,'Données projet'!$E$10+1,1))-AVERAGE(OFFSET($H$3,0,0,'Données projet'!$E$10+1,1))</f>
        <v>394.69391436029986</v>
      </c>
      <c r="AO47" s="59">
        <f t="shared" si="36"/>
        <v>311.37245656657353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5.6678823744101949</v>
      </c>
      <c r="AV47" s="21">
        <f>EXP(-LN(2)/25)*AV46+(1-EXP(-LN(2)/25))/(LN(2)/25)*Calculateur!AQ47*Calculateur!AS47*VLOOKUP('Données projet'!$B$10,Paramètres!$A$1:$I$89,3,0)*0.475*44/12</f>
        <v>4.5061163836110669</v>
      </c>
      <c r="AW47" s="21">
        <f>EXP(-LN(2)/2)*AW46+(1-EXP(-LN(2)/2))/(LN(2)/2)*AQ47*AT47*VLOOKUP('Données projet'!$B$10,Paramètres!$A$1:$I$89,3,0)*0.475*44/12</f>
        <v>6.1897136763093344E-2</v>
      </c>
      <c r="AX47" s="21">
        <f t="shared" si="6"/>
        <v>10.235895894784356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11.5</v>
      </c>
      <c r="BD47" s="12">
        <f>IF('Données projet'!$A$88&gt;35,BD46+BC47-BL46,IF(A47&lt;'Données projet'!$A$88,$BA$205^A47,IF(A47='Données projet'!$A$88,'Données projet'!$B$88,BD46+BC47-BL46)))</f>
        <v>219.49999999999989</v>
      </c>
      <c r="BE47" s="13">
        <f>BD47*VLOOKUP('Données projet'!$B$11,Paramètres!$A$1:$I$89,3,0)*VLOOKUP('Données projet'!$B$11,Paramètres!$A$1:$I$89,5,0)</f>
        <v>102.72599999999994</v>
      </c>
      <c r="BF47" s="13">
        <f t="shared" si="37"/>
        <v>27.610409417164195</v>
      </c>
      <c r="BG47" s="20">
        <f t="shared" si="7"/>
        <v>227.0025797348942</v>
      </c>
      <c r="BH47" s="59">
        <f t="shared" si="8"/>
        <v>477.89304847303163</v>
      </c>
      <c r="BI47" s="59">
        <f ca="1">AVERAGE(OFFSET($BH$3,0,0,'Données projet'!$E$11+1,1))-AVERAGE(OFFSET($H$3,0,0,'Données projet'!$E$11+1,1))</f>
        <v>349.17860987804869</v>
      </c>
      <c r="BJ47" s="59">
        <f t="shared" si="38"/>
        <v>273.69433466447049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6.8784484434671374</v>
      </c>
      <c r="BQ47" s="21">
        <f>EXP(-LN(2)/25)*BQ46+(1-EXP(-LN(2)/25))/(LN(2)/25)*Calculateur!BL47*Calculateur!BN47*VLOOKUP('Données projet'!$B$11,Paramètres!$A$1:$I$89,3,0)*0.475*44/12</f>
        <v>7.5639646313581395</v>
      </c>
      <c r="BR47" s="21">
        <f>EXP(-LN(2)/2)*BR46+(1-EXP(-LN(2)/2))/(LN(2)/2)*BL47*BO47*VLOOKUP('Données projet'!$B$11,Paramètres!$A$1:$I$89,3,0)*0.475*44/12</f>
        <v>8.62744425281122E-2</v>
      </c>
      <c r="BS47" s="22">
        <f t="shared" si="9"/>
        <v>14.528687517353388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378</v>
      </c>
      <c r="L48" s="12">
        <f>VLOOKUP(A48,'Données projet'!$A$35:$I$55,9,0)</f>
        <v>7.4</v>
      </c>
      <c r="M48" s="12">
        <f t="array" ref="M48">INDEX(L:L,MIN(IF(ISNUMBER(L48:L244),ROW(L48:L244),"")))</f>
        <v>7.4</v>
      </c>
      <c r="N48" s="13">
        <f>IF('Données projet'!$A$36&gt;35,N47+M48-V47,IF(A48&lt;'Données projet'!$A$36,$K$205^A48,IF(A48='Données projet'!$A$36,'Données projet'!$B$36,N47+M48-V47)))</f>
        <v>378.00000000000023</v>
      </c>
      <c r="O48" s="13">
        <f>N48*VLOOKUP('Données projet'!$B$9,Paramètres!$A$1:$I$89,3,0)*VLOOKUP('Données projet'!$B$9,Paramètres!$A$1:$I$89,5,0)</f>
        <v>342.01440000000019</v>
      </c>
      <c r="P48" s="13">
        <f t="shared" si="33"/>
        <v>79.9159910220867</v>
      </c>
      <c r="Q48" s="20">
        <f t="shared" si="53"/>
        <v>734.86209769680136</v>
      </c>
      <c r="R48" s="59">
        <f t="shared" si="0"/>
        <v>986.48885524763546</v>
      </c>
      <c r="S48" s="59">
        <f ca="1">AVERAGE(OFFSET($R$3,0,0,'Données projet'!$E$9+1,1))-AVERAGE(OFFSET($H$3,0,0,'Données projet'!$E$9+1,1))</f>
        <v>446.05900197653546</v>
      </c>
      <c r="T48" s="59">
        <f t="shared" si="34"/>
        <v>630.54710489646106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378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2.4474770791700737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2.6077244883009713E-2</v>
      </c>
      <c r="AC48" s="22">
        <f t="shared" si="3"/>
        <v>2.4735543240530835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318</v>
      </c>
      <c r="AG48" s="12">
        <f>VLOOKUP(A48,'Données projet'!$A$61:$I$81,9,0)</f>
        <v>19</v>
      </c>
      <c r="AH48" s="12">
        <f t="array" ref="AH48">INDEX(AG:AG,MIN(IF(ISNUMBER(AG48:AG244),ROW(AG48:AG244),"")))</f>
        <v>19</v>
      </c>
      <c r="AI48" s="13">
        <f>IF('Données projet'!$A$62&gt;35,AI47+AH48-AQ47,IF(A48&lt;'Données projet'!$A$62,$AF$205^A48,IF(A48='Données projet'!$A$62,'Données projet'!$B$62,AI47+AH48-AQ47)))</f>
        <v>318.00000000000006</v>
      </c>
      <c r="AJ48" s="13">
        <f>AI48*VLOOKUP('Données projet'!$B$10,Paramètres!$A$1:$I$89,3,0)*VLOOKUP('Données projet'!$B$10,Paramètres!$A$1:$I$89,5,0)</f>
        <v>190.16400000000004</v>
      </c>
      <c r="AK48" s="13">
        <f t="shared" si="35"/>
        <v>47.576209101852911</v>
      </c>
      <c r="AL48" s="20">
        <f t="shared" si="4"/>
        <v>414.06419751906054</v>
      </c>
      <c r="AM48" s="59">
        <f t="shared" si="5"/>
        <v>665.6909550698947</v>
      </c>
      <c r="AN48" s="59">
        <f ca="1">AVERAGE(OFFSET($AM$3,0,0,'Données projet'!$E$10+1,1))-AVERAGE(OFFSET($H$3,0,0,'Données projet'!$E$10+1,1))</f>
        <v>394.69391436029986</v>
      </c>
      <c r="AO48" s="59">
        <f t="shared" si="36"/>
        <v>311.37245656657353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53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5.5567386581149023</v>
      </c>
      <c r="AV48" s="21">
        <f>EXP(-LN(2)/25)*AV47+(1-EXP(-LN(2)/25))/(LN(2)/25)*Calculateur!AQ48*Calculateur!AS48*VLOOKUP('Données projet'!$B$10,Paramètres!$A$1:$I$89,3,0)*0.475*44/12</f>
        <v>4.3828963941348604</v>
      </c>
      <c r="AW48" s="21">
        <f>EXP(-LN(2)/2)*AW47+(1-EXP(-LN(2)/2))/(LN(2)/2)*AQ48*AT48*VLOOKUP('Données projet'!$B$10,Paramètres!$A$1:$I$89,3,0)*0.475*44/12</f>
        <v>4.3767885141214456E-2</v>
      </c>
      <c r="AX48" s="21">
        <f t="shared" si="6"/>
        <v>9.9834029373909772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11.5</v>
      </c>
      <c r="BD48" s="12">
        <f>IF('Données projet'!$A$88&gt;35,BD47+BC48-BL47,IF(A48&lt;'Données projet'!$A$88,$BA$205^A48,IF(A48='Données projet'!$A$88,'Données projet'!$B$88,BD47+BC48-BL47)))</f>
        <v>230.99999999999989</v>
      </c>
      <c r="BE48" s="13">
        <f>BD48*VLOOKUP('Données projet'!$B$11,Paramètres!$A$1:$I$89,3,0)*VLOOKUP('Données projet'!$B$11,Paramètres!$A$1:$I$89,5,0)</f>
        <v>108.10799999999995</v>
      </c>
      <c r="BF48" s="13">
        <f t="shared" si="37"/>
        <v>28.884765499467136</v>
      </c>
      <c r="BG48" s="20">
        <f t="shared" si="7"/>
        <v>238.59573324490518</v>
      </c>
      <c r="BH48" s="59">
        <f t="shared" si="8"/>
        <v>490.2224907957393</v>
      </c>
      <c r="BI48" s="59">
        <f ca="1">AVERAGE(OFFSET($BH$3,0,0,'Données projet'!$E$11+1,1))-AVERAGE(OFFSET($H$3,0,0,'Données projet'!$E$11+1,1))</f>
        <v>349.17860987804869</v>
      </c>
      <c r="BJ48" s="59">
        <f t="shared" si="38"/>
        <v>273.69433466447049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6.7435662649300321</v>
      </c>
      <c r="BQ48" s="21">
        <f>EXP(-LN(2)/25)*BQ47+(1-EXP(-LN(2)/25))/(LN(2)/25)*Calculateur!BL48*Calculateur!BN48*VLOOKUP('Données projet'!$B$11,Paramètres!$A$1:$I$89,3,0)*0.475*44/12</f>
        <v>7.3571276207420384</v>
      </c>
      <c r="BR48" s="21">
        <f>EXP(-LN(2)/2)*BR47+(1-EXP(-LN(2)/2))/(LN(2)/2)*BL48*BO48*VLOOKUP('Données projet'!$B$11,Paramètres!$A$1:$I$89,3,0)*0.475*44/12</f>
        <v>6.1005243354717208E-2</v>
      </c>
      <c r="BS48" s="22">
        <f t="shared" si="9"/>
        <v>14.161699129026788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2.0572770154103635E-13</v>
      </c>
      <c r="P49" s="13">
        <f t="shared" si="33"/>
        <v>2.8416956338469711E-12</v>
      </c>
      <c r="Q49" s="20">
        <f t="shared" si="53"/>
        <v>5.3075956424674458E-12</v>
      </c>
      <c r="R49" s="59">
        <f t="shared" si="0"/>
        <v>252.35027339873096</v>
      </c>
      <c r="S49" s="59">
        <f ca="1">AVERAGE(OFFSET($R$3,0,0,'Données projet'!$E$9+1,1))-AVERAGE(OFFSET($H$3,0,0,'Données projet'!$E$9+1,1))</f>
        <v>446.05900197653546</v>
      </c>
      <c r="T49" s="59">
        <f t="shared" si="34"/>
        <v>630.54710489646106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2.3994835464611639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1.8439396691438365E-2</v>
      </c>
      <c r="AC49" s="22">
        <f t="shared" si="3"/>
        <v>2.4179229431526021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282.40000000000003</v>
      </c>
      <c r="AJ49" s="13">
        <f>AI49*VLOOKUP('Données projet'!$B$10,Paramètres!$A$1:$I$89,3,0)*VLOOKUP('Données projet'!$B$10,Paramètres!$A$1:$I$89,5,0)</f>
        <v>168.87520000000004</v>
      </c>
      <c r="AK49" s="13">
        <f t="shared" si="35"/>
        <v>42.838008554673955</v>
      </c>
      <c r="AL49" s="20">
        <f t="shared" si="4"/>
        <v>368.73383823272388</v>
      </c>
      <c r="AM49" s="59">
        <f t="shared" si="5"/>
        <v>621.08411163144956</v>
      </c>
      <c r="AN49" s="59">
        <f ca="1">AVERAGE(OFFSET($AM$3,0,0,'Données projet'!$E$10+1,1))-AVERAGE(OFFSET($H$3,0,0,'Données projet'!$E$10+1,1))</f>
        <v>394.69391436029986</v>
      </c>
      <c r="AO49" s="59">
        <f t="shared" si="36"/>
        <v>311.37245656657353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5.4477744023051873</v>
      </c>
      <c r="AV49" s="21">
        <f>EXP(-LN(2)/25)*AV48+(1-EXP(-LN(2)/25))/(LN(2)/25)*Calculateur!AQ49*Calculateur!AS49*VLOOKUP('Données projet'!$B$10,Paramètres!$A$1:$I$89,3,0)*0.475*44/12</f>
        <v>4.2630458617507383</v>
      </c>
      <c r="AW49" s="21">
        <f>EXP(-LN(2)/2)*AW48+(1-EXP(-LN(2)/2))/(LN(2)/2)*AQ49*AT49*VLOOKUP('Données projet'!$B$10,Paramètres!$A$1:$I$89,3,0)*0.475*44/12</f>
        <v>3.0948568381546679E-2</v>
      </c>
      <c r="AX49" s="21">
        <f t="shared" si="6"/>
        <v>9.7417688324374723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11.5</v>
      </c>
      <c r="BD49" s="12">
        <f>IF('Données projet'!$A$88&gt;35,BD48+BC49-BL48,IF(A49&lt;'Données projet'!$A$88,$BA$205^A49,IF(A49='Données projet'!$A$88,'Données projet'!$B$88,BD48+BC49-BL48)))</f>
        <v>242.49999999999989</v>
      </c>
      <c r="BE49" s="13">
        <f>BD49*VLOOKUP('Données projet'!$B$11,Paramètres!$A$1:$I$89,3,0)*VLOOKUP('Données projet'!$B$11,Paramètres!$A$1:$I$89,5,0)</f>
        <v>113.48999999999994</v>
      </c>
      <c r="BF49" s="13">
        <f t="shared" si="37"/>
        <v>30.151755078981495</v>
      </c>
      <c r="BG49" s="20">
        <f t="shared" si="7"/>
        <v>250.17605676255928</v>
      </c>
      <c r="BH49" s="59">
        <f t="shared" si="8"/>
        <v>502.52633016128493</v>
      </c>
      <c r="BI49" s="59">
        <f ca="1">AVERAGE(OFFSET($BH$3,0,0,'Données projet'!$E$11+1,1))-AVERAGE(OFFSET($H$3,0,0,'Données projet'!$E$11+1,1))</f>
        <v>349.17860987804869</v>
      </c>
      <c r="BJ49" s="59">
        <f t="shared" si="38"/>
        <v>273.69433466447049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6.6113290436440337</v>
      </c>
      <c r="BQ49" s="21">
        <f>EXP(-LN(2)/25)*BQ48+(1-EXP(-LN(2)/25))/(LN(2)/25)*Calculateur!BL49*Calculateur!BN49*VLOOKUP('Données projet'!$B$11,Paramètres!$A$1:$I$89,3,0)*0.475*44/12</f>
        <v>7.1559465790583205</v>
      </c>
      <c r="BR49" s="21">
        <f>EXP(-LN(2)/2)*BR48+(1-EXP(-LN(2)/2))/(LN(2)/2)*BL49*BO49*VLOOKUP('Données projet'!$B$11,Paramètres!$A$1:$I$89,3,0)*0.475*44/12</f>
        <v>4.3137221264056107E-2</v>
      </c>
      <c r="BS49" s="22">
        <f t="shared" si="9"/>
        <v>13.810412843966409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2.0572770154103635E-13</v>
      </c>
      <c r="P50" s="13">
        <f t="shared" si="33"/>
        <v>2.8416956338469711E-12</v>
      </c>
      <c r="Q50" s="20">
        <f t="shared" si="53"/>
        <v>5.3075956424674458E-12</v>
      </c>
      <c r="R50" s="59">
        <f t="shared" si="0"/>
        <v>253.06123786420071</v>
      </c>
      <c r="S50" s="59">
        <f ca="1">AVERAGE(OFFSET($R$3,0,0,'Données projet'!$E$9+1,1))-AVERAGE(OFFSET($H$3,0,0,'Données projet'!$E$9+1,1))</f>
        <v>446.05900197653546</v>
      </c>
      <c r="T50" s="59">
        <f t="shared" si="34"/>
        <v>630.54710489646106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2.3524311376555112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1.3038622441504857E-2</v>
      </c>
      <c r="AC50" s="22">
        <f t="shared" si="3"/>
        <v>2.365469760097016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</v>
      </c>
      <c r="AJ50" s="13">
        <f>AI50*VLOOKUP('Données projet'!$B$10,Paramètres!$A$1:$I$89,3,0)*VLOOKUP('Données projet'!$B$10,Paramètres!$A$1:$I$89,5,0)</f>
        <v>179.28040000000001</v>
      </c>
      <c r="AK50" s="13">
        <f t="shared" si="35"/>
        <v>45.162051118824294</v>
      </c>
      <c r="AL50" s="20">
        <f t="shared" si="4"/>
        <v>390.90393569861902</v>
      </c>
      <c r="AM50" s="59">
        <f t="shared" si="5"/>
        <v>643.96517356281447</v>
      </c>
      <c r="AN50" s="59">
        <f ca="1">AVERAGE(OFFSET($AM$3,0,0,'Données projet'!$E$10+1,1))-AVERAGE(OFFSET($H$3,0,0,'Données projet'!$E$10+1,1))</f>
        <v>394.69391436029986</v>
      </c>
      <c r="AO50" s="59">
        <f t="shared" si="36"/>
        <v>311.37245656657353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5.3409468690902671</v>
      </c>
      <c r="AV50" s="21">
        <f>EXP(-LN(2)/25)*AV49+(1-EXP(-LN(2)/25))/(LN(2)/25)*Calculateur!AQ50*Calculateur!AS50*VLOOKUP('Données projet'!$B$10,Paramètres!$A$1:$I$89,3,0)*0.475*44/12</f>
        <v>4.1464726484773262</v>
      </c>
      <c r="AW50" s="21">
        <f>EXP(-LN(2)/2)*AW49+(1-EXP(-LN(2)/2))/(LN(2)/2)*AQ50*AT50*VLOOKUP('Données projet'!$B$10,Paramètres!$A$1:$I$89,3,0)*0.475*44/12</f>
        <v>2.1883942570607232E-2</v>
      </c>
      <c r="AX50" s="21">
        <f t="shared" si="6"/>
        <v>9.5093034601382005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11.5</v>
      </c>
      <c r="BD50" s="12">
        <f>IF('Données projet'!$A$88&gt;35,BD49+BC50-BL49,IF(A50&lt;'Données projet'!$A$88,$BA$205^A50,IF(A50='Données projet'!$A$88,'Données projet'!$B$88,BD49+BC50-BL49)))</f>
        <v>253.99999999999989</v>
      </c>
      <c r="BE50" s="13">
        <f>BD50*VLOOKUP('Données projet'!$B$11,Paramètres!$A$1:$I$89,3,0)*VLOOKUP('Données projet'!$B$11,Paramètres!$A$1:$I$89,5,0)</f>
        <v>118.87199999999994</v>
      </c>
      <c r="BF50" s="13">
        <f t="shared" si="37"/>
        <v>31.411767382096219</v>
      </c>
      <c r="BG50" s="20">
        <f t="shared" si="7"/>
        <v>261.74422819048414</v>
      </c>
      <c r="BH50" s="59">
        <f t="shared" si="8"/>
        <v>514.80546605467953</v>
      </c>
      <c r="BI50" s="59">
        <f ca="1">AVERAGE(OFFSET($BH$3,0,0,'Données projet'!$E$11+1,1))-AVERAGE(OFFSET($H$3,0,0,'Données projet'!$E$11+1,1))</f>
        <v>349.17860987804869</v>
      </c>
      <c r="BJ50" s="59">
        <f t="shared" si="38"/>
        <v>273.69433466447049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6.4816849136107137</v>
      </c>
      <c r="BQ50" s="21">
        <f>EXP(-LN(2)/25)*BQ49+(1-EXP(-LN(2)/25))/(LN(2)/25)*Calculateur!BL50*Calculateur!BN50*VLOOKUP('Données projet'!$B$11,Paramètres!$A$1:$I$89,3,0)*0.475*44/12</f>
        <v>6.9602668435390953</v>
      </c>
      <c r="BR50" s="21">
        <f>EXP(-LN(2)/2)*BR49+(1-EXP(-LN(2)/2))/(LN(2)/2)*BL50*BO50*VLOOKUP('Données projet'!$B$11,Paramètres!$A$1:$I$89,3,0)*0.475*44/12</f>
        <v>3.0502621677358607E-2</v>
      </c>
      <c r="BS50" s="22">
        <f t="shared" si="9"/>
        <v>13.472454378827168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2.0572770154103635E-13</v>
      </c>
      <c r="P51" s="13">
        <f t="shared" si="33"/>
        <v>2.8416956338469711E-12</v>
      </c>
      <c r="Q51" s="20">
        <f t="shared" si="53"/>
        <v>5.3075956424674458E-12</v>
      </c>
      <c r="R51" s="59">
        <f t="shared" si="0"/>
        <v>253.75986868567301</v>
      </c>
      <c r="S51" s="59">
        <f ca="1">AVERAGE(OFFSET($R$3,0,0,'Données projet'!$E$9+1,1))-AVERAGE(OFFSET($H$3,0,0,'Données projet'!$E$9+1,1))</f>
        <v>446.05900197653546</v>
      </c>
      <c r="T51" s="59">
        <f t="shared" si="34"/>
        <v>630.54710489646106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2.3063013978874016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9.2196983457191826E-3</v>
      </c>
      <c r="AC51" s="22">
        <f t="shared" si="3"/>
        <v>2.315521096233121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</v>
      </c>
      <c r="AJ51" s="13">
        <f>AI51*VLOOKUP('Données projet'!$B$10,Paramètres!$A$1:$I$89,3,0)*VLOOKUP('Données projet'!$B$10,Paramètres!$A$1:$I$89,5,0)</f>
        <v>189.68560000000002</v>
      </c>
      <c r="AK51" s="13">
        <f t="shared" si="35"/>
        <v>47.470436776872745</v>
      </c>
      <c r="AL51" s="20">
        <f t="shared" si="4"/>
        <v>413.04676405305344</v>
      </c>
      <c r="AM51" s="59">
        <f t="shared" si="5"/>
        <v>666.80663273872119</v>
      </c>
      <c r="AN51" s="59">
        <f ca="1">AVERAGE(OFFSET($AM$3,0,0,'Données projet'!$E$10+1,1))-AVERAGE(OFFSET($H$3,0,0,'Données projet'!$E$10+1,1))</f>
        <v>394.69391436029986</v>
      </c>
      <c r="AO51" s="59">
        <f t="shared" si="36"/>
        <v>311.37245656657353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5.23621415864333</v>
      </c>
      <c r="AV51" s="21">
        <f>EXP(-LN(2)/25)*AV50+(1-EXP(-LN(2)/25))/(LN(2)/25)*Calculateur!AQ51*Calculateur!AS51*VLOOKUP('Données projet'!$B$10,Paramètres!$A$1:$I$89,3,0)*0.475*44/12</f>
        <v>4.0330871358511944</v>
      </c>
      <c r="AW51" s="21">
        <f>EXP(-LN(2)/2)*AW50+(1-EXP(-LN(2)/2))/(LN(2)/2)*AQ51*AT51*VLOOKUP('Données projet'!$B$10,Paramètres!$A$1:$I$89,3,0)*0.475*44/12</f>
        <v>1.5474284190773341E-2</v>
      </c>
      <c r="AX51" s="21">
        <f t="shared" si="6"/>
        <v>9.2847755786852986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11.5</v>
      </c>
      <c r="BD51" s="12">
        <f>IF('Données projet'!$A$88&gt;35,BD50+BC51-BL50,IF(A51&lt;'Données projet'!$A$88,$BA$205^A51,IF(A51='Données projet'!$A$88,'Données projet'!$B$88,BD50+BC51-BL50)))</f>
        <v>265.49999999999989</v>
      </c>
      <c r="BE51" s="13">
        <f>BD51*VLOOKUP('Données projet'!$B$11,Paramètres!$A$1:$I$89,3,0)*VLOOKUP('Données projet'!$B$11,Paramètres!$A$1:$I$89,5,0)</f>
        <v>124.25399999999995</v>
      </c>
      <c r="BF51" s="13">
        <f t="shared" si="37"/>
        <v>32.665154397958723</v>
      </c>
      <c r="BG51" s="20">
        <f t="shared" si="7"/>
        <v>273.30086057644468</v>
      </c>
      <c r="BH51" s="59">
        <f t="shared" si="8"/>
        <v>527.06072926211232</v>
      </c>
      <c r="BI51" s="59">
        <f ca="1">AVERAGE(OFFSET($BH$3,0,0,'Données projet'!$E$11+1,1))-AVERAGE(OFFSET($H$3,0,0,'Données projet'!$E$11+1,1))</f>
        <v>349.17860987804869</v>
      </c>
      <c r="BJ51" s="59">
        <f t="shared" si="38"/>
        <v>273.69433466447049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6.3545830258922358</v>
      </c>
      <c r="BQ51" s="21">
        <f>EXP(-LN(2)/25)*BQ50+(1-EXP(-LN(2)/25))/(LN(2)/25)*Calculateur!BL51*Calculateur!BN51*VLOOKUP('Données projet'!$B$11,Paramètres!$A$1:$I$89,3,0)*0.475*44/12</f>
        <v>6.7699379806779936</v>
      </c>
      <c r="BR51" s="21">
        <f>EXP(-LN(2)/2)*BR50+(1-EXP(-LN(2)/2))/(LN(2)/2)*BL51*BO51*VLOOKUP('Données projet'!$B$11,Paramètres!$A$1:$I$89,3,0)*0.475*44/12</f>
        <v>2.1568610632028057E-2</v>
      </c>
      <c r="BS51" s="22">
        <f t="shared" si="9"/>
        <v>13.146089617202259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2.0572770154103635E-13</v>
      </c>
      <c r="P52" s="13">
        <f t="shared" si="33"/>
        <v>2.8416956338469711E-12</v>
      </c>
      <c r="Q52" s="20">
        <f t="shared" si="53"/>
        <v>5.3075956424674458E-12</v>
      </c>
      <c r="R52" s="59">
        <f t="shared" si="0"/>
        <v>254.44637982429728</v>
      </c>
      <c r="S52" s="59">
        <f ca="1">AVERAGE(OFFSET($R$3,0,0,'Données projet'!$E$9+1,1))-AVERAGE(OFFSET($H$3,0,0,'Données projet'!$E$9+1,1))</f>
        <v>446.05900197653546</v>
      </c>
      <c r="T52" s="59">
        <f t="shared" si="34"/>
        <v>630.54710489646106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2.2610762341797819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6.5193112207524283E-3</v>
      </c>
      <c r="AC52" s="22">
        <f t="shared" si="3"/>
        <v>2.2675955454005341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334.59999999999997</v>
      </c>
      <c r="AJ52" s="13">
        <f>AI52*VLOOKUP('Données projet'!$B$10,Paramètres!$A$1:$I$89,3,0)*VLOOKUP('Données projet'!$B$10,Paramètres!$A$1:$I$89,5,0)</f>
        <v>200.0908</v>
      </c>
      <c r="AK52" s="13">
        <f t="shared" si="35"/>
        <v>49.764122289960234</v>
      </c>
      <c r="AL52" s="20">
        <f t="shared" si="4"/>
        <v>435.16398965501406</v>
      </c>
      <c r="AM52" s="59">
        <f t="shared" si="5"/>
        <v>689.61036947930597</v>
      </c>
      <c r="AN52" s="59">
        <f ca="1">AVERAGE(OFFSET($AM$3,0,0,'Données projet'!$E$10+1,1))-AVERAGE(OFFSET($H$3,0,0,'Données projet'!$E$10+1,1))</f>
        <v>394.69391436029986</v>
      </c>
      <c r="AO52" s="59">
        <f t="shared" si="36"/>
        <v>311.37245656657353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5.1335351927676118</v>
      </c>
      <c r="AV52" s="21">
        <f>EXP(-LN(2)/25)*AV51+(1-EXP(-LN(2)/25))/(LN(2)/25)*Calculateur!AQ52*Calculateur!AS52*VLOOKUP('Données projet'!$B$10,Paramètres!$A$1:$I$89,3,0)*0.475*44/12</f>
        <v>3.9228021560305089</v>
      </c>
      <c r="AW52" s="21">
        <f>EXP(-LN(2)/2)*AW51+(1-EXP(-LN(2)/2))/(LN(2)/2)*AQ52*AT52*VLOOKUP('Données projet'!$B$10,Paramètres!$A$1:$I$89,3,0)*0.475*44/12</f>
        <v>1.0941971285303618E-2</v>
      </c>
      <c r="AX52" s="21">
        <f t="shared" si="6"/>
        <v>9.0672793200834239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11.5</v>
      </c>
      <c r="BD52" s="12">
        <f>IF('Données projet'!$A$88&gt;35,BD51+BC52-BL51,IF(A52&lt;'Données projet'!$A$88,$BA$205^A52,IF(A52='Données projet'!$A$88,'Données projet'!$B$88,BD51+BC52-BL51)))</f>
        <v>276.99999999999989</v>
      </c>
      <c r="BE52" s="13">
        <f>BD52*VLOOKUP('Données projet'!$B$11,Paramètres!$A$1:$I$89,3,0)*VLOOKUP('Données projet'!$B$11,Paramètres!$A$1:$I$89,5,0)</f>
        <v>129.63599999999994</v>
      </c>
      <c r="BF52" s="13">
        <f t="shared" si="37"/>
        <v>33.912235898830978</v>
      </c>
      <c r="BG52" s="20">
        <f t="shared" si="7"/>
        <v>284.84651085713051</v>
      </c>
      <c r="BH52" s="59">
        <f t="shared" si="8"/>
        <v>539.29289068142248</v>
      </c>
      <c r="BI52" s="59">
        <f ca="1">AVERAGE(OFFSET($BH$3,0,0,'Données projet'!$E$11+1,1))-AVERAGE(OFFSET($H$3,0,0,'Données projet'!$E$11+1,1))</f>
        <v>349.17860987804869</v>
      </c>
      <c r="BJ52" s="59">
        <f t="shared" si="38"/>
        <v>273.69433466447049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6.2299735286674203</v>
      </c>
      <c r="BQ52" s="21">
        <f>EXP(-LN(2)/25)*BQ51+(1-EXP(-LN(2)/25))/(LN(2)/25)*Calculateur!BL52*Calculateur!BN52*VLOOKUP('Données projet'!$B$11,Paramètres!$A$1:$I$89,3,0)*0.475*44/12</f>
        <v>6.5848136705807887</v>
      </c>
      <c r="BR52" s="21">
        <f>EXP(-LN(2)/2)*BR51+(1-EXP(-LN(2)/2))/(LN(2)/2)*BL52*BO52*VLOOKUP('Données projet'!$B$11,Paramètres!$A$1:$I$89,3,0)*0.475*44/12</f>
        <v>1.5251310838679307E-2</v>
      </c>
      <c r="BS52" s="22">
        <f t="shared" si="9"/>
        <v>12.830038510086887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2.0572770154103635E-13</v>
      </c>
      <c r="P53" s="13">
        <f t="shared" si="33"/>
        <v>2.8416956338469711E-12</v>
      </c>
      <c r="Q53" s="20">
        <f t="shared" si="53"/>
        <v>5.3075956424674458E-12</v>
      </c>
      <c r="R53" s="59">
        <f t="shared" si="0"/>
        <v>255.12098152947542</v>
      </c>
      <c r="S53" s="59">
        <f ca="1">AVERAGE(OFFSET($R$3,0,0,'Données projet'!$E$9+1,1))-AVERAGE(OFFSET($H$3,0,0,'Données projet'!$E$9+1,1))</f>
        <v>446.05900197653546</v>
      </c>
      <c r="T53" s="59">
        <f t="shared" si="34"/>
        <v>630.54710489646106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2.2167379083478425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4.6098491728595913E-3</v>
      </c>
      <c r="AC53" s="22">
        <f t="shared" si="3"/>
        <v>2.2213477575207019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351.99999999999994</v>
      </c>
      <c r="AJ53" s="13">
        <f>AI53*VLOOKUP('Données projet'!$B$10,Paramètres!$A$1:$I$89,3,0)*VLOOKUP('Données projet'!$B$10,Paramètres!$A$1:$I$89,5,0)</f>
        <v>210.49599999999998</v>
      </c>
      <c r="AK53" s="13">
        <f t="shared" si="35"/>
        <v>52.043959291168463</v>
      </c>
      <c r="AL53" s="20">
        <f t="shared" si="4"/>
        <v>457.25709576545165</v>
      </c>
      <c r="AM53" s="59">
        <f t="shared" si="5"/>
        <v>712.3780772949217</v>
      </c>
      <c r="AN53" s="59">
        <f ca="1">AVERAGE(OFFSET($AM$3,0,0,'Données projet'!$E$10+1,1))-AVERAGE(OFFSET($H$3,0,0,'Données projet'!$E$10+1,1))</f>
        <v>394.69391436029986</v>
      </c>
      <c r="AO53" s="59">
        <f t="shared" si="36"/>
        <v>311.37245656657353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5.0328696987847312</v>
      </c>
      <c r="AV53" s="21">
        <f>EXP(-LN(2)/25)*AV52+(1-EXP(-LN(2)/25))/(LN(2)/25)*Calculateur!AQ53*Calculateur!AS53*VLOOKUP('Données projet'!$B$10,Paramètres!$A$1:$I$89,3,0)*0.475*44/12</f>
        <v>3.815532924782655</v>
      </c>
      <c r="AW53" s="21">
        <f>EXP(-LN(2)/2)*AW52+(1-EXP(-LN(2)/2))/(LN(2)/2)*AQ53*AT53*VLOOKUP('Données projet'!$B$10,Paramètres!$A$1:$I$89,3,0)*0.475*44/12</f>
        <v>7.7371420953866715E-3</v>
      </c>
      <c r="AX53" s="21">
        <f t="shared" si="6"/>
        <v>8.8561397656627729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288.5</v>
      </c>
      <c r="BB53" s="12">
        <f>VLOOKUP(A53,'Données projet'!$A$87:$I$107,9,0)</f>
        <v>11.5</v>
      </c>
      <c r="BC53" s="12">
        <f t="array" ref="BC53">INDEX(BB:BB,MIN(IF(ISNUMBER(BB53:BB249),ROW(BB53:BB249),"")))</f>
        <v>11.5</v>
      </c>
      <c r="BD53" s="12">
        <f>IF('Données projet'!$A$88&gt;35,BD52+BC53-BL52,IF(A53&lt;'Données projet'!$A$88,$BA$205^A53,IF(A53='Données projet'!$A$88,'Données projet'!$B$88,BD52+BC53-BL52)))</f>
        <v>288.49999999999989</v>
      </c>
      <c r="BE53" s="13">
        <f>BD53*VLOOKUP('Données projet'!$B$11,Paramètres!$A$1:$I$89,3,0)*VLOOKUP('Données projet'!$B$11,Paramètres!$A$1:$I$89,5,0)</f>
        <v>135.01799999999994</v>
      </c>
      <c r="BF53" s="13">
        <f t="shared" si="37"/>
        <v>35.153303603250578</v>
      </c>
      <c r="BG53" s="20">
        <f t="shared" si="7"/>
        <v>296.38168710899464</v>
      </c>
      <c r="BH53" s="59">
        <f t="shared" si="8"/>
        <v>551.50266863846468</v>
      </c>
      <c r="BI53" s="59">
        <f ca="1">AVERAGE(OFFSET($BH$3,0,0,'Données projet'!$E$11+1,1))-AVERAGE(OFFSET($H$3,0,0,'Données projet'!$E$11+1,1))</f>
        <v>349.17860987804869</v>
      </c>
      <c r="BJ53" s="59">
        <f t="shared" si="38"/>
        <v>273.69433466447049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75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6.1078075476788944</v>
      </c>
      <c r="BQ53" s="21">
        <f>EXP(-LN(2)/25)*BQ52+(1-EXP(-LN(2)/25))/(LN(2)/25)*Calculateur!BL53*Calculateur!BN53*VLOOKUP('Données projet'!$B$11,Paramètres!$A$1:$I$89,3,0)*0.475*44/12</f>
        <v>6.4047515944784559</v>
      </c>
      <c r="BR53" s="21">
        <f>EXP(-LN(2)/2)*BR52+(1-EXP(-LN(2)/2))/(LN(2)/2)*BL53*BO53*VLOOKUP('Données projet'!$B$11,Paramètres!$A$1:$I$89,3,0)*0.475*44/12</f>
        <v>1.078430531601403E-2</v>
      </c>
      <c r="BS53" s="22">
        <f t="shared" si="9"/>
        <v>12.523343447473364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2.0572770154103635E-13</v>
      </c>
      <c r="P54" s="13">
        <f t="shared" si="33"/>
        <v>2.8416956338469711E-12</v>
      </c>
      <c r="Q54" s="20">
        <f t="shared" si="53"/>
        <v>5.3075956424674458E-12</v>
      </c>
      <c r="R54" s="59">
        <f t="shared" si="0"/>
        <v>255.78388040325214</v>
      </c>
      <c r="S54" s="59">
        <f ca="1">AVERAGE(OFFSET($R$3,0,0,'Données projet'!$E$9+1,1))-AVERAGE(OFFSET($H$3,0,0,'Données projet'!$E$9+1,1))</f>
        <v>446.05900197653546</v>
      </c>
      <c r="T54" s="59">
        <f t="shared" si="34"/>
        <v>630.54710489646106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2.1732690300417588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3.2596556103762142E-3</v>
      </c>
      <c r="AC54" s="22">
        <f t="shared" si="3"/>
        <v>2.1765286856521349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316.62499999999994</v>
      </c>
      <c r="AJ54" s="13">
        <f>AI54*VLOOKUP('Données projet'!$B$10,Paramètres!$A$1:$I$89,3,0)*VLOOKUP('Données projet'!$B$10,Paramètres!$A$1:$I$89,5,0)</f>
        <v>189.34174999999999</v>
      </c>
      <c r="AK54" s="13">
        <f t="shared" si="35"/>
        <v>47.394393740797923</v>
      </c>
      <c r="AL54" s="20">
        <f t="shared" si="4"/>
        <v>412.31545034855634</v>
      </c>
      <c r="AM54" s="59">
        <f t="shared" si="5"/>
        <v>668.09933075180311</v>
      </c>
      <c r="AN54" s="59">
        <f ca="1">AVERAGE(OFFSET($AM$3,0,0,'Données projet'!$E$10+1,1))-AVERAGE(OFFSET($H$3,0,0,'Données projet'!$E$10+1,1))</f>
        <v>394.69391436029986</v>
      </c>
      <c r="AO54" s="59">
        <f t="shared" si="36"/>
        <v>311.37245656657353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4.9341781937389664</v>
      </c>
      <c r="AV54" s="21">
        <f>EXP(-LN(2)/25)*AV53+(1-EXP(-LN(2)/25))/(LN(2)/25)*Calculateur!AQ54*Calculateur!AS54*VLOOKUP('Données projet'!$B$10,Paramètres!$A$1:$I$89,3,0)*0.475*44/12</f>
        <v>3.7111969763043176</v>
      </c>
      <c r="AW54" s="21">
        <f>EXP(-LN(2)/2)*AW53+(1-EXP(-LN(2)/2))/(LN(2)/2)*AQ54*AT54*VLOOKUP('Données projet'!$B$10,Paramètres!$A$1:$I$89,3,0)*0.475*44/12</f>
        <v>5.4709856426518096E-3</v>
      </c>
      <c r="AX54" s="21">
        <f t="shared" si="6"/>
        <v>8.6508461556859366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13.5</v>
      </c>
      <c r="BD54" s="12">
        <f>IF('Données projet'!$A$88&gt;35,BD53+BC54-BL53,IF(A54&lt;'Données projet'!$A$88,$BA$205^A54,IF(A54='Données projet'!$A$88,'Données projet'!$B$88,BD53+BC54-BL53)))</f>
        <v>226.99999999999989</v>
      </c>
      <c r="BE54" s="13">
        <f>BD54*VLOOKUP('Données projet'!$B$11,Paramètres!$A$1:$I$89,3,0)*VLOOKUP('Données projet'!$B$11,Paramètres!$A$1:$I$89,5,0)</f>
        <v>106.23599999999995</v>
      </c>
      <c r="BF54" s="13">
        <f t="shared" si="37"/>
        <v>28.442367793282852</v>
      </c>
      <c r="BG54" s="20">
        <f t="shared" si="7"/>
        <v>234.56482390663419</v>
      </c>
      <c r="BH54" s="59">
        <f t="shared" si="8"/>
        <v>490.34870430988099</v>
      </c>
      <c r="BI54" s="59">
        <f ca="1">AVERAGE(OFFSET($BH$3,0,0,'Données projet'!$E$11+1,1))-AVERAGE(OFFSET($H$3,0,0,'Données projet'!$E$11+1,1))</f>
        <v>349.17860987804869</v>
      </c>
      <c r="BJ54" s="59">
        <f t="shared" si="38"/>
        <v>273.69433466447049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5.9880371670636636</v>
      </c>
      <c r="BQ54" s="21">
        <f>EXP(-LN(2)/25)*BQ53+(1-EXP(-LN(2)/25))/(LN(2)/25)*Calculateur!BL54*Calculateur!BN54*VLOOKUP('Données projet'!$B$11,Paramètres!$A$1:$I$89,3,0)*0.475*44/12</f>
        <v>6.2296133253161941</v>
      </c>
      <c r="BR54" s="21">
        <f>EXP(-LN(2)/2)*BR53+(1-EXP(-LN(2)/2))/(LN(2)/2)*BL54*BO54*VLOOKUP('Données projet'!$B$11,Paramètres!$A$1:$I$89,3,0)*0.475*44/12</f>
        <v>7.6256554193396544E-3</v>
      </c>
      <c r="BS54" s="22">
        <f t="shared" si="9"/>
        <v>12.225276147799196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2.0572770154103635E-13</v>
      </c>
      <c r="P55" s="13">
        <f t="shared" si="33"/>
        <v>2.8416956338469711E-12</v>
      </c>
      <c r="Q55" s="20">
        <f t="shared" si="53"/>
        <v>5.3075956424674458E-12</v>
      </c>
      <c r="R55" s="59">
        <f t="shared" si="0"/>
        <v>256.43527946358864</v>
      </c>
      <c r="S55" s="59">
        <f ca="1">AVERAGE(OFFSET($R$3,0,0,'Données projet'!$E$9+1,1))-AVERAGE(OFFSET($H$3,0,0,'Données projet'!$E$9+1,1))</f>
        <v>446.05900197653546</v>
      </c>
      <c r="T55" s="59">
        <f t="shared" si="34"/>
        <v>630.54710489646106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2.1306525499258595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2.3049245864297956E-3</v>
      </c>
      <c r="AC55" s="22">
        <f t="shared" si="3"/>
        <v>2.1329574745122892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334.24999999999994</v>
      </c>
      <c r="AJ55" s="13">
        <f>AI55*VLOOKUP('Données projet'!$B$10,Paramètres!$A$1:$I$89,3,0)*VLOOKUP('Données projet'!$B$10,Paramètres!$A$1:$I$89,5,0)</f>
        <v>199.88149999999996</v>
      </c>
      <c r="AK55" s="13">
        <f t="shared" si="35"/>
        <v>49.71812411377941</v>
      </c>
      <c r="AL55" s="20">
        <f t="shared" si="4"/>
        <v>434.71934533149914</v>
      </c>
      <c r="AM55" s="59">
        <f t="shared" si="5"/>
        <v>691.15462479508255</v>
      </c>
      <c r="AN55" s="59">
        <f ca="1">AVERAGE(OFFSET($AM$3,0,0,'Données projet'!$E$10+1,1))-AVERAGE(OFFSET($H$3,0,0,'Données projet'!$E$10+1,1))</f>
        <v>394.69391436029986</v>
      </c>
      <c r="AO55" s="59">
        <f t="shared" si="36"/>
        <v>311.37245656657353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4.8374219689112747</v>
      </c>
      <c r="AV55" s="21">
        <f>EXP(-LN(2)/25)*AV54+(1-EXP(-LN(2)/25))/(LN(2)/25)*Calculateur!AQ55*Calculateur!AS55*VLOOKUP('Données projet'!$B$10,Paramètres!$A$1:$I$89,3,0)*0.475*44/12</f>
        <v>3.609714099823909</v>
      </c>
      <c r="AW55" s="21">
        <f>EXP(-LN(2)/2)*AW54+(1-EXP(-LN(2)/2))/(LN(2)/2)*AQ55*AT55*VLOOKUP('Données projet'!$B$10,Paramètres!$A$1:$I$89,3,0)*0.475*44/12</f>
        <v>3.8685710476933366E-3</v>
      </c>
      <c r="AX55" s="21">
        <f t="shared" si="6"/>
        <v>8.4510046397828766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13.5</v>
      </c>
      <c r="BD55" s="12">
        <f>IF('Données projet'!$A$88&gt;35,BD54+BC55-BL54,IF(A55&lt;'Données projet'!$A$88,$BA$205^A55,IF(A55='Données projet'!$A$88,'Données projet'!$B$88,BD54+BC55-BL54)))</f>
        <v>240.49999999999989</v>
      </c>
      <c r="BE55" s="13">
        <f>BD55*VLOOKUP('Données projet'!$B$11,Paramètres!$A$1:$I$89,3,0)*VLOOKUP('Données projet'!$B$11,Paramètres!$A$1:$I$89,5,0)</f>
        <v>112.55399999999995</v>
      </c>
      <c r="BF55" s="13">
        <f t="shared" si="37"/>
        <v>29.931920700323165</v>
      </c>
      <c r="BG55" s="20">
        <f t="shared" si="7"/>
        <v>248.16297855306274</v>
      </c>
      <c r="BH55" s="59">
        <f t="shared" si="8"/>
        <v>504.59825801664613</v>
      </c>
      <c r="BI55" s="59">
        <f ca="1">AVERAGE(OFFSET($BH$3,0,0,'Données projet'!$E$11+1,1))-AVERAGE(OFFSET($H$3,0,0,'Données projet'!$E$11+1,1))</f>
        <v>349.17860987804869</v>
      </c>
      <c r="BJ55" s="59">
        <f t="shared" si="38"/>
        <v>273.69433466447049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5.8706154105595783</v>
      </c>
      <c r="BQ55" s="21">
        <f>EXP(-LN(2)/25)*BQ54+(1-EXP(-LN(2)/25))/(LN(2)/25)*Calculateur!BL55*Calculateur!BN55*VLOOKUP('Données projet'!$B$11,Paramètres!$A$1:$I$89,3,0)*0.475*44/12</f>
        <v>6.0592642213342955</v>
      </c>
      <c r="BR55" s="21">
        <f>EXP(-LN(2)/2)*BR54+(1-EXP(-LN(2)/2))/(LN(2)/2)*BL55*BO55*VLOOKUP('Données projet'!$B$11,Paramètres!$A$1:$I$89,3,0)*0.475*44/12</f>
        <v>5.3921526580070159E-3</v>
      </c>
      <c r="BS55" s="22">
        <f t="shared" si="9"/>
        <v>11.935271784551881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2.0572770154103635E-13</v>
      </c>
      <c r="P56" s="13">
        <f t="shared" si="33"/>
        <v>2.8416956338469711E-12</v>
      </c>
      <c r="Q56" s="20">
        <f t="shared" si="53"/>
        <v>5.3075956424674458E-12</v>
      </c>
      <c r="R56" s="59">
        <f t="shared" si="0"/>
        <v>257.07537820653852</v>
      </c>
      <c r="S56" s="59">
        <f ca="1">AVERAGE(OFFSET($R$3,0,0,'Données projet'!$E$9+1,1))-AVERAGE(OFFSET($H$3,0,0,'Données projet'!$E$9+1,1))</f>
        <v>446.05900197653546</v>
      </c>
      <c r="T56" s="59">
        <f t="shared" si="34"/>
        <v>630.54710489646106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2.088871752991547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1.6298278051881071E-3</v>
      </c>
      <c r="AC56" s="22">
        <f t="shared" si="3"/>
        <v>2.0905015807967353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351.87499999999994</v>
      </c>
      <c r="AJ56" s="13">
        <f>AI56*VLOOKUP('Données projet'!$B$10,Paramètres!$A$1:$I$89,3,0)*VLOOKUP('Données projet'!$B$10,Paramètres!$A$1:$I$89,5,0)</f>
        <v>210.42124999999999</v>
      </c>
      <c r="AK56" s="13">
        <f t="shared" si="35"/>
        <v>52.027628682866947</v>
      </c>
      <c r="AL56" s="20">
        <f t="shared" si="4"/>
        <v>457.09846370599325</v>
      </c>
      <c r="AM56" s="59">
        <f t="shared" si="5"/>
        <v>714.17384191252654</v>
      </c>
      <c r="AN56" s="59">
        <f ca="1">AVERAGE(OFFSET($AM$3,0,0,'Données projet'!$E$10+1,1))-AVERAGE(OFFSET($H$3,0,0,'Données projet'!$E$10+1,1))</f>
        <v>394.69391436029986</v>
      </c>
      <c r="AO56" s="59">
        <f t="shared" si="36"/>
        <v>311.37245656657353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4.7425630746369842</v>
      </c>
      <c r="AV56" s="21">
        <f>EXP(-LN(2)/25)*AV55+(1-EXP(-LN(2)/25))/(LN(2)/25)*Calculateur!AQ56*Calculateur!AS56*VLOOKUP('Données projet'!$B$10,Paramètres!$A$1:$I$89,3,0)*0.475*44/12</f>
        <v>3.5110062779376099</v>
      </c>
      <c r="AW56" s="21">
        <f>EXP(-LN(2)/2)*AW55+(1-EXP(-LN(2)/2))/(LN(2)/2)*AQ56*AT56*VLOOKUP('Données projet'!$B$10,Paramètres!$A$1:$I$89,3,0)*0.475*44/12</f>
        <v>2.7354928213259052E-3</v>
      </c>
      <c r="AX56" s="21">
        <f t="shared" si="6"/>
        <v>8.2563048453959205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13.5</v>
      </c>
      <c r="BD56" s="12">
        <f>IF('Données projet'!$A$88&gt;35,BD55+BC56-BL55,IF(A56&lt;'Données projet'!$A$88,$BA$205^A56,IF(A56='Données projet'!$A$88,'Données projet'!$B$88,BD55+BC56-BL55)))</f>
        <v>253.99999999999989</v>
      </c>
      <c r="BE56" s="13">
        <f>BD56*VLOOKUP('Données projet'!$B$11,Paramètres!$A$1:$I$89,3,0)*VLOOKUP('Données projet'!$B$11,Paramètres!$A$1:$I$89,5,0)</f>
        <v>118.87199999999994</v>
      </c>
      <c r="BF56" s="13">
        <f t="shared" si="37"/>
        <v>31.411767382096219</v>
      </c>
      <c r="BG56" s="20">
        <f t="shared" si="7"/>
        <v>261.74422819048414</v>
      </c>
      <c r="BH56" s="59">
        <f t="shared" si="8"/>
        <v>518.81960639701742</v>
      </c>
      <c r="BI56" s="59">
        <f ca="1">AVERAGE(OFFSET($BH$3,0,0,'Données projet'!$E$11+1,1))-AVERAGE(OFFSET($H$3,0,0,'Données projet'!$E$11+1,1))</f>
        <v>349.17860987804869</v>
      </c>
      <c r="BJ56" s="59">
        <f t="shared" si="38"/>
        <v>273.69433466447049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5.7554962230803381</v>
      </c>
      <c r="BQ56" s="21">
        <f>EXP(-LN(2)/25)*BQ55+(1-EXP(-LN(2)/25))/(LN(2)/25)*Calculateur!BL56*Calculateur!BN56*VLOOKUP('Données projet'!$B$11,Paramètres!$A$1:$I$89,3,0)*0.475*44/12</f>
        <v>5.8935733225590523</v>
      </c>
      <c r="BR56" s="21">
        <f>EXP(-LN(2)/2)*BR55+(1-EXP(-LN(2)/2))/(LN(2)/2)*BL56*BO56*VLOOKUP('Données projet'!$B$11,Paramètres!$A$1:$I$89,3,0)*0.475*44/12</f>
        <v>3.8128277096698281E-3</v>
      </c>
      <c r="BS56" s="22">
        <f t="shared" si="9"/>
        <v>11.65288237334906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2.0572770154103635E-13</v>
      </c>
      <c r="P57" s="13">
        <f t="shared" si="33"/>
        <v>2.8416956338469711E-12</v>
      </c>
      <c r="Q57" s="20">
        <f t="shared" si="53"/>
        <v>5.3075956424674458E-12</v>
      </c>
      <c r="R57" s="59">
        <f t="shared" si="0"/>
        <v>257.70437266734461</v>
      </c>
      <c r="S57" s="59">
        <f ca="1">AVERAGE(OFFSET($R$3,0,0,'Données projet'!$E$9+1,1))-AVERAGE(OFFSET($H$3,0,0,'Données projet'!$E$9+1,1))</f>
        <v>446.05900197653546</v>
      </c>
      <c r="T57" s="59">
        <f t="shared" si="34"/>
        <v>630.54710489646106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2.0479102520013468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1.1524622932148978E-3</v>
      </c>
      <c r="AC57" s="22">
        <f t="shared" si="3"/>
        <v>2.0490627142945619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369.49999999999994</v>
      </c>
      <c r="AJ57" s="13">
        <f>AI57*VLOOKUP('Données projet'!$B$10,Paramètres!$A$1:$I$89,3,0)*VLOOKUP('Données projet'!$B$10,Paramètres!$A$1:$I$89,5,0)</f>
        <v>220.96099999999996</v>
      </c>
      <c r="AK57" s="13">
        <f t="shared" si="35"/>
        <v>54.323701308314696</v>
      </c>
      <c r="AL57" s="20">
        <f t="shared" si="4"/>
        <v>479.45418811198141</v>
      </c>
      <c r="AM57" s="59">
        <f t="shared" si="5"/>
        <v>737.15856077932074</v>
      </c>
      <c r="AN57" s="59">
        <f ca="1">AVERAGE(OFFSET($AM$3,0,0,'Données projet'!$E$10+1,1))-AVERAGE(OFFSET($H$3,0,0,'Données projet'!$E$10+1,1))</f>
        <v>394.69391436029986</v>
      </c>
      <c r="AO57" s="59">
        <f t="shared" si="36"/>
        <v>311.37245656657353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4.6495643054212001</v>
      </c>
      <c r="AV57" s="21">
        <f>EXP(-LN(2)/25)*AV56+(1-EXP(-LN(2)/25))/(LN(2)/25)*Calculateur!AQ57*Calculateur!AS57*VLOOKUP('Données projet'!$B$10,Paramètres!$A$1:$I$89,3,0)*0.475*44/12</f>
        <v>3.4149976266316102</v>
      </c>
      <c r="AW57" s="21">
        <f>EXP(-LN(2)/2)*AW56+(1-EXP(-LN(2)/2))/(LN(2)/2)*AQ57*AT57*VLOOKUP('Données projet'!$B$10,Paramètres!$A$1:$I$89,3,0)*0.475*44/12</f>
        <v>1.9342855238466685E-3</v>
      </c>
      <c r="AX57" s="21">
        <f t="shared" si="6"/>
        <v>8.0664962175766579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13.5</v>
      </c>
      <c r="BD57" s="12">
        <f>IF('Données projet'!$A$88&gt;35,BD56+BC57-BL56,IF(A57&lt;'Données projet'!$A$88,$BA$205^A57,IF(A57='Données projet'!$A$88,'Données projet'!$B$88,BD56+BC57-BL56)))</f>
        <v>267.49999999999989</v>
      </c>
      <c r="BE57" s="13">
        <f>BD57*VLOOKUP('Données projet'!$B$11,Paramètres!$A$1:$I$89,3,0)*VLOOKUP('Données projet'!$B$11,Paramètres!$A$1:$I$89,5,0)</f>
        <v>125.18999999999994</v>
      </c>
      <c r="BF57" s="13">
        <f t="shared" si="37"/>
        <v>32.882482546564304</v>
      </c>
      <c r="BG57" s="20">
        <f t="shared" si="7"/>
        <v>275.30957376859936</v>
      </c>
      <c r="BH57" s="59">
        <f t="shared" si="8"/>
        <v>533.01394643593869</v>
      </c>
      <c r="BI57" s="59">
        <f ca="1">AVERAGE(OFFSET($BH$3,0,0,'Données projet'!$E$11+1,1))-AVERAGE(OFFSET($H$3,0,0,'Données projet'!$E$11+1,1))</f>
        <v>349.17860987804869</v>
      </c>
      <c r="BJ57" s="59">
        <f t="shared" si="38"/>
        <v>273.69433466447049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5.6426344526517953</v>
      </c>
      <c r="BQ57" s="21">
        <f>EXP(-LN(2)/25)*BQ56+(1-EXP(-LN(2)/25))/(LN(2)/25)*Calculateur!BL57*Calculateur!BN57*VLOOKUP('Données projet'!$B$11,Paramètres!$A$1:$I$89,3,0)*0.475*44/12</f>
        <v>5.7324132501241243</v>
      </c>
      <c r="BR57" s="21">
        <f>EXP(-LN(2)/2)*BR56+(1-EXP(-LN(2)/2))/(LN(2)/2)*BL57*BO57*VLOOKUP('Données projet'!$B$11,Paramètres!$A$1:$I$89,3,0)*0.475*44/12</f>
        <v>2.6960763290035084E-3</v>
      </c>
      <c r="BS57" s="22">
        <f t="shared" si="9"/>
        <v>11.377743779104923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2.0572770154103635E-13</v>
      </c>
      <c r="P58" s="13">
        <f t="shared" si="33"/>
        <v>2.8416956338469711E-12</v>
      </c>
      <c r="Q58" s="20">
        <f t="shared" si="53"/>
        <v>5.3075956424674458E-12</v>
      </c>
      <c r="R58" s="59">
        <f t="shared" si="0"/>
        <v>258.32245548047666</v>
      </c>
      <c r="S58" s="59">
        <f ca="1">AVERAGE(OFFSET($R$3,0,0,'Données projet'!$E$9+1,1))-AVERAGE(OFFSET($H$3,0,0,'Données projet'!$E$9+1,1))</f>
        <v>446.05900197653546</v>
      </c>
      <c r="T58" s="59">
        <f t="shared" si="34"/>
        <v>630.54710489646106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2.0077519810615154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8.1491390259405354E-4</v>
      </c>
      <c r="AC58" s="22">
        <f t="shared" si="3"/>
        <v>2.0085668949641096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387.12499999999994</v>
      </c>
      <c r="AJ58" s="13">
        <f>AI58*VLOOKUP('Données projet'!$B$10,Paramètres!$A$1:$I$89,3,0)*VLOOKUP('Données projet'!$B$10,Paramètres!$A$1:$I$89,5,0)</f>
        <v>231.50074999999998</v>
      </c>
      <c r="AK58" s="13">
        <f t="shared" si="35"/>
        <v>56.607055837426749</v>
      </c>
      <c r="AL58" s="20">
        <f t="shared" si="4"/>
        <v>501.78776183351812</v>
      </c>
      <c r="AM58" s="59">
        <f t="shared" si="5"/>
        <v>760.11021731398955</v>
      </c>
      <c r="AN58" s="59">
        <f ca="1">AVERAGE(OFFSET($AM$3,0,0,'Données projet'!$E$10+1,1))-AVERAGE(OFFSET($H$3,0,0,'Données projet'!$E$10+1,1))</f>
        <v>394.69391436029986</v>
      </c>
      <c r="AO58" s="59">
        <f t="shared" si="36"/>
        <v>311.37245656657353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4.5583891853460896</v>
      </c>
      <c r="AV58" s="21">
        <f>EXP(-LN(2)/25)*AV57+(1-EXP(-LN(2)/25))/(LN(2)/25)*Calculateur!AQ58*Calculateur!AS58*VLOOKUP('Données projet'!$B$10,Paramètres!$A$1:$I$89,3,0)*0.475*44/12</f>
        <v>3.3216143369444486</v>
      </c>
      <c r="AW58" s="21">
        <f>EXP(-LN(2)/2)*AW57+(1-EXP(-LN(2)/2))/(LN(2)/2)*AQ58*AT58*VLOOKUP('Données projet'!$B$10,Paramètres!$A$1:$I$89,3,0)*0.475*44/12</f>
        <v>1.3677464106629528E-3</v>
      </c>
      <c r="AX58" s="21">
        <f t="shared" si="6"/>
        <v>7.8813712687012014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13.5</v>
      </c>
      <c r="BD58" s="12">
        <f>IF('Données projet'!$A$88&gt;35,BD57+BC58-BL57,IF(A58&lt;'Données projet'!$A$88,$BA$205^A58,IF(A58='Données projet'!$A$88,'Données projet'!$B$88,BD57+BC58-BL57)))</f>
        <v>280.99999999999989</v>
      </c>
      <c r="BE58" s="13">
        <f>BD58*VLOOKUP('Données projet'!$B$11,Paramètres!$A$1:$I$89,3,0)*VLOOKUP('Données projet'!$B$11,Paramètres!$A$1:$I$89,5,0)</f>
        <v>131.50799999999995</v>
      </c>
      <c r="BF58" s="13">
        <f t="shared" si="37"/>
        <v>34.344579617082481</v>
      </c>
      <c r="BG58" s="20">
        <f t="shared" si="7"/>
        <v>288.85990949975189</v>
      </c>
      <c r="BH58" s="59">
        <f t="shared" si="8"/>
        <v>547.18236498022327</v>
      </c>
      <c r="BI58" s="59">
        <f ca="1">AVERAGE(OFFSET($BH$3,0,0,'Données projet'!$E$11+1,1))-AVERAGE(OFFSET($H$3,0,0,'Données projet'!$E$11+1,1))</f>
        <v>349.17860987804869</v>
      </c>
      <c r="BJ58" s="59">
        <f t="shared" si="38"/>
        <v>273.69433466447049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5.5319858327024729</v>
      </c>
      <c r="BQ58" s="21">
        <f>EXP(-LN(2)/25)*BQ57+(1-EXP(-LN(2)/25))/(LN(2)/25)*Calculateur!BL58*Calculateur!BN58*VLOOKUP('Données projet'!$B$11,Paramètres!$A$1:$I$89,3,0)*0.475*44/12</f>
        <v>5.5756601083449686</v>
      </c>
      <c r="BR58" s="21">
        <f>EXP(-LN(2)/2)*BR57+(1-EXP(-LN(2)/2))/(LN(2)/2)*BL58*BO58*VLOOKUP('Données projet'!$B$11,Paramètres!$A$1:$I$89,3,0)*0.475*44/12</f>
        <v>1.9064138548349143E-3</v>
      </c>
      <c r="BS58" s="22">
        <f t="shared" si="9"/>
        <v>11.109552354902275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2.0572770154103635E-13</v>
      </c>
      <c r="P59" s="13">
        <f t="shared" si="33"/>
        <v>2.8416956338469711E-12</v>
      </c>
      <c r="Q59" s="20">
        <f t="shared" si="53"/>
        <v>5.3075956424674458E-12</v>
      </c>
      <c r="R59" s="59">
        <f t="shared" si="0"/>
        <v>258.92981593862703</v>
      </c>
      <c r="S59" s="59">
        <f ca="1">AVERAGE(OFFSET($R$3,0,0,'Données projet'!$E$9+1,1))-AVERAGE(OFFSET($H$3,0,0,'Données projet'!$E$9+1,1))</f>
        <v>446.05900197653546</v>
      </c>
      <c r="T59" s="59">
        <f t="shared" si="34"/>
        <v>630.54710489646106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1.9683811893206875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5.7623114660744891E-4</v>
      </c>
      <c r="AC59" s="22">
        <f t="shared" si="3"/>
        <v>1.968957420467295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404.74999999999994</v>
      </c>
      <c r="AJ59" s="13">
        <f>AI59*VLOOKUP('Données projet'!$B$10,Paramètres!$A$1:$I$89,3,0)*VLOOKUP('Données projet'!$B$10,Paramètres!$A$1:$I$89,5,0)</f>
        <v>242.04049999999998</v>
      </c>
      <c r="AK59" s="13">
        <f t="shared" si="35"/>
        <v>58.878337443371535</v>
      </c>
      <c r="AL59" s="20">
        <f t="shared" si="4"/>
        <v>524.10030854720526</v>
      </c>
      <c r="AM59" s="59">
        <f t="shared" si="5"/>
        <v>783.03012448582695</v>
      </c>
      <c r="AN59" s="59">
        <f ca="1">AVERAGE(OFFSET($AM$3,0,0,'Données projet'!$E$10+1,1))-AVERAGE(OFFSET($H$3,0,0,'Données projet'!$E$10+1,1))</f>
        <v>394.69391436029986</v>
      </c>
      <c r="AO59" s="59">
        <f t="shared" si="36"/>
        <v>311.37245656657353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4.4690019537643195</v>
      </c>
      <c r="AV59" s="21">
        <f>EXP(-LN(2)/25)*AV58+(1-EXP(-LN(2)/25))/(LN(2)/25)*Calculateur!AQ59*Calculateur!AS59*VLOOKUP('Données projet'!$B$10,Paramètres!$A$1:$I$89,3,0)*0.475*44/12</f>
        <v>3.2307846182245963</v>
      </c>
      <c r="AW59" s="21">
        <f>EXP(-LN(2)/2)*AW58+(1-EXP(-LN(2)/2))/(LN(2)/2)*AQ59*AT59*VLOOKUP('Données projet'!$B$10,Paramètres!$A$1:$I$89,3,0)*0.475*44/12</f>
        <v>9.6714276192333447E-4</v>
      </c>
      <c r="AX59" s="21">
        <f t="shared" si="6"/>
        <v>7.7007537147508396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13.5</v>
      </c>
      <c r="BD59" s="12">
        <f>IF('Données projet'!$A$88&gt;35,BD58+BC59-BL58,IF(A59&lt;'Données projet'!$A$88,$BA$205^A59,IF(A59='Données projet'!$A$88,'Données projet'!$B$88,BD58+BC59-BL58)))</f>
        <v>294.49999999999989</v>
      </c>
      <c r="BE59" s="13">
        <f>BD59*VLOOKUP('Données projet'!$B$11,Paramètres!$A$1:$I$89,3,0)*VLOOKUP('Données projet'!$B$11,Paramètres!$A$1:$I$89,5,0)</f>
        <v>137.82599999999994</v>
      </c>
      <c r="BF59" s="13">
        <f t="shared" si="37"/>
        <v>35.798519897115497</v>
      </c>
      <c r="BG59" s="20">
        <f t="shared" si="7"/>
        <v>302.39603882080934</v>
      </c>
      <c r="BH59" s="59">
        <f t="shared" si="8"/>
        <v>561.32585475943108</v>
      </c>
      <c r="BI59" s="59">
        <f ca="1">AVERAGE(OFFSET($BH$3,0,0,'Données projet'!$E$11+1,1))-AVERAGE(OFFSET($H$3,0,0,'Données projet'!$E$11+1,1))</f>
        <v>349.17860987804869</v>
      </c>
      <c r="BJ59" s="59">
        <f t="shared" si="38"/>
        <v>273.69433466447049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5.423506964701363</v>
      </c>
      <c r="BQ59" s="21">
        <f>EXP(-LN(2)/25)*BQ58+(1-EXP(-LN(2)/25))/(LN(2)/25)*Calculateur!BL59*Calculateur!BN59*VLOOKUP('Données projet'!$B$11,Paramètres!$A$1:$I$89,3,0)*0.475*44/12</f>
        <v>5.423193389471054</v>
      </c>
      <c r="BR59" s="21">
        <f>EXP(-LN(2)/2)*BR58+(1-EXP(-LN(2)/2))/(LN(2)/2)*BL59*BO59*VLOOKUP('Données projet'!$B$11,Paramètres!$A$1:$I$89,3,0)*0.475*44/12</f>
        <v>1.3480381645017544E-3</v>
      </c>
      <c r="BS59" s="22">
        <f t="shared" si="9"/>
        <v>10.848048392336917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2.0572770154103635E-13</v>
      </c>
      <c r="P60" s="13">
        <f t="shared" si="33"/>
        <v>2.8416956338469711E-12</v>
      </c>
      <c r="Q60" s="20">
        <f t="shared" si="53"/>
        <v>5.3075956424674458E-12</v>
      </c>
      <c r="R60" s="59">
        <f t="shared" si="0"/>
        <v>259.526640050683</v>
      </c>
      <c r="S60" s="59">
        <f ca="1">AVERAGE(OFFSET($R$3,0,0,'Données projet'!$E$9+1,1))-AVERAGE(OFFSET($H$3,0,0,'Données projet'!$E$9+1,1))</f>
        <v>446.05900197653546</v>
      </c>
      <c r="T60" s="59">
        <f t="shared" si="34"/>
        <v>630.54710489646106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1.9297824347920856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4.0745695129702677E-4</v>
      </c>
      <c r="AC60" s="22">
        <f t="shared" si="3"/>
        <v>1.9301898917433826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422.37499999999994</v>
      </c>
      <c r="AJ60" s="13">
        <f>AI60*VLOOKUP('Données projet'!$B$10,Paramètres!$A$1:$I$89,3,0)*VLOOKUP('Données projet'!$B$10,Paramètres!$A$1:$I$89,5,0)</f>
        <v>252.58025000000001</v>
      </c>
      <c r="AK60" s="13">
        <f t="shared" si="35"/>
        <v>61.138131933251593</v>
      </c>
      <c r="AL60" s="20">
        <f t="shared" si="4"/>
        <v>546.39284853374647</v>
      </c>
      <c r="AM60" s="59">
        <f t="shared" si="5"/>
        <v>805.91948858442424</v>
      </c>
      <c r="AN60" s="59">
        <f ca="1">AVERAGE(OFFSET($AM$3,0,0,'Données projet'!$E$10+1,1))-AVERAGE(OFFSET($H$3,0,0,'Données projet'!$E$10+1,1))</f>
        <v>394.69391436029986</v>
      </c>
      <c r="AO60" s="59">
        <f t="shared" si="36"/>
        <v>311.37245656657353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4.3813675512730406</v>
      </c>
      <c r="AV60" s="21">
        <f>EXP(-LN(2)/25)*AV59+(1-EXP(-LN(2)/25))/(LN(2)/25)*Calculateur!AQ60*Calculateur!AS60*VLOOKUP('Données projet'!$B$10,Paramètres!$A$1:$I$89,3,0)*0.475*44/12</f>
        <v>3.1424386429396658</v>
      </c>
      <c r="AW60" s="21">
        <f>EXP(-LN(2)/2)*AW59+(1-EXP(-LN(2)/2))/(LN(2)/2)*AQ60*AT60*VLOOKUP('Données projet'!$B$10,Paramètres!$A$1:$I$89,3,0)*0.475*44/12</f>
        <v>6.8387320533147653E-4</v>
      </c>
      <c r="AX60" s="21">
        <f t="shared" si="6"/>
        <v>7.5244900674180384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13.5</v>
      </c>
      <c r="BD60" s="12">
        <f>IF('Données projet'!$A$88&gt;35,BD59+BC60-BL59,IF(A60&lt;'Données projet'!$A$88,$BA$205^A60,IF(A60='Données projet'!$A$88,'Données projet'!$B$88,BD59+BC60-BL59)))</f>
        <v>307.99999999999989</v>
      </c>
      <c r="BE60" s="13">
        <f>BD60*VLOOKUP('Données projet'!$B$11,Paramètres!$A$1:$I$89,3,0)*VLOOKUP('Données projet'!$B$11,Paramètres!$A$1:$I$89,5,0)</f>
        <v>144.14399999999995</v>
      </c>
      <c r="BF60" s="13">
        <f t="shared" si="37"/>
        <v>37.244720006976216</v>
      </c>
      <c r="BG60" s="20">
        <f t="shared" si="7"/>
        <v>315.91868734548348</v>
      </c>
      <c r="BH60" s="59">
        <f t="shared" si="8"/>
        <v>575.44532739616125</v>
      </c>
      <c r="BI60" s="59">
        <f ca="1">AVERAGE(OFFSET($BH$3,0,0,'Données projet'!$E$11+1,1))-AVERAGE(OFFSET($H$3,0,0,'Données projet'!$E$11+1,1))</f>
        <v>349.17860987804869</v>
      </c>
      <c r="BJ60" s="59">
        <f t="shared" si="38"/>
        <v>273.69433466447049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5.3171553011361787</v>
      </c>
      <c r="BQ60" s="21">
        <f>EXP(-LN(2)/25)*BQ59+(1-EXP(-LN(2)/25))/(LN(2)/25)*Calculateur!BL60*Calculateur!BN60*VLOOKUP('Données projet'!$B$11,Paramètres!$A$1:$I$89,3,0)*0.475*44/12</f>
        <v>5.2748958810426227</v>
      </c>
      <c r="BR60" s="21">
        <f>EXP(-LN(2)/2)*BR59+(1-EXP(-LN(2)/2))/(LN(2)/2)*BL60*BO60*VLOOKUP('Données projet'!$B$11,Paramètres!$A$1:$I$89,3,0)*0.475*44/12</f>
        <v>9.5320692741745724E-4</v>
      </c>
      <c r="BS60" s="22">
        <f t="shared" si="9"/>
        <v>10.59300438910622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2.0572770154103635E-13</v>
      </c>
      <c r="P61" s="13">
        <f t="shared" si="33"/>
        <v>2.8416956338469711E-12</v>
      </c>
      <c r="Q61" s="20">
        <f t="shared" si="53"/>
        <v>5.3075956424674458E-12</v>
      </c>
      <c r="R61" s="59">
        <f t="shared" si="0"/>
        <v>260.11311059869371</v>
      </c>
      <c r="S61" s="59">
        <f ca="1">AVERAGE(OFFSET($R$3,0,0,'Données projet'!$E$9+1,1))-AVERAGE(OFFSET($H$3,0,0,'Données projet'!$E$9+1,1))</f>
        <v>446.05900197653546</v>
      </c>
      <c r="T61" s="59">
        <f t="shared" si="34"/>
        <v>630.54710489646106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1.8919405782968739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2.8811557330372446E-4</v>
      </c>
      <c r="AC61" s="22">
        <f t="shared" si="3"/>
        <v>1.8922286938701776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439.99999999999994</v>
      </c>
      <c r="AJ61" s="13">
        <f>AI61*VLOOKUP('Données projet'!$B$10,Paramètres!$A$1:$I$89,3,0)*VLOOKUP('Données projet'!$B$10,Paramètres!$A$1:$I$89,5,0)</f>
        <v>263.12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828.77942270601488</v>
      </c>
      <c r="AN61" s="59">
        <f ca="1">AVERAGE(OFFSET($AM$3,0,0,'Données projet'!$E$10+1,1))-AVERAGE(OFFSET($H$3,0,0,'Données projet'!$E$10+1,1))</f>
        <v>394.69391436029986</v>
      </c>
      <c r="AO61" s="59">
        <f t="shared" si="36"/>
        <v>311.37245656657353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4.2954516059629082</v>
      </c>
      <c r="AV61" s="21">
        <f>EXP(-LN(2)/25)*AV60+(1-EXP(-LN(2)/25))/(LN(2)/25)*Calculateur!AQ61*Calculateur!AS61*VLOOKUP('Données projet'!$B$10,Paramètres!$A$1:$I$89,3,0)*0.475*44/12</f>
        <v>3.0565084929948148</v>
      </c>
      <c r="AW61" s="21">
        <f>EXP(-LN(2)/2)*AW60+(1-EXP(-LN(2)/2))/(LN(2)/2)*AQ61*AT61*VLOOKUP('Données projet'!$B$10,Paramètres!$A$1:$I$89,3,0)*0.475*44/12</f>
        <v>4.8357138096166729E-4</v>
      </c>
      <c r="AX61" s="21">
        <f t="shared" si="6"/>
        <v>7.3524436703386851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13.5</v>
      </c>
      <c r="BD61" s="12">
        <f>IF('Données projet'!$A$88&gt;35,BD60+BC61-BL60,IF(A61&lt;'Données projet'!$A$88,$BA$205^A61,IF(A61='Données projet'!$A$88,'Données projet'!$B$88,BD60+BC61-BL60)))</f>
        <v>321.49999999999989</v>
      </c>
      <c r="BE61" s="13">
        <f>BD61*VLOOKUP('Données projet'!$B$11,Paramètres!$A$1:$I$89,3,0)*VLOOKUP('Données projet'!$B$11,Paramètres!$A$1:$I$89,5,0)</f>
        <v>150.46199999999993</v>
      </c>
      <c r="BF61" s="13">
        <f t="shared" si="37"/>
        <v>38.683557979918994</v>
      </c>
      <c r="BG61" s="20">
        <f t="shared" si="7"/>
        <v>329.42851348169211</v>
      </c>
      <c r="BH61" s="59">
        <f t="shared" si="8"/>
        <v>589.54162408038053</v>
      </c>
      <c r="BI61" s="59">
        <f ca="1">AVERAGE(OFFSET($BH$3,0,0,'Données projet'!$E$11+1,1))-AVERAGE(OFFSET($H$3,0,0,'Données projet'!$E$11+1,1))</f>
        <v>349.17860987804869</v>
      </c>
      <c r="BJ61" s="59">
        <f t="shared" si="38"/>
        <v>273.69433466447049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5.212889128825398</v>
      </c>
      <c r="BQ61" s="21">
        <f>EXP(-LN(2)/25)*BQ60+(1-EXP(-LN(2)/25))/(LN(2)/25)*Calculateur!BL61*Calculateur!BN61*VLOOKUP('Données projet'!$B$11,Paramètres!$A$1:$I$89,3,0)*0.475*44/12</f>
        <v>5.1306535757807934</v>
      </c>
      <c r="BR61" s="21">
        <f>EXP(-LN(2)/2)*BR60+(1-EXP(-LN(2)/2))/(LN(2)/2)*BL61*BO61*VLOOKUP('Données projet'!$B$11,Paramètres!$A$1:$I$89,3,0)*0.475*44/12</f>
        <v>6.7401908225087732E-4</v>
      </c>
      <c r="BS61" s="22">
        <f t="shared" si="9"/>
        <v>10.344216723688442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2.0572770154103635E-13</v>
      </c>
      <c r="P62" s="13">
        <f t="shared" si="33"/>
        <v>2.8416956338469711E-12</v>
      </c>
      <c r="Q62" s="20">
        <f t="shared" si="53"/>
        <v>5.3075956424674458E-12</v>
      </c>
      <c r="R62" s="59">
        <f t="shared" si="0"/>
        <v>260.68940719384807</v>
      </c>
      <c r="S62" s="59">
        <f ca="1">AVERAGE(OFFSET($R$3,0,0,'Données projet'!$E$9+1,1))-AVERAGE(OFFSET($H$3,0,0,'Données projet'!$E$9+1,1))</f>
        <v>446.05900197653546</v>
      </c>
      <c r="T62" s="59">
        <f t="shared" si="34"/>
        <v>630.54710489646106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1.8548407775262798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2.0372847564851339E-4</v>
      </c>
      <c r="AC62" s="22">
        <f t="shared" si="3"/>
        <v>1.8550445060019283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378.62499999999994</v>
      </c>
      <c r="AJ62" s="13">
        <f>AI62*VLOOKUP('Données projet'!$B$10,Paramètres!$A$1:$I$89,3,0)*VLOOKUP('Données projet'!$B$10,Paramètres!$A$1:$I$89,5,0)</f>
        <v>226.41774999999998</v>
      </c>
      <c r="AK62" s="13">
        <f t="shared" si="35"/>
        <v>55.507409107649494</v>
      </c>
      <c r="AL62" s="20">
        <f t="shared" si="4"/>
        <v>491.0196521124895</v>
      </c>
      <c r="AM62" s="59">
        <f t="shared" si="5"/>
        <v>751.70905930633228</v>
      </c>
      <c r="AN62" s="59">
        <f ca="1">AVERAGE(OFFSET($AM$3,0,0,'Données projet'!$E$10+1,1))-AVERAGE(OFFSET($H$3,0,0,'Données projet'!$E$10+1,1))</f>
        <v>394.69391436029986</v>
      </c>
      <c r="AO62" s="59">
        <f t="shared" si="36"/>
        <v>311.37245656657353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4.2112204199367547</v>
      </c>
      <c r="AV62" s="21">
        <f>EXP(-LN(2)/25)*AV61+(1-EXP(-LN(2)/25))/(LN(2)/25)*Calculateur!AQ62*Calculateur!AS62*VLOOKUP('Données projet'!$B$10,Paramètres!$A$1:$I$89,3,0)*0.475*44/12</f>
        <v>2.9729281075190754</v>
      </c>
      <c r="AW62" s="21">
        <f>EXP(-LN(2)/2)*AW61+(1-EXP(-LN(2)/2))/(LN(2)/2)*AQ62*AT62*VLOOKUP('Données projet'!$B$10,Paramètres!$A$1:$I$89,3,0)*0.475*44/12</f>
        <v>3.4193660266573832E-4</v>
      </c>
      <c r="AX62" s="21">
        <f t="shared" si="6"/>
        <v>7.1844904640584959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13.5</v>
      </c>
      <c r="BD62" s="12">
        <f>IF('Données projet'!$A$88&gt;35,BD61+BC62-BL61,IF(A62&lt;'Données projet'!$A$88,$BA$205^A62,IF(A62='Données projet'!$A$88,'Données projet'!$B$88,BD61+BC62-BL61)))</f>
        <v>334.99999999999989</v>
      </c>
      <c r="BE62" s="13">
        <f>BD62*VLOOKUP('Données projet'!$B$11,Paramètres!$A$1:$I$89,3,0)*VLOOKUP('Données projet'!$B$11,Paramètres!$A$1:$I$89,5,0)</f>
        <v>156.77999999999994</v>
      </c>
      <c r="BF62" s="13">
        <f t="shared" si="37"/>
        <v>40.115378305457938</v>
      </c>
      <c r="BG62" s="20">
        <f t="shared" si="7"/>
        <v>342.92611721533916</v>
      </c>
      <c r="BH62" s="59">
        <f t="shared" si="8"/>
        <v>603.61552440918194</v>
      </c>
      <c r="BI62" s="59">
        <f ca="1">AVERAGE(OFFSET($BH$3,0,0,'Données projet'!$E$11+1,1))-AVERAGE(OFFSET($H$3,0,0,'Données projet'!$E$11+1,1))</f>
        <v>349.17860987804869</v>
      </c>
      <c r="BJ62" s="59">
        <f t="shared" si="38"/>
        <v>273.69433466447049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5.1106675525575458</v>
      </c>
      <c r="BQ62" s="21">
        <f>EXP(-LN(2)/25)*BQ61+(1-EXP(-LN(2)/25))/(LN(2)/25)*Calculateur!BL62*Calculateur!BN62*VLOOKUP('Données projet'!$B$11,Paramètres!$A$1:$I$89,3,0)*0.475*44/12</f>
        <v>4.9903555839417226</v>
      </c>
      <c r="BR62" s="21">
        <f>EXP(-LN(2)/2)*BR61+(1-EXP(-LN(2)/2))/(LN(2)/2)*BL62*BO62*VLOOKUP('Données projet'!$B$11,Paramètres!$A$1:$I$89,3,0)*0.475*44/12</f>
        <v>4.7660346370872873E-4</v>
      </c>
      <c r="BS62" s="22">
        <f t="shared" si="9"/>
        <v>10.101499739962977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2.0572770154103635E-13</v>
      </c>
      <c r="P63" s="13">
        <f t="shared" si="33"/>
        <v>2.8416956338469711E-12</v>
      </c>
      <c r="Q63" s="20">
        <f t="shared" si="53"/>
        <v>5.3075956424674458E-12</v>
      </c>
      <c r="R63" s="59">
        <f t="shared" si="0"/>
        <v>261.25570633148277</v>
      </c>
      <c r="S63" s="59">
        <f ca="1">AVERAGE(OFFSET($R$3,0,0,'Données projet'!$E$9+1,1))-AVERAGE(OFFSET($H$3,0,0,'Données projet'!$E$9+1,1))</f>
        <v>446.05900197653546</v>
      </c>
      <c r="T63" s="59">
        <f t="shared" si="34"/>
        <v>630.54710489646106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1.818468481220153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1.4405778665186223E-4</v>
      </c>
      <c r="AC63" s="22">
        <f t="shared" si="3"/>
        <v>1.8186125390068049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395.24999999999994</v>
      </c>
      <c r="AJ63" s="13">
        <f>AI63*VLOOKUP('Données projet'!$B$10,Paramètres!$A$1:$I$89,3,0)*VLOOKUP('Données projet'!$B$10,Paramètres!$A$1:$I$89,5,0)</f>
        <v>236.35949999999997</v>
      </c>
      <c r="AK63" s="13">
        <f t="shared" si="35"/>
        <v>57.655563749416167</v>
      </c>
      <c r="AL63" s="20">
        <f t="shared" si="4"/>
        <v>512.07623603023308</v>
      </c>
      <c r="AM63" s="59">
        <f t="shared" si="5"/>
        <v>773.33194236171062</v>
      </c>
      <c r="AN63" s="59">
        <f ca="1">AVERAGE(OFFSET($AM$3,0,0,'Données projet'!$E$10+1,1))-AVERAGE(OFFSET($H$3,0,0,'Données projet'!$E$10+1,1))</f>
        <v>394.69391436029986</v>
      </c>
      <c r="AO63" s="59">
        <f t="shared" si="36"/>
        <v>311.37245656657353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4.1286409560926236</v>
      </c>
      <c r="AV63" s="21">
        <f>EXP(-LN(2)/25)*AV62+(1-EXP(-LN(2)/25))/(LN(2)/25)*Calculateur!AQ63*Calculateur!AS63*VLOOKUP('Données projet'!$B$10,Paramètres!$A$1:$I$89,3,0)*0.475*44/12</f>
        <v>2.8916332320794718</v>
      </c>
      <c r="AW63" s="21">
        <f>EXP(-LN(2)/2)*AW62+(1-EXP(-LN(2)/2))/(LN(2)/2)*AQ63*AT63*VLOOKUP('Données projet'!$B$10,Paramètres!$A$1:$I$89,3,0)*0.475*44/12</f>
        <v>2.4178569048083367E-4</v>
      </c>
      <c r="AX63" s="21">
        <f t="shared" si="6"/>
        <v>7.020515973862576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348.5</v>
      </c>
      <c r="BB63" s="12">
        <f>VLOOKUP(A63,'Données projet'!$A$87:$I$107,9,0)</f>
        <v>13.5</v>
      </c>
      <c r="BC63" s="12">
        <f t="array" ref="BC63">INDEX(BB:BB,MIN(IF(ISNUMBER(BB63:BB259),ROW(BB63:BB259),"")))</f>
        <v>13.5</v>
      </c>
      <c r="BD63" s="12">
        <f>IF('Données projet'!$A$88&gt;35,BD62+BC63-BL62,IF(A63&lt;'Données projet'!$A$88,$BA$205^A63,IF(A63='Données projet'!$A$88,'Données projet'!$B$88,BD62+BC63-BL62)))</f>
        <v>348.49999999999989</v>
      </c>
      <c r="BE63" s="13">
        <f>BD63*VLOOKUP('Données projet'!$B$11,Paramètres!$A$1:$I$89,3,0)*VLOOKUP('Données projet'!$B$11,Paramètres!$A$1:$I$89,5,0)</f>
        <v>163.09799999999993</v>
      </c>
      <c r="BF63" s="13">
        <f t="shared" si="37"/>
        <v>41.540496136845142</v>
      </c>
      <c r="BG63" s="20">
        <f t="shared" si="7"/>
        <v>356.4120474383385</v>
      </c>
      <c r="BH63" s="59">
        <f t="shared" si="8"/>
        <v>617.66775376981604</v>
      </c>
      <c r="BI63" s="59">
        <f ca="1">AVERAGE(OFFSET($BH$3,0,0,'Données projet'!$E$11+1,1))-AVERAGE(OFFSET($H$3,0,0,'Données projet'!$E$11+1,1))</f>
        <v>349.17860987804869</v>
      </c>
      <c r="BJ63" s="59">
        <f t="shared" si="38"/>
        <v>273.69433466447049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5.0104504790513014</v>
      </c>
      <c r="BQ63" s="21">
        <f>EXP(-LN(2)/25)*BQ62+(1-EXP(-LN(2)/25))/(LN(2)/25)*Calculateur!BL63*Calculateur!BN63*VLOOKUP('Données projet'!$B$11,Paramètres!$A$1:$I$89,3,0)*0.475*44/12</f>
        <v>4.853894048067442</v>
      </c>
      <c r="BR63" s="21">
        <f>EXP(-LN(2)/2)*BR62+(1-EXP(-LN(2)/2))/(LN(2)/2)*BL63*BO63*VLOOKUP('Données projet'!$B$11,Paramètres!$A$1:$I$89,3,0)*0.475*44/12</f>
        <v>3.3700954112543871E-4</v>
      </c>
      <c r="BS63" s="22">
        <f t="shared" si="9"/>
        <v>9.8646815366598677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2.0572770154103635E-13</v>
      </c>
      <c r="P64" s="13">
        <f t="shared" si="33"/>
        <v>2.8416956338469711E-12</v>
      </c>
      <c r="Q64" s="20">
        <f t="shared" si="53"/>
        <v>5.3075956424674458E-12</v>
      </c>
      <c r="R64" s="59">
        <f t="shared" si="0"/>
        <v>261.81218144513463</v>
      </c>
      <c r="S64" s="59">
        <f ca="1">AVERAGE(OFFSET($R$3,0,0,'Données projet'!$E$9+1,1))-AVERAGE(OFFSET($H$3,0,0,'Données projet'!$E$9+1,1))</f>
        <v>446.05900197653546</v>
      </c>
      <c r="T64" s="59">
        <f t="shared" si="34"/>
        <v>630.54710489646106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1.7828094234596792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1.0186423782425669E-4</v>
      </c>
      <c r="AC64" s="22">
        <f t="shared" si="3"/>
        <v>1.7829112876975035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411.87499999999994</v>
      </c>
      <c r="AJ64" s="13">
        <f>AI64*VLOOKUP('Données projet'!$B$10,Paramètres!$A$1:$I$89,3,0)*VLOOKUP('Données projet'!$B$10,Paramètres!$A$1:$I$89,5,0)</f>
        <v>246.30124999999998</v>
      </c>
      <c r="AK64" s="13">
        <f t="shared" si="35"/>
        <v>59.793223430016852</v>
      </c>
      <c r="AL64" s="20">
        <f t="shared" si="4"/>
        <v>533.11454122394582</v>
      </c>
      <c r="AM64" s="59">
        <f t="shared" si="5"/>
        <v>794.92672266907516</v>
      </c>
      <c r="AN64" s="59">
        <f ca="1">AVERAGE(OFFSET($AM$3,0,0,'Données projet'!$E$10+1,1))-AVERAGE(OFFSET($H$3,0,0,'Données projet'!$E$10+1,1))</f>
        <v>394.69391436029986</v>
      </c>
      <c r="AO64" s="59">
        <f t="shared" si="36"/>
        <v>311.37245656657353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4.047680825165977</v>
      </c>
      <c r="AV64" s="21">
        <f>EXP(-LN(2)/25)*AV63+(1-EXP(-LN(2)/25))/(LN(2)/25)*Calculateur!AQ64*Calculateur!AS64*VLOOKUP('Données projet'!$B$10,Paramètres!$A$1:$I$89,3,0)*0.475*44/12</f>
        <v>2.812561369283876</v>
      </c>
      <c r="AW64" s="21">
        <f>EXP(-LN(2)/2)*AW63+(1-EXP(-LN(2)/2))/(LN(2)/2)*AQ64*AT64*VLOOKUP('Données projet'!$B$10,Paramètres!$A$1:$I$89,3,0)*0.475*44/12</f>
        <v>1.7096830133286919E-4</v>
      </c>
      <c r="AX64" s="21">
        <f t="shared" si="6"/>
        <v>6.8604131627511862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283.99999999999989</v>
      </c>
      <c r="BE64" s="13">
        <f>BD64*VLOOKUP('Données projet'!$B$11,Paramètres!$A$1:$I$89,3,0)*VLOOKUP('Données projet'!$B$11,Paramètres!$A$1:$I$89,5,0)</f>
        <v>132.91199999999995</v>
      </c>
      <c r="BF64" s="13">
        <f t="shared" si="37"/>
        <v>34.668367043546574</v>
      </c>
      <c r="BG64" s="20">
        <f t="shared" si="7"/>
        <v>291.86913926751021</v>
      </c>
      <c r="BH64" s="59">
        <f t="shared" si="8"/>
        <v>553.68132071263949</v>
      </c>
      <c r="BI64" s="59">
        <f ca="1">AVERAGE(OFFSET($BH$3,0,0,'Données projet'!$E$11+1,1))-AVERAGE(OFFSET($H$3,0,0,'Données projet'!$E$11+1,1))</f>
        <v>349.17860987804869</v>
      </c>
      <c r="BJ64" s="59">
        <f t="shared" si="38"/>
        <v>273.69433466447049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4.9121986012301351</v>
      </c>
      <c r="BQ64" s="21">
        <f>EXP(-LN(2)/25)*BQ63+(1-EXP(-LN(2)/25))/(LN(2)/25)*Calculateur!BL64*Calculateur!BN64*VLOOKUP('Données projet'!$B$11,Paramètres!$A$1:$I$89,3,0)*0.475*44/12</f>
        <v>4.7211640600678431</v>
      </c>
      <c r="BR64" s="21">
        <f>EXP(-LN(2)/2)*BR63+(1-EXP(-LN(2)/2))/(LN(2)/2)*BL64*BO64*VLOOKUP('Données projet'!$B$11,Paramètres!$A$1:$I$89,3,0)*0.475*44/12</f>
        <v>2.3830173185436439E-4</v>
      </c>
      <c r="BS64" s="22">
        <f t="shared" si="9"/>
        <v>9.6336009630298332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2.0572770154103635E-13</v>
      </c>
      <c r="P65" s="13">
        <f t="shared" si="33"/>
        <v>2.8416956338469711E-12</v>
      </c>
      <c r="Q65" s="20">
        <f t="shared" si="53"/>
        <v>5.3075956424674458E-12</v>
      </c>
      <c r="R65" s="59">
        <f t="shared" si="0"/>
        <v>262.35900295965661</v>
      </c>
      <c r="S65" s="59">
        <f ca="1">AVERAGE(OFFSET($R$3,0,0,'Données projet'!$E$9+1,1))-AVERAGE(OFFSET($H$3,0,0,'Données projet'!$E$9+1,1))</f>
        <v>446.05900197653546</v>
      </c>
      <c r="T65" s="59">
        <f t="shared" si="34"/>
        <v>630.54710489646106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1.7478496180720107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7.2028893325931114E-5</v>
      </c>
      <c r="AC65" s="22">
        <f t="shared" si="3"/>
        <v>1.7479216469653367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428.49999999999994</v>
      </c>
      <c r="AJ65" s="13">
        <f>AI65*VLOOKUP('Données projet'!$B$10,Paramètres!$A$1:$I$89,3,0)*VLOOKUP('Données projet'!$B$10,Paramètres!$A$1:$I$89,5,0)</f>
        <v>256.24299999999999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816.49439286282984</v>
      </c>
      <c r="AN65" s="59">
        <f ca="1">AVERAGE(OFFSET($AM$3,0,0,'Données projet'!$E$10+1,1))-AVERAGE(OFFSET($H$3,0,0,'Données projet'!$E$10+1,1))</f>
        <v>394.69391436029986</v>
      </c>
      <c r="AO65" s="59">
        <f t="shared" si="36"/>
        <v>311.37245656657353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3.9683082730259978</v>
      </c>
      <c r="AV65" s="21">
        <f>EXP(-LN(2)/25)*AV64+(1-EXP(-LN(2)/25))/(LN(2)/25)*Calculateur!AQ65*Calculateur!AS65*VLOOKUP('Données projet'!$B$10,Paramètres!$A$1:$I$89,3,0)*0.475*44/12</f>
        <v>2.7356517307346344</v>
      </c>
      <c r="AW65" s="21">
        <f>EXP(-LN(2)/2)*AW64+(1-EXP(-LN(2)/2))/(LN(2)/2)*AQ65*AT65*VLOOKUP('Données projet'!$B$10,Paramètres!$A$1:$I$89,3,0)*0.475*44/12</f>
        <v>1.2089284524041686E-4</v>
      </c>
      <c r="AX65" s="21">
        <f t="shared" si="6"/>
        <v>6.7040808966058725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299.49999999999989</v>
      </c>
      <c r="BE65" s="13">
        <f>BD65*VLOOKUP('Données projet'!$B$11,Paramètres!$A$1:$I$89,3,0)*VLOOKUP('Données projet'!$B$11,Paramètres!$A$1:$I$89,5,0)</f>
        <v>140.16599999999994</v>
      </c>
      <c r="BF65" s="13">
        <f t="shared" si="37"/>
        <v>36.33503114084008</v>
      </c>
      <c r="BG65" s="20">
        <f t="shared" si="7"/>
        <v>307.40596257029637</v>
      </c>
      <c r="BH65" s="59">
        <f t="shared" si="8"/>
        <v>569.76496552994763</v>
      </c>
      <c r="BI65" s="59">
        <f ca="1">AVERAGE(OFFSET($BH$3,0,0,'Données projet'!$E$11+1,1))-AVERAGE(OFFSET($H$3,0,0,'Données projet'!$E$11+1,1))</f>
        <v>349.17860987804869</v>
      </c>
      <c r="BJ65" s="59">
        <f t="shared" si="38"/>
        <v>273.69433466447049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4.8158733828053144</v>
      </c>
      <c r="BQ65" s="21">
        <f>EXP(-LN(2)/25)*BQ64+(1-EXP(-LN(2)/25))/(LN(2)/25)*Calculateur!BL65*Calculateur!BN65*VLOOKUP('Données projet'!$B$11,Paramètres!$A$1:$I$89,3,0)*0.475*44/12</f>
        <v>4.59206358057006</v>
      </c>
      <c r="BR65" s="21">
        <f>EXP(-LN(2)/2)*BR64+(1-EXP(-LN(2)/2))/(LN(2)/2)*BL65*BO65*VLOOKUP('Données projet'!$B$11,Paramètres!$A$1:$I$89,3,0)*0.475*44/12</f>
        <v>1.6850477056271938E-4</v>
      </c>
      <c r="BS65" s="22">
        <f t="shared" si="9"/>
        <v>9.4081054681459371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2.0572770154103635E-13</v>
      </c>
      <c r="P66" s="13">
        <f t="shared" si="33"/>
        <v>2.8416956338469711E-12</v>
      </c>
      <c r="Q66" s="20">
        <f t="shared" si="53"/>
        <v>5.3075956424674458E-12</v>
      </c>
      <c r="R66" s="59">
        <f t="shared" si="0"/>
        <v>262.8963383434114</v>
      </c>
      <c r="S66" s="59">
        <f ca="1">AVERAGE(OFFSET($R$3,0,0,'Données projet'!$E$9+1,1))-AVERAGE(OFFSET($H$3,0,0,'Données projet'!$E$9+1,1))</f>
        <v>446.05900197653546</v>
      </c>
      <c r="T66" s="59">
        <f t="shared" si="34"/>
        <v>630.54710489646106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1.7135753531446185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5.0932118912128346E-5</v>
      </c>
      <c r="AC66" s="22">
        <f t="shared" si="3"/>
        <v>1.7136262852635307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445.12499999999994</v>
      </c>
      <c r="AJ66" s="13">
        <f>AI66*VLOOKUP('Données projet'!$B$10,Paramètres!$A$1:$I$89,3,0)*VLOOKUP('Données projet'!$B$10,Paramètres!$A$1:$I$89,5,0)</f>
        <v>266.18475000000001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838.03587520780604</v>
      </c>
      <c r="AN66" s="59">
        <f ca="1">AVERAGE(OFFSET($AM$3,0,0,'Données projet'!$E$10+1,1))-AVERAGE(OFFSET($H$3,0,0,'Données projet'!$E$10+1,1))</f>
        <v>394.69391436029986</v>
      </c>
      <c r="AO66" s="59">
        <f t="shared" si="36"/>
        <v>311.37245656657353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3.890492168221007</v>
      </c>
      <c r="AV66" s="21">
        <f>EXP(-LN(2)/25)*AV65+(1-EXP(-LN(2)/25))/(LN(2)/25)*Calculateur!AQ66*Calculateur!AS66*VLOOKUP('Données projet'!$B$10,Paramètres!$A$1:$I$89,3,0)*0.475*44/12</f>
        <v>2.6608451902960235</v>
      </c>
      <c r="AW66" s="21">
        <f>EXP(-LN(2)/2)*AW65+(1-EXP(-LN(2)/2))/(LN(2)/2)*AQ66*AT66*VLOOKUP('Données projet'!$B$10,Paramètres!$A$1:$I$89,3,0)*0.475*44/12</f>
        <v>8.5484150666434607E-5</v>
      </c>
      <c r="AX66" s="21">
        <f t="shared" si="6"/>
        <v>6.551422842667697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314.99999999999989</v>
      </c>
      <c r="BE66" s="13">
        <f>BD66*VLOOKUP('Données projet'!$B$11,Paramètres!$A$1:$I$89,3,0)*VLOOKUP('Données projet'!$B$11,Paramètres!$A$1:$I$89,5,0)</f>
        <v>147.41999999999993</v>
      </c>
      <c r="BF66" s="13">
        <f t="shared" si="37"/>
        <v>37.991680647570291</v>
      </c>
      <c r="BG66" s="20">
        <f t="shared" si="7"/>
        <v>322.92534379451814</v>
      </c>
      <c r="BH66" s="59">
        <f t="shared" si="8"/>
        <v>585.8216821379242</v>
      </c>
      <c r="BI66" s="59">
        <f ca="1">AVERAGE(OFFSET($BH$3,0,0,'Données projet'!$E$11+1,1))-AVERAGE(OFFSET($H$3,0,0,'Données projet'!$E$11+1,1))</f>
        <v>349.17860987804869</v>
      </c>
      <c r="BJ66" s="59">
        <f t="shared" si="38"/>
        <v>273.69433466447049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4.721437043161222</v>
      </c>
      <c r="BQ66" s="21">
        <f>EXP(-LN(2)/25)*BQ65+(1-EXP(-LN(2)/25))/(LN(2)/25)*Calculateur!BL66*Calculateur!BN66*VLOOKUP('Données projet'!$B$11,Paramètres!$A$1:$I$89,3,0)*0.475*44/12</f>
        <v>4.4664933604732431</v>
      </c>
      <c r="BR66" s="21">
        <f>EXP(-LN(2)/2)*BR65+(1-EXP(-LN(2)/2))/(LN(2)/2)*BL66*BO66*VLOOKUP('Données projet'!$B$11,Paramètres!$A$1:$I$89,3,0)*0.475*44/12</f>
        <v>1.1915086592718222E-4</v>
      </c>
      <c r="BS66" s="22">
        <f t="shared" si="9"/>
        <v>9.1880495545003917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2.0572770154103635E-13</v>
      </c>
      <c r="P67" s="13">
        <f t="shared" si="33"/>
        <v>2.8416956338469711E-12</v>
      </c>
      <c r="Q67" s="20">
        <f t="shared" ref="Q67:Q98" si="54">(O67+P67)*0.475*44/12</f>
        <v>5.3075956424674458E-12</v>
      </c>
      <c r="R67" s="59">
        <f t="shared" ref="R67:R130" si="55">Q67+(I67+J67)*44/12</f>
        <v>263.42435215956004</v>
      </c>
      <c r="S67" s="59">
        <f ca="1">AVERAGE(OFFSET($R$3,0,0,'Données projet'!$E$9+1,1))-AVERAGE(OFFSET($H$3,0,0,'Données projet'!$E$9+1,1))</f>
        <v>446.05900197653546</v>
      </c>
      <c r="T67" s="59">
        <f t="shared" si="34"/>
        <v>630.54710489646106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1.6799731856472153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3.6014446662965557E-5</v>
      </c>
      <c r="AC67" s="22">
        <f t="shared" si="3"/>
        <v>1.6800092000938782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461.74999999999994</v>
      </c>
      <c r="AJ67" s="13">
        <f>AI67*VLOOKUP('Données projet'!$B$10,Paramètres!$A$1:$I$89,3,0)*VLOOKUP('Données projet'!$B$10,Paramètres!$A$1:$I$89,5,0)</f>
        <v>276.12649999999996</v>
      </c>
      <c r="AK67" s="13">
        <f t="shared" si="35"/>
        <v>66.147764494536574</v>
      </c>
      <c r="AL67" s="20">
        <f t="shared" si="4"/>
        <v>596.12767732798443</v>
      </c>
      <c r="AM67" s="59">
        <f t="shared" si="5"/>
        <v>859.55202948753913</v>
      </c>
      <c r="AN67" s="59">
        <f ca="1">AVERAGE(OFFSET($AM$3,0,0,'Données projet'!$E$10+1,1))-AVERAGE(OFFSET($H$3,0,0,'Données projet'!$E$10+1,1))</f>
        <v>394.69391436029986</v>
      </c>
      <c r="AO67" s="59">
        <f t="shared" si="36"/>
        <v>311.37245656657353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3.8142019897681045</v>
      </c>
      <c r="AV67" s="21">
        <f>EXP(-LN(2)/25)*AV66+(1-EXP(-LN(2)/25))/(LN(2)/25)*Calculateur!AQ67*Calculateur!AS67*VLOOKUP('Données projet'!$B$10,Paramètres!$A$1:$I$89,3,0)*0.475*44/12</f>
        <v>2.5880842386396115</v>
      </c>
      <c r="AW67" s="21">
        <f>EXP(-LN(2)/2)*AW66+(1-EXP(-LN(2)/2))/(LN(2)/2)*AQ67*AT67*VLOOKUP('Données projet'!$B$10,Paramètres!$A$1:$I$89,3,0)*0.475*44/12</f>
        <v>6.0446422620208439E-5</v>
      </c>
      <c r="AX67" s="21">
        <f t="shared" si="6"/>
        <v>6.4023466748303361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330.49999999999989</v>
      </c>
      <c r="BE67" s="13">
        <f>BD67*VLOOKUP('Données projet'!$B$11,Paramètres!$A$1:$I$89,3,0)*VLOOKUP('Données projet'!$B$11,Paramètres!$A$1:$I$89,5,0)</f>
        <v>154.67399999999995</v>
      </c>
      <c r="BF67" s="13">
        <f t="shared" si="37"/>
        <v>39.63886458604275</v>
      </c>
      <c r="BG67" s="20">
        <f t="shared" si="7"/>
        <v>338.42823915402437</v>
      </c>
      <c r="BH67" s="59">
        <f t="shared" si="8"/>
        <v>601.85259131357907</v>
      </c>
      <c r="BI67" s="59">
        <f ca="1">AVERAGE(OFFSET($BH$3,0,0,'Données projet'!$E$11+1,1))-AVERAGE(OFFSET($H$3,0,0,'Données projet'!$E$11+1,1))</f>
        <v>349.17860987804869</v>
      </c>
      <c r="BJ67" s="59">
        <f t="shared" si="38"/>
        <v>273.69433466447049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4.6288525425370706</v>
      </c>
      <c r="BQ67" s="21">
        <f>EXP(-LN(2)/25)*BQ66+(1-EXP(-LN(2)/25))/(LN(2)/25)*Calculateur!BL67*Calculateur!BN67*VLOOKUP('Données projet'!$B$11,Paramètres!$A$1:$I$89,3,0)*0.475*44/12</f>
        <v>4.3443568646484243</v>
      </c>
      <c r="BR67" s="21">
        <f>EXP(-LN(2)/2)*BR66+(1-EXP(-LN(2)/2))/(LN(2)/2)*BL67*BO67*VLOOKUP('Données projet'!$B$11,Paramètres!$A$1:$I$89,3,0)*0.475*44/12</f>
        <v>8.4252385281359705E-5</v>
      </c>
      <c r="BS67" s="22">
        <f t="shared" si="9"/>
        <v>8.9732936595707766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2.0572770154103635E-13</v>
      </c>
      <c r="P68" s="13">
        <f t="shared" si="33"/>
        <v>2.8416956338469711E-12</v>
      </c>
      <c r="Q68" s="20">
        <f t="shared" si="54"/>
        <v>5.3075956424674458E-12</v>
      </c>
      <c r="R68" s="59">
        <f t="shared" si="55"/>
        <v>263.94320611646049</v>
      </c>
      <c r="S68" s="59">
        <f ca="1">AVERAGE(OFFSET($R$3,0,0,'Données projet'!$E$9+1,1))-AVERAGE(OFFSET($H$3,0,0,'Données projet'!$E$9+1,1))</f>
        <v>446.05900197653546</v>
      </c>
      <c r="T68" s="59">
        <f t="shared" si="34"/>
        <v>630.54710489646106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1.6470299361591376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2.5466059456064173E-5</v>
      </c>
      <c r="AC68" s="22">
        <f t="shared" ref="AC68:AC131" si="57">SUM(Z68:AB68)</f>
        <v>1.6470554022185937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478.37499999999994</v>
      </c>
      <c r="AJ68" s="13">
        <f>AI68*VLOOKUP('Données projet'!$B$10,Paramètres!$A$1:$I$89,3,0)*VLOOKUP('Données projet'!$B$10,Paramètres!$A$1:$I$89,5,0)</f>
        <v>286.06824999999998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881.04365973127187</v>
      </c>
      <c r="AN68" s="59">
        <f ca="1">AVERAGE(OFFSET($AM$3,0,0,'Données projet'!$E$10+1,1))-AVERAGE(OFFSET($H$3,0,0,'Données projet'!$E$10+1,1))</f>
        <v>394.69391436029986</v>
      </c>
      <c r="AO68" s="59">
        <f t="shared" si="36"/>
        <v>311.37245656657353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3.7394078151822496</v>
      </c>
      <c r="AV68" s="21">
        <f>EXP(-LN(2)/25)*AV67+(1-EXP(-LN(2)/25))/(LN(2)/25)*Calculateur!AQ68*Calculateur!AS68*VLOOKUP('Données projet'!$B$10,Paramètres!$A$1:$I$89,3,0)*0.475*44/12</f>
        <v>2.5173129390325761</v>
      </c>
      <c r="AW68" s="21">
        <f>EXP(-LN(2)/2)*AW67+(1-EXP(-LN(2)/2))/(LN(2)/2)*AQ68*AT68*VLOOKUP('Données projet'!$B$10,Paramètres!$A$1:$I$89,3,0)*0.475*44/12</f>
        <v>4.274207533321731E-5</v>
      </c>
      <c r="AX68" s="21">
        <f t="shared" ref="AX68:AX131" si="60">SUM(AU68:AW68)</f>
        <v>6.2567634962901586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345.99999999999989</v>
      </c>
      <c r="BE68" s="13">
        <f>BD68*VLOOKUP('Données projet'!$B$11,Paramètres!$A$1:$I$89,3,0)*VLOOKUP('Données projet'!$B$11,Paramètres!$A$1:$I$89,5,0)</f>
        <v>161.92799999999994</v>
      </c>
      <c r="BF68" s="13">
        <f t="shared" si="37"/>
        <v>41.277077571585316</v>
      </c>
      <c r="BG68" s="20">
        <f t="shared" ref="BG68:BG131" si="61">(BE68+BF68)*0.475*44/12</f>
        <v>353.91551010384433</v>
      </c>
      <c r="BH68" s="59">
        <f t="shared" ref="BH68:BH131" si="62">BG68+(AY68+AZ68)*44/12</f>
        <v>617.85871622029958</v>
      </c>
      <c r="BI68" s="59">
        <f ca="1">AVERAGE(OFFSET($BH$3,0,0,'Données projet'!$E$11+1,1))-AVERAGE(OFFSET($H$3,0,0,'Données projet'!$E$11+1,1))</f>
        <v>349.17860987804869</v>
      </c>
      <c r="BJ68" s="59">
        <f t="shared" si="38"/>
        <v>273.69433466447049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4.5380835674991902</v>
      </c>
      <c r="BQ68" s="21">
        <f>EXP(-LN(2)/25)*BQ67+(1-EXP(-LN(2)/25))/(LN(2)/25)*Calculateur!BL68*Calculateur!BN68*VLOOKUP('Données projet'!$B$11,Paramètres!$A$1:$I$89,3,0)*0.475*44/12</f>
        <v>4.2255601977248149</v>
      </c>
      <c r="BR68" s="21">
        <f>EXP(-LN(2)/2)*BR67+(1-EXP(-LN(2)/2))/(LN(2)/2)*BL68*BO68*VLOOKUP('Données projet'!$B$11,Paramètres!$A$1:$I$89,3,0)*0.475*44/12</f>
        <v>5.9575432963591118E-5</v>
      </c>
      <c r="BS68" s="22">
        <f t="shared" ref="BS68:BS131" si="63">SUM(BP68:BR68)</f>
        <v>8.7637033406569689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2.0572770154103635E-13</v>
      </c>
      <c r="P69" s="13">
        <f t="shared" ref="P69:P132" si="87">EXP(-1.0587+0.8836*LN(O69)+0.284)</f>
        <v>2.8416956338469711E-12</v>
      </c>
      <c r="Q69" s="20">
        <f t="shared" si="54"/>
        <v>5.3075956424674458E-12</v>
      </c>
      <c r="R69" s="59">
        <f t="shared" si="55"/>
        <v>264.45305911719237</v>
      </c>
      <c r="S69" s="59">
        <f ca="1">AVERAGE(OFFSET($R$3,0,0,'Données projet'!$E$9+1,1))-AVERAGE(OFFSET($H$3,0,0,'Données projet'!$E$9+1,1))</f>
        <v>446.05900197653546</v>
      </c>
      <c r="T69" s="59">
        <f t="shared" ref="T69:T132" si="88">$T$3</f>
        <v>630.54710489646106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1.614732683700123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1.8007223331482778E-5</v>
      </c>
      <c r="AC69" s="22">
        <f t="shared" si="57"/>
        <v>1.6147506909234546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494.99999999999994</v>
      </c>
      <c r="AJ69" s="13">
        <f>AI69*VLOOKUP('Données projet'!$B$10,Paramètres!$A$1:$I$89,3,0)*VLOOKUP('Données projet'!$B$10,Paramètres!$A$1:$I$89,5,0)</f>
        <v>296.01</v>
      </c>
      <c r="AK69" s="13">
        <f t="shared" ref="AK69:AK132" si="89">EXP(-1.0587+0.8836*LN(AJ69)+0.284)</f>
        <v>70.339355522692159</v>
      </c>
      <c r="AL69" s="20">
        <f t="shared" si="58"/>
        <v>638.05846086868871</v>
      </c>
      <c r="AM69" s="59">
        <f t="shared" si="59"/>
        <v>902.51151998587579</v>
      </c>
      <c r="AN69" s="59">
        <f ca="1">AVERAGE(OFFSET($AM$3,0,0,'Données projet'!$E$10+1,1))-AVERAGE(OFFSET($H$3,0,0,'Données projet'!$E$10+1,1))</f>
        <v>394.69391436029986</v>
      </c>
      <c r="AO69" s="59">
        <f t="shared" ref="AO69:AO132" si="90">$AO$3</f>
        <v>311.37245656657353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3.6660803087400815</v>
      </c>
      <c r="AV69" s="21">
        <f>EXP(-LN(2)/25)*AV68+(1-EXP(-LN(2)/25))/(LN(2)/25)*Calculateur!AQ69*Calculateur!AS69*VLOOKUP('Données projet'!$B$10,Paramètres!$A$1:$I$89,3,0)*0.475*44/12</f>
        <v>2.4484768843349962</v>
      </c>
      <c r="AW69" s="21">
        <f>EXP(-LN(2)/2)*AW68+(1-EXP(-LN(2)/2))/(LN(2)/2)*AQ69*AT69*VLOOKUP('Données projet'!$B$10,Paramètres!$A$1:$I$89,3,0)*0.475*44/12</f>
        <v>3.0223211310104226E-5</v>
      </c>
      <c r="AX69" s="21">
        <f t="shared" si="60"/>
        <v>6.1145874162863878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361.49999999999989</v>
      </c>
      <c r="BE69" s="13">
        <f>BD69*VLOOKUP('Données projet'!$B$11,Paramètres!$A$1:$I$89,3,0)*VLOOKUP('Données projet'!$B$11,Paramètres!$A$1:$I$89,5,0)</f>
        <v>169.18199999999996</v>
      </c>
      <c r="BF69" s="13">
        <f t="shared" ref="BF69:BF132" si="91">EXP(-1.0587+0.8836*LN(BE69)+0.284)</f>
        <v>42.906767398977124</v>
      </c>
      <c r="BG69" s="20">
        <f t="shared" si="61"/>
        <v>369.38793655321842</v>
      </c>
      <c r="BH69" s="59">
        <f t="shared" si="62"/>
        <v>633.8409956704055</v>
      </c>
      <c r="BI69" s="59">
        <f ca="1">AVERAGE(OFFSET($BH$3,0,0,'Données projet'!$E$11+1,1))-AVERAGE(OFFSET($H$3,0,0,'Données projet'!$E$11+1,1))</f>
        <v>349.17860987804869</v>
      </c>
      <c r="BJ69" s="59">
        <f t="shared" ref="BJ69:BJ132" si="92">$BJ$3</f>
        <v>273.69433466447049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4.4490945166981941</v>
      </c>
      <c r="BQ69" s="21">
        <f>EXP(-LN(2)/25)*BQ68+(1-EXP(-LN(2)/25))/(LN(2)/25)*Calculateur!BL69*Calculateur!BN69*VLOOKUP('Données projet'!$B$11,Paramètres!$A$1:$I$89,3,0)*0.475*44/12</f>
        <v>4.1100120319054767</v>
      </c>
      <c r="BR69" s="21">
        <f>EXP(-LN(2)/2)*BR68+(1-EXP(-LN(2)/2))/(LN(2)/2)*BL69*BO69*VLOOKUP('Données projet'!$B$11,Paramètres!$A$1:$I$89,3,0)*0.475*44/12</f>
        <v>4.212619264067986E-5</v>
      </c>
      <c r="BS69" s="22">
        <f t="shared" si="63"/>
        <v>8.5591486747963117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2.0572770154103635E-13</v>
      </c>
      <c r="P70" s="13">
        <f t="shared" si="87"/>
        <v>2.8416956338469711E-12</v>
      </c>
      <c r="Q70" s="20">
        <f t="shared" si="54"/>
        <v>5.3075956424674458E-12</v>
      </c>
      <c r="R70" s="59">
        <f t="shared" si="55"/>
        <v>264.95406730822219</v>
      </c>
      <c r="S70" s="59">
        <f ca="1">AVERAGE(OFFSET($R$3,0,0,'Données projet'!$E$9+1,1))-AVERAGE(OFFSET($H$3,0,0,'Données projet'!$E$9+1,1))</f>
        <v>446.05900197653546</v>
      </c>
      <c r="T70" s="59">
        <f t="shared" si="88"/>
        <v>630.54710489646106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1.5830687606624509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1.2733029728032087E-5</v>
      </c>
      <c r="AC70" s="22">
        <f t="shared" si="57"/>
        <v>1.5830814936921789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442.87499999999994</v>
      </c>
      <c r="AJ70" s="13">
        <f>AI70*VLOOKUP('Données projet'!$B$10,Paramètres!$A$1:$I$89,3,0)*VLOOKUP('Données projet'!$B$10,Paramètres!$A$1:$I$89,5,0)</f>
        <v>264.83924999999999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837.25188904292122</v>
      </c>
      <c r="AN70" s="59">
        <f ca="1">AVERAGE(OFFSET($AM$3,0,0,'Données projet'!$E$10+1,1))-AVERAGE(OFFSET($H$3,0,0,'Données projet'!$E$10+1,1))</f>
        <v>394.69391436029986</v>
      </c>
      <c r="AO70" s="59">
        <f t="shared" si="90"/>
        <v>311.37245656657353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3.5941907099738817</v>
      </c>
      <c r="AV70" s="21">
        <f>EXP(-LN(2)/25)*AV69+(1-EXP(-LN(2)/25))/(LN(2)/25)*Calculateur!AQ70*Calculateur!AS70*VLOOKUP('Données projet'!$B$10,Paramètres!$A$1:$I$89,3,0)*0.475*44/12</f>
        <v>2.3815231551730527</v>
      </c>
      <c r="AW70" s="21">
        <f>EXP(-LN(2)/2)*AW69+(1-EXP(-LN(2)/2))/(LN(2)/2)*AQ70*AT70*VLOOKUP('Données projet'!$B$10,Paramètres!$A$1:$I$89,3,0)*0.475*44/12</f>
        <v>2.1371037666608658E-5</v>
      </c>
      <c r="AX70" s="21">
        <f t="shared" si="60"/>
        <v>5.975735236184601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376.99999999999989</v>
      </c>
      <c r="BE70" s="13">
        <f>BD70*VLOOKUP('Données projet'!$B$11,Paramètres!$A$1:$I$89,3,0)*VLOOKUP('Données projet'!$B$11,Paramètres!$A$1:$I$89,5,0)</f>
        <v>176.43599999999992</v>
      </c>
      <c r="BF70" s="13">
        <f t="shared" si="91"/>
        <v>44.52834129105058</v>
      </c>
      <c r="BG70" s="20">
        <f t="shared" si="61"/>
        <v>384.84622774857962</v>
      </c>
      <c r="BH70" s="59">
        <f t="shared" si="62"/>
        <v>649.80029505679659</v>
      </c>
      <c r="BI70" s="59">
        <f ca="1">AVERAGE(OFFSET($BH$3,0,0,'Données projet'!$E$11+1,1))-AVERAGE(OFFSET($H$3,0,0,'Données projet'!$E$11+1,1))</f>
        <v>349.17860987804869</v>
      </c>
      <c r="BJ70" s="59">
        <f t="shared" si="92"/>
        <v>273.69433466447049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4.3618504869054444</v>
      </c>
      <c r="BQ70" s="21">
        <f>EXP(-LN(2)/25)*BQ69+(1-EXP(-LN(2)/25))/(LN(2)/25)*Calculateur!BL70*Calculateur!BN70*VLOOKUP('Données projet'!$B$11,Paramètres!$A$1:$I$89,3,0)*0.475*44/12</f>
        <v>3.9976235367568824</v>
      </c>
      <c r="BR70" s="21">
        <f>EXP(-LN(2)/2)*BR69+(1-EXP(-LN(2)/2))/(LN(2)/2)*BL70*BO70*VLOOKUP('Données projet'!$B$11,Paramètres!$A$1:$I$89,3,0)*0.475*44/12</f>
        <v>2.9787716481795566E-5</v>
      </c>
      <c r="BS70" s="22">
        <f t="shared" si="63"/>
        <v>8.3595038113788078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2.0572770154103635E-13</v>
      </c>
      <c r="P71" s="13">
        <f t="shared" si="87"/>
        <v>2.8416956338469711E-12</v>
      </c>
      <c r="Q71" s="20">
        <f t="shared" si="54"/>
        <v>5.3075956424674458E-12</v>
      </c>
      <c r="R71" s="59">
        <f t="shared" si="55"/>
        <v>265.44638412722412</v>
      </c>
      <c r="S71" s="59">
        <f ca="1">AVERAGE(OFFSET($R$3,0,0,'Données projet'!$E$9+1,1))-AVERAGE(OFFSET($H$3,0,0,'Données projet'!$E$9+1,1))</f>
        <v>446.05900197653546</v>
      </c>
      <c r="T71" s="59">
        <f t="shared" si="88"/>
        <v>630.54710489646106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1.5520257478424615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9.0036116657413892E-6</v>
      </c>
      <c r="AC71" s="22">
        <f t="shared" si="57"/>
        <v>1.5520347514541273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455.74999999999994</v>
      </c>
      <c r="AJ71" s="13">
        <f>AI71*VLOOKUP('Données projet'!$B$10,Paramètres!$A$1:$I$89,3,0)*VLOOKUP('Données projet'!$B$10,Paramètres!$A$1:$I$89,5,0)</f>
        <v>272.5385</v>
      </c>
      <c r="AK71" s="13">
        <f t="shared" si="89"/>
        <v>65.387709293034902</v>
      </c>
      <c r="AL71" s="20">
        <f t="shared" si="58"/>
        <v>588.55481451870241</v>
      </c>
      <c r="AM71" s="59">
        <f t="shared" si="59"/>
        <v>854.00119864592125</v>
      </c>
      <c r="AN71" s="59">
        <f ca="1">AVERAGE(OFFSET($AM$3,0,0,'Données projet'!$E$10+1,1))-AVERAGE(OFFSET($H$3,0,0,'Données projet'!$E$10+1,1))</f>
        <v>394.69391436029986</v>
      </c>
      <c r="AO71" s="59">
        <f t="shared" si="90"/>
        <v>311.37245656657353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3.5237108223911613</v>
      </c>
      <c r="AV71" s="21">
        <f>EXP(-LN(2)/25)*AV70+(1-EXP(-LN(2)/25))/(LN(2)/25)*Calculateur!AQ71*Calculateur!AS71*VLOOKUP('Données projet'!$B$10,Paramètres!$A$1:$I$89,3,0)*0.475*44/12</f>
        <v>2.3164002792559857</v>
      </c>
      <c r="AW71" s="21">
        <f>EXP(-LN(2)/2)*AW70+(1-EXP(-LN(2)/2))/(LN(2)/2)*AQ71*AT71*VLOOKUP('Données projet'!$B$10,Paramètres!$A$1:$I$89,3,0)*0.475*44/12</f>
        <v>1.5111605655052115E-5</v>
      </c>
      <c r="AX71" s="21">
        <f t="shared" si="60"/>
        <v>5.8401262132528018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392.49999999999989</v>
      </c>
      <c r="BE71" s="13">
        <f>BD71*VLOOKUP('Données projet'!$B$11,Paramètres!$A$1:$I$89,3,0)*VLOOKUP('Données projet'!$B$11,Paramètres!$A$1:$I$89,5,0)</f>
        <v>183.68999999999994</v>
      </c>
      <c r="BF71" s="13">
        <f t="shared" si="91"/>
        <v>46.14217109072662</v>
      </c>
      <c r="BG71" s="20">
        <f t="shared" si="61"/>
        <v>400.29103131634878</v>
      </c>
      <c r="BH71" s="59">
        <f t="shared" si="62"/>
        <v>665.73741544356767</v>
      </c>
      <c r="BI71" s="59">
        <f ca="1">AVERAGE(OFFSET($BH$3,0,0,'Données projet'!$E$11+1,1))-AVERAGE(OFFSET($H$3,0,0,'Données projet'!$E$11+1,1))</f>
        <v>349.17860987804869</v>
      </c>
      <c r="BJ71" s="59">
        <f t="shared" si="92"/>
        <v>273.69433466447049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4.2763172593233261</v>
      </c>
      <c r="BQ71" s="21">
        <f>EXP(-LN(2)/25)*BQ70+(1-EXP(-LN(2)/25))/(LN(2)/25)*Calculateur!BL71*Calculateur!BN71*VLOOKUP('Données projet'!$B$11,Paramètres!$A$1:$I$89,3,0)*0.475*44/12</f>
        <v>3.8883083109183803</v>
      </c>
      <c r="BR71" s="21">
        <f>EXP(-LN(2)/2)*BR70+(1-EXP(-LN(2)/2))/(LN(2)/2)*BL71*BO71*VLOOKUP('Données projet'!$B$11,Paramètres!$A$1:$I$89,3,0)*0.475*44/12</f>
        <v>2.1063096320339933E-5</v>
      </c>
      <c r="BS71" s="22">
        <f t="shared" si="63"/>
        <v>8.1646466333380268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2.0572770154103635E-13</v>
      </c>
      <c r="P72" s="13">
        <f t="shared" si="87"/>
        <v>2.8416956338469711E-12</v>
      </c>
      <c r="Q72" s="20">
        <f t="shared" si="54"/>
        <v>5.3075956424674458E-12</v>
      </c>
      <c r="R72" s="59">
        <f t="shared" si="55"/>
        <v>265.93016035007184</v>
      </c>
      <c r="S72" s="59">
        <f ca="1">AVERAGE(OFFSET($R$3,0,0,'Données projet'!$E$9+1,1))-AVERAGE(OFFSET($H$3,0,0,'Données projet'!$E$9+1,1))</f>
        <v>446.05900197653546</v>
      </c>
      <c r="T72" s="59">
        <f t="shared" si="88"/>
        <v>630.54710489646106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1.5215914695695039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6.3665148640160433E-6</v>
      </c>
      <c r="AC72" s="22">
        <f t="shared" si="57"/>
        <v>1.5215978360843678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468.62499999999994</v>
      </c>
      <c r="AJ72" s="13">
        <f>AI72*VLOOKUP('Données projet'!$B$10,Paramètres!$A$1:$I$89,3,0)*VLOOKUP('Données projet'!$B$10,Paramètres!$A$1:$I$89,5,0)</f>
        <v>280.23775000000001</v>
      </c>
      <c r="AK72" s="13">
        <f t="shared" si="89"/>
        <v>67.017249808465152</v>
      </c>
      <c r="AL72" s="20">
        <f t="shared" si="58"/>
        <v>604.80245799974352</v>
      </c>
      <c r="AM72" s="59">
        <f t="shared" si="59"/>
        <v>870.73261834981008</v>
      </c>
      <c r="AN72" s="59">
        <f ca="1">AVERAGE(OFFSET($AM$3,0,0,'Données projet'!$E$10+1,1))-AVERAGE(OFFSET($H$3,0,0,'Données projet'!$E$10+1,1))</f>
        <v>394.69391436029986</v>
      </c>
      <c r="AO72" s="59">
        <f t="shared" si="90"/>
        <v>311.37245656657353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3.4546130024154516</v>
      </c>
      <c r="AV72" s="21">
        <f>EXP(-LN(2)/25)*AV71+(1-EXP(-LN(2)/25))/(LN(2)/25)*Calculateur!AQ72*Calculateur!AS72*VLOOKUP('Données projet'!$B$10,Paramètres!$A$1:$I$89,3,0)*0.475*44/12</f>
        <v>2.2530581918055343</v>
      </c>
      <c r="AW72" s="21">
        <f>EXP(-LN(2)/2)*AW71+(1-EXP(-LN(2)/2))/(LN(2)/2)*AQ72*AT72*VLOOKUP('Données projet'!$B$10,Paramètres!$A$1:$I$89,3,0)*0.475*44/12</f>
        <v>1.0685518833304331E-5</v>
      </c>
      <c r="AX72" s="21">
        <f t="shared" si="60"/>
        <v>5.7076818797398188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407.99999999999989</v>
      </c>
      <c r="BE72" s="13">
        <f>BD72*VLOOKUP('Données projet'!$B$11,Paramètres!$A$1:$I$89,3,0)*VLOOKUP('Données projet'!$B$11,Paramètres!$A$1:$I$89,5,0)</f>
        <v>190.94399999999996</v>
      </c>
      <c r="BF72" s="13">
        <f t="shared" si="91"/>
        <v>47.748597609826554</v>
      </c>
      <c r="BG72" s="20">
        <f t="shared" si="61"/>
        <v>415.72294083711449</v>
      </c>
      <c r="BH72" s="59">
        <f t="shared" si="62"/>
        <v>681.65310118718105</v>
      </c>
      <c r="BI72" s="59">
        <f ca="1">AVERAGE(OFFSET($BH$3,0,0,'Données projet'!$E$11+1,1))-AVERAGE(OFFSET($H$3,0,0,'Données projet'!$E$11+1,1))</f>
        <v>349.17860987804869</v>
      </c>
      <c r="BJ72" s="59">
        <f t="shared" si="92"/>
        <v>273.69433466447049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4.1924612861639758</v>
      </c>
      <c r="BQ72" s="21">
        <f>EXP(-LN(2)/25)*BQ71+(1-EXP(-LN(2)/25))/(LN(2)/25)*Calculateur!BL72*Calculateur!BN72*VLOOKUP('Données projet'!$B$11,Paramètres!$A$1:$I$89,3,0)*0.475*44/12</f>
        <v>3.7819823156790697</v>
      </c>
      <c r="BR72" s="21">
        <f>EXP(-LN(2)/2)*BR71+(1-EXP(-LN(2)/2))/(LN(2)/2)*BL72*BO72*VLOOKUP('Données projet'!$B$11,Paramètres!$A$1:$I$89,3,0)*0.475*44/12</f>
        <v>1.4893858240897785E-5</v>
      </c>
      <c r="BS72" s="22">
        <f t="shared" si="63"/>
        <v>7.9744584957012865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2.0572770154103635E-13</v>
      </c>
      <c r="P73" s="13">
        <f t="shared" si="87"/>
        <v>2.8416956338469711E-12</v>
      </c>
      <c r="Q73" s="20">
        <f t="shared" si="54"/>
        <v>5.3075956424674458E-12</v>
      </c>
      <c r="R73" s="59">
        <f t="shared" si="55"/>
        <v>266.40554413701477</v>
      </c>
      <c r="S73" s="59">
        <f ca="1">AVERAGE(OFFSET($R$3,0,0,'Données projet'!$E$9+1,1))-AVERAGE(OFFSET($H$3,0,0,'Données projet'!$E$9+1,1))</f>
        <v>446.05900197653546</v>
      </c>
      <c r="T73" s="59">
        <f t="shared" si="88"/>
        <v>630.54710489646106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1.4917539889304021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4.5018058328706946E-6</v>
      </c>
      <c r="AC73" s="22">
        <f t="shared" si="57"/>
        <v>1.4917584907362349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481.49999999999994</v>
      </c>
      <c r="AJ73" s="13">
        <f>AI73*VLOOKUP('Données projet'!$B$10,Paramètres!$A$1:$I$89,3,0)*VLOOKUP('Données projet'!$B$10,Paramètres!$A$1:$I$89,5,0)</f>
        <v>287.93700000000001</v>
      </c>
      <c r="AK73" s="13">
        <f t="shared" si="89"/>
        <v>68.641586729718156</v>
      </c>
      <c r="AL73" s="20">
        <f t="shared" si="58"/>
        <v>621.04103855425899</v>
      </c>
      <c r="AM73" s="59">
        <f t="shared" si="59"/>
        <v>887.44658269126853</v>
      </c>
      <c r="AN73" s="59">
        <f ca="1">AVERAGE(OFFSET($AM$3,0,0,'Données projet'!$E$10+1,1))-AVERAGE(OFFSET($H$3,0,0,'Données projet'!$E$10+1,1))</f>
        <v>394.69391436029986</v>
      </c>
      <c r="AO73" s="59">
        <f t="shared" si="90"/>
        <v>311.37245656657353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3.3868701485439567</v>
      </c>
      <c r="AV73" s="21">
        <f>EXP(-LN(2)/25)*AV72+(1-EXP(-LN(2)/25))/(LN(2)/25)*Calculateur!AQ73*Calculateur!AS73*VLOOKUP('Données projet'!$B$10,Paramètres!$A$1:$I$89,3,0)*0.475*44/12</f>
        <v>2.1914481970674311</v>
      </c>
      <c r="AW73" s="21">
        <f>EXP(-LN(2)/2)*AW72+(1-EXP(-LN(2)/2))/(LN(2)/2)*AQ73*AT73*VLOOKUP('Données projet'!$B$10,Paramètres!$A$1:$I$89,3,0)*0.475*44/12</f>
        <v>7.555802827526059E-6</v>
      </c>
      <c r="AX73" s="21">
        <f t="shared" si="60"/>
        <v>5.5783259014142157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423.5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423.49999999999989</v>
      </c>
      <c r="BE73" s="13">
        <f>BD73*VLOOKUP('Données projet'!$B$11,Paramètres!$A$1:$I$89,3,0)*VLOOKUP('Données projet'!$B$11,Paramètres!$A$1:$I$89,5,0)</f>
        <v>198.19799999999995</v>
      </c>
      <c r="BF73" s="13">
        <f t="shared" si="91"/>
        <v>49.347934298451406</v>
      </c>
      <c r="BG73" s="20">
        <f t="shared" si="61"/>
        <v>431.14250223646945</v>
      </c>
      <c r="BH73" s="59">
        <f t="shared" si="62"/>
        <v>697.54804637347888</v>
      </c>
      <c r="BI73" s="59">
        <f ca="1">AVERAGE(OFFSET($BH$3,0,0,'Données projet'!$E$11+1,1))-AVERAGE(OFFSET($H$3,0,0,'Données projet'!$E$11+1,1))</f>
        <v>349.17860987804869</v>
      </c>
      <c r="BJ73" s="59">
        <f t="shared" si="92"/>
        <v>273.69433466447049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87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4.1102496774911872</v>
      </c>
      <c r="BQ73" s="21">
        <f>EXP(-LN(2)/25)*BQ72+(1-EXP(-LN(2)/25))/(LN(2)/25)*Calculateur!BL73*Calculateur!BN73*VLOOKUP('Données projet'!$B$11,Paramètres!$A$1:$I$89,3,0)*0.475*44/12</f>
        <v>3.6785638103710192</v>
      </c>
      <c r="BR73" s="21">
        <f>EXP(-LN(2)/2)*BR72+(1-EXP(-LN(2)/2))/(LN(2)/2)*BL73*BO73*VLOOKUP('Données projet'!$B$11,Paramètres!$A$1:$I$89,3,0)*0.475*44/12</f>
        <v>1.0531548160169968E-5</v>
      </c>
      <c r="BS73" s="22">
        <f t="shared" si="63"/>
        <v>7.7888240194103666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2.0572770154103635E-13</v>
      </c>
      <c r="P74" s="13">
        <f t="shared" si="87"/>
        <v>2.8416956338469711E-12</v>
      </c>
      <c r="Q74" s="20">
        <f t="shared" si="54"/>
        <v>5.3075956424674458E-12</v>
      </c>
      <c r="R74" s="59">
        <f t="shared" si="55"/>
        <v>266.87268107805323</v>
      </c>
      <c r="S74" s="59">
        <f ca="1">AVERAGE(OFFSET($R$3,0,0,'Données projet'!$E$9+1,1))-AVERAGE(OFFSET($H$3,0,0,'Données projet'!$E$9+1,1))</f>
        <v>446.05900197653546</v>
      </c>
      <c r="T74" s="59">
        <f t="shared" si="88"/>
        <v>630.54710489646106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1.462501603087567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3.1832574320080217E-6</v>
      </c>
      <c r="AC74" s="22">
        <f t="shared" si="57"/>
        <v>1.4625047863449991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494.37499999999994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904.14350744971944</v>
      </c>
      <c r="AN74" s="59">
        <f ca="1">AVERAGE(OFFSET($AM$3,0,0,'Données projet'!$E$10+1,1))-AVERAGE(OFFSET($H$3,0,0,'Données projet'!$E$10+1,1))</f>
        <v>394.69391436029986</v>
      </c>
      <c r="AO74" s="59">
        <f t="shared" si="90"/>
        <v>311.37245656657353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3.3204556907178207</v>
      </c>
      <c r="AV74" s="21">
        <f>EXP(-LN(2)/25)*AV73+(1-EXP(-LN(2)/25))/(LN(2)/25)*Calculateur!AQ74*Calculateur!AS74*VLOOKUP('Données projet'!$B$10,Paramètres!$A$1:$I$89,3,0)*0.475*44/12</f>
        <v>2.13152293087537</v>
      </c>
      <c r="AW74" s="21">
        <f>EXP(-LN(2)/2)*AW73+(1-EXP(-LN(2)/2))/(LN(2)/2)*AQ74*AT74*VLOOKUP('Données projet'!$B$10,Paramètres!$A$1:$I$89,3,0)*0.475*44/12</f>
        <v>5.3427594166521663E-6</v>
      </c>
      <c r="AX74" s="21">
        <f t="shared" si="60"/>
        <v>5.4519839643526069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353.49999999999989</v>
      </c>
      <c r="BE74" s="13">
        <f>BD74*VLOOKUP('Données projet'!$B$11,Paramètres!$A$1:$I$89,3,0)*VLOOKUP('Données projet'!$B$11,Paramètres!$A$1:$I$89,5,0)</f>
        <v>165.43799999999993</v>
      </c>
      <c r="BF74" s="13">
        <f t="shared" si="91"/>
        <v>42.066675415215769</v>
      </c>
      <c r="BG74" s="20">
        <f t="shared" si="61"/>
        <v>361.40397634816736</v>
      </c>
      <c r="BH74" s="59">
        <f t="shared" si="62"/>
        <v>628.27665742621525</v>
      </c>
      <c r="BI74" s="59">
        <f ca="1">AVERAGE(OFFSET($BH$3,0,0,'Données projet'!$E$11+1,1))-AVERAGE(OFFSET($H$3,0,0,'Données projet'!$E$11+1,1))</f>
        <v>349.17860987804869</v>
      </c>
      <c r="BJ74" s="59">
        <f t="shared" si="92"/>
        <v>273.69433466447049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4.0296501883203417</v>
      </c>
      <c r="BQ74" s="21">
        <f>EXP(-LN(2)/25)*BQ73+(1-EXP(-LN(2)/25))/(LN(2)/25)*Calculateur!BL74*Calculateur!BN74*VLOOKUP('Données projet'!$B$11,Paramètres!$A$1:$I$89,3,0)*0.475*44/12</f>
        <v>3.5779732895291603</v>
      </c>
      <c r="BR74" s="21">
        <f>EXP(-LN(2)/2)*BR73+(1-EXP(-LN(2)/2))/(LN(2)/2)*BL74*BO74*VLOOKUP('Données projet'!$B$11,Paramètres!$A$1:$I$89,3,0)*0.475*44/12</f>
        <v>7.4469291204488931E-6</v>
      </c>
      <c r="BS74" s="22">
        <f t="shared" si="63"/>
        <v>7.6076309247786229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2.0572770154103635E-13</v>
      </c>
      <c r="P75" s="13">
        <f t="shared" si="87"/>
        <v>2.8416956338469711E-12</v>
      </c>
      <c r="Q75" s="20">
        <f t="shared" si="54"/>
        <v>5.3075956424674458E-12</v>
      </c>
      <c r="R75" s="59">
        <f t="shared" si="55"/>
        <v>267.3317142375264</v>
      </c>
      <c r="S75" s="59">
        <f ca="1">AVERAGE(OFFSET($R$3,0,0,'Données projet'!$E$9+1,1))-AVERAGE(OFFSET($H$3,0,0,'Données projet'!$E$9+1,1))</f>
        <v>446.05900197653546</v>
      </c>
      <c r="T75" s="59">
        <f t="shared" si="88"/>
        <v>630.54710489646106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1.4338228386889162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2.2509029164353473E-6</v>
      </c>
      <c r="AC75" s="22">
        <f t="shared" si="57"/>
        <v>1.4338250895918327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507.24999999999994</v>
      </c>
      <c r="AJ75" s="13">
        <f>AI75*VLOOKUP('Données projet'!$B$10,Paramètres!$A$1:$I$89,3,0)*VLOOKUP('Données projet'!$B$10,Paramètres!$A$1:$I$89,5,0)</f>
        <v>303.33549999999997</v>
      </c>
      <c r="AK75" s="13">
        <f t="shared" si="89"/>
        <v>71.875261779950591</v>
      </c>
      <c r="AL75" s="20">
        <f t="shared" si="58"/>
        <v>653.49207676674712</v>
      </c>
      <c r="AM75" s="59">
        <f t="shared" si="59"/>
        <v>920.82379100426829</v>
      </c>
      <c r="AN75" s="59">
        <f ca="1">AVERAGE(OFFSET($AM$3,0,0,'Données projet'!$E$10+1,1))-AVERAGE(OFFSET($H$3,0,0,'Données projet'!$E$10+1,1))</f>
        <v>394.69391436029986</v>
      </c>
      <c r="AO75" s="59">
        <f t="shared" si="90"/>
        <v>311.37245656657353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3.2553435799008361</v>
      </c>
      <c r="AV75" s="21">
        <f>EXP(-LN(2)/25)*AV74+(1-EXP(-LN(2)/25))/(LN(2)/25)*Calculateur!AQ75*Calculateur!AS75*VLOOKUP('Données projet'!$B$10,Paramètres!$A$1:$I$89,3,0)*0.475*44/12</f>
        <v>2.0732363242386636</v>
      </c>
      <c r="AW75" s="21">
        <f>EXP(-LN(2)/2)*AW74+(1-EXP(-LN(2)/2))/(LN(2)/2)*AQ75*AT75*VLOOKUP('Données projet'!$B$10,Paramètres!$A$1:$I$89,3,0)*0.475*44/12</f>
        <v>3.7779014137630299E-6</v>
      </c>
      <c r="AX75" s="21">
        <f t="shared" si="60"/>
        <v>5.3285836820409136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370.49999999999989</v>
      </c>
      <c r="BE75" s="13">
        <f>BD75*VLOOKUP('Données projet'!$B$11,Paramètres!$A$1:$I$89,3,0)*VLOOKUP('Données projet'!$B$11,Paramètres!$A$1:$I$89,5,0)</f>
        <v>173.39399999999998</v>
      </c>
      <c r="BF75" s="13">
        <f t="shared" si="91"/>
        <v>43.849289930196633</v>
      </c>
      <c r="BG75" s="20">
        <f t="shared" si="61"/>
        <v>378.36539662842574</v>
      </c>
      <c r="BH75" s="59">
        <f t="shared" si="62"/>
        <v>645.6971108659468</v>
      </c>
      <c r="BI75" s="59">
        <f ca="1">AVERAGE(OFFSET($BH$3,0,0,'Données projet'!$E$11+1,1))-AVERAGE(OFFSET($H$3,0,0,'Données projet'!$E$11+1,1))</f>
        <v>349.17860987804869</v>
      </c>
      <c r="BJ75" s="59">
        <f t="shared" si="92"/>
        <v>273.69433466447049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3.9506312059713027</v>
      </c>
      <c r="BQ75" s="21">
        <f>EXP(-LN(2)/25)*BQ74+(1-EXP(-LN(2)/25))/(LN(2)/25)*Calculateur!BL75*Calculateur!BN75*VLOOKUP('Données projet'!$B$11,Paramètres!$A$1:$I$89,3,0)*0.475*44/12</f>
        <v>3.4801334217695477</v>
      </c>
      <c r="BR75" s="21">
        <f>EXP(-LN(2)/2)*BR74+(1-EXP(-LN(2)/2))/(LN(2)/2)*BL75*BO75*VLOOKUP('Données projet'!$B$11,Paramètres!$A$1:$I$89,3,0)*0.475*44/12</f>
        <v>5.265774080084985E-6</v>
      </c>
      <c r="BS75" s="22">
        <f t="shared" si="63"/>
        <v>7.4307698935149302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2.0572770154103635E-13</v>
      </c>
      <c r="P76" s="13">
        <f t="shared" si="87"/>
        <v>2.8416956338469711E-12</v>
      </c>
      <c r="Q76" s="20">
        <f t="shared" si="54"/>
        <v>5.3075956424674458E-12</v>
      </c>
      <c r="R76" s="59">
        <f t="shared" si="55"/>
        <v>267.78278419792707</v>
      </c>
      <c r="S76" s="59">
        <f ca="1">AVERAGE(OFFSET($R$3,0,0,'Données projet'!$E$9+1,1))-AVERAGE(OFFSET($H$3,0,0,'Données projet'!$E$9+1,1))</f>
        <v>446.05900197653546</v>
      </c>
      <c r="T76" s="59">
        <f t="shared" si="88"/>
        <v>630.54710489646106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1.405706447367804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1.5916287160040108E-6</v>
      </c>
      <c r="AC76" s="22">
        <f t="shared" si="57"/>
        <v>1.40570803899652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937.48781555288292</v>
      </c>
      <c r="AN76" s="59">
        <f ca="1">AVERAGE(OFFSET($AM$3,0,0,'Données projet'!$E$10+1,1))-AVERAGE(OFFSET($H$3,0,0,'Données projet'!$E$10+1,1))</f>
        <v>394.69391436029986</v>
      </c>
      <c r="AO76" s="59">
        <f t="shared" si="90"/>
        <v>311.37245656657353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3.1915082778625061</v>
      </c>
      <c r="AV76" s="21">
        <f>EXP(-LN(2)/25)*AV75+(1-EXP(-LN(2)/25))/(LN(2)/25)*Calculateur!AQ76*Calculateur!AS76*VLOOKUP('Données projet'!$B$10,Paramètres!$A$1:$I$89,3,0)*0.475*44/12</f>
        <v>2.0165435679255976</v>
      </c>
      <c r="AW76" s="21">
        <f>EXP(-LN(2)/2)*AW75+(1-EXP(-LN(2)/2))/(LN(2)/2)*AQ76*AT76*VLOOKUP('Données projet'!$B$10,Paramètres!$A$1:$I$89,3,0)*0.475*44/12</f>
        <v>2.6713797083260836E-6</v>
      </c>
      <c r="AX76" s="21">
        <f t="shared" si="60"/>
        <v>5.2080545171678123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387.49999999999989</v>
      </c>
      <c r="BE76" s="13">
        <f>BD76*VLOOKUP('Données projet'!$B$11,Paramètres!$A$1:$I$89,3,0)*VLOOKUP('Données projet'!$B$11,Paramètres!$A$1:$I$89,5,0)</f>
        <v>181.34999999999994</v>
      </c>
      <c r="BF76" s="13">
        <f t="shared" si="91"/>
        <v>45.622405555921837</v>
      </c>
      <c r="BG76" s="20">
        <f t="shared" si="61"/>
        <v>395.310273009897</v>
      </c>
      <c r="BH76" s="59">
        <f t="shared" si="62"/>
        <v>663.09305720781879</v>
      </c>
      <c r="BI76" s="59">
        <f ca="1">AVERAGE(OFFSET($BH$3,0,0,'Données projet'!$E$11+1,1))-AVERAGE(OFFSET($H$3,0,0,'Données projet'!$E$11+1,1))</f>
        <v>349.17860987804869</v>
      </c>
      <c r="BJ76" s="59">
        <f t="shared" si="92"/>
        <v>273.69433466447049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3.8731617376693084</v>
      </c>
      <c r="BQ76" s="21">
        <f>EXP(-LN(2)/25)*BQ75+(1-EXP(-LN(2)/25))/(LN(2)/25)*Calculateur!BL76*Calculateur!BN76*VLOOKUP('Données projet'!$B$11,Paramètres!$A$1:$I$89,3,0)*0.475*44/12</f>
        <v>3.3849689903389968</v>
      </c>
      <c r="BR76" s="21">
        <f>EXP(-LN(2)/2)*BR75+(1-EXP(-LN(2)/2))/(LN(2)/2)*BL76*BO76*VLOOKUP('Données projet'!$B$11,Paramètres!$A$1:$I$89,3,0)*0.475*44/12</f>
        <v>3.7234645602244474E-6</v>
      </c>
      <c r="BS76" s="22">
        <f t="shared" si="63"/>
        <v>7.2581344514728654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2.0572770154103635E-13</v>
      </c>
      <c r="P77" s="13">
        <f t="shared" si="87"/>
        <v>2.8416956338469711E-12</v>
      </c>
      <c r="Q77" s="20">
        <f t="shared" si="54"/>
        <v>5.3075956424674458E-12</v>
      </c>
      <c r="R77" s="59">
        <f t="shared" si="55"/>
        <v>268.22602910295615</v>
      </c>
      <c r="S77" s="59">
        <f ca="1">AVERAGE(OFFSET($R$3,0,0,'Données projet'!$E$9+1,1))-AVERAGE(OFFSET($H$3,0,0,'Données projet'!$E$9+1,1))</f>
        <v>446.05900197653546</v>
      </c>
      <c r="T77" s="59">
        <f t="shared" si="88"/>
        <v>630.54710489646106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1.3781414013311934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1.1254514582176737E-6</v>
      </c>
      <c r="AC77" s="22">
        <f t="shared" si="57"/>
        <v>1.3781425267826517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954.13594821115464</v>
      </c>
      <c r="AN77" s="59">
        <f ca="1">AVERAGE(OFFSET($AM$3,0,0,'Données projet'!$E$10+1,1))-AVERAGE(OFFSET($H$3,0,0,'Données projet'!$E$10+1,1))</f>
        <v>394.69391436029986</v>
      </c>
      <c r="AO77" s="59">
        <f t="shared" si="90"/>
        <v>311.37245656657353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3.1289247471614585</v>
      </c>
      <c r="AV77" s="21">
        <f>EXP(-LN(2)/25)*AV76+(1-EXP(-LN(2)/25))/(LN(2)/25)*Calculateur!AQ77*Calculateur!AS77*VLOOKUP('Données projet'!$B$10,Paramètres!$A$1:$I$89,3,0)*0.475*44/12</f>
        <v>1.9614010780152549</v>
      </c>
      <c r="AW77" s="21">
        <f>EXP(-LN(2)/2)*AW76+(1-EXP(-LN(2)/2))/(LN(2)/2)*AQ77*AT77*VLOOKUP('Données projet'!$B$10,Paramètres!$A$1:$I$89,3,0)*0.475*44/12</f>
        <v>1.8889507068815152E-6</v>
      </c>
      <c r="AX77" s="21">
        <f t="shared" si="60"/>
        <v>5.0903277141274206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404.49999999999989</v>
      </c>
      <c r="BE77" s="13">
        <f>BD77*VLOOKUP('Données projet'!$B$11,Paramètres!$A$1:$I$89,3,0)*VLOOKUP('Données projet'!$B$11,Paramètres!$A$1:$I$89,5,0)</f>
        <v>189.30599999999993</v>
      </c>
      <c r="BF77" s="13">
        <f t="shared" si="91"/>
        <v>47.386486642979079</v>
      </c>
      <c r="BG77" s="20">
        <f t="shared" si="61"/>
        <v>412.23941423652178</v>
      </c>
      <c r="BH77" s="59">
        <f t="shared" si="62"/>
        <v>680.46544333947259</v>
      </c>
      <c r="BI77" s="59">
        <f ca="1">AVERAGE(OFFSET($BH$3,0,0,'Données projet'!$E$11+1,1))-AVERAGE(OFFSET($H$3,0,0,'Données projet'!$E$11+1,1))</f>
        <v>349.17860987804869</v>
      </c>
      <c r="BJ77" s="59">
        <f t="shared" si="92"/>
        <v>273.69433466447049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3.7972113983890061</v>
      </c>
      <c r="BQ77" s="21">
        <f>EXP(-LN(2)/25)*BQ76+(1-EXP(-LN(2)/25))/(LN(2)/25)*Calculateur!BL77*Calculateur!BN77*VLOOKUP('Données projet'!$B$11,Paramètres!$A$1:$I$89,3,0)*0.475*44/12</f>
        <v>3.2924068352903944</v>
      </c>
      <c r="BR77" s="21">
        <f>EXP(-LN(2)/2)*BR76+(1-EXP(-LN(2)/2))/(LN(2)/2)*BL77*BO77*VLOOKUP('Données projet'!$B$11,Paramètres!$A$1:$I$89,3,0)*0.475*44/12</f>
        <v>2.6328870400424929E-6</v>
      </c>
      <c r="BS77" s="22">
        <f t="shared" si="63"/>
        <v>7.0896208665664409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2.0572770154103635E-13</v>
      </c>
      <c r="P78" s="13">
        <f t="shared" si="87"/>
        <v>2.8416956338469711E-12</v>
      </c>
      <c r="Q78" s="20">
        <f t="shared" si="54"/>
        <v>5.3075956424674458E-12</v>
      </c>
      <c r="R78" s="59">
        <f t="shared" si="55"/>
        <v>268.66158469983009</v>
      </c>
      <c r="S78" s="59">
        <f ca="1">AVERAGE(OFFSET($R$3,0,0,'Données projet'!$E$9+1,1))-AVERAGE(OFFSET($H$3,0,0,'Données projet'!$E$9+1,1))</f>
        <v>446.05900197653546</v>
      </c>
      <c r="T78" s="59">
        <f t="shared" si="88"/>
        <v>630.54710489646106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1.3511168890343428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7.9581435800200541E-7</v>
      </c>
      <c r="AC78" s="22">
        <f t="shared" si="57"/>
        <v>1.3511176848487008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919.16202297898803</v>
      </c>
      <c r="AN78" s="59">
        <f ca="1">AVERAGE(OFFSET($AM$3,0,0,'Données projet'!$E$10+1,1))-AVERAGE(OFFSET($H$3,0,0,'Données projet'!$E$10+1,1))</f>
        <v>394.69391436029986</v>
      </c>
      <c r="AO78" s="59">
        <f t="shared" si="90"/>
        <v>311.37245656657353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3.0675684413252737</v>
      </c>
      <c r="AV78" s="21">
        <f>EXP(-LN(2)/25)*AV77+(1-EXP(-LN(2)/25))/(LN(2)/25)*Calculateur!AQ78*Calculateur!AS78*VLOOKUP('Données projet'!$B$10,Paramètres!$A$1:$I$89,3,0)*0.475*44/12</f>
        <v>1.907766462391328</v>
      </c>
      <c r="AW78" s="21">
        <f>EXP(-LN(2)/2)*AW77+(1-EXP(-LN(2)/2))/(LN(2)/2)*AQ78*AT78*VLOOKUP('Données projet'!$B$10,Paramètres!$A$1:$I$89,3,0)*0.475*44/12</f>
        <v>1.335689854163042E-6</v>
      </c>
      <c r="AX78" s="21">
        <f t="shared" si="60"/>
        <v>4.975336239406456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421.49999999999989</v>
      </c>
      <c r="BE78" s="13">
        <f>BD78*VLOOKUP('Données projet'!$B$11,Paramètres!$A$1:$I$89,3,0)*VLOOKUP('Données projet'!$B$11,Paramètres!$A$1:$I$89,5,0)</f>
        <v>197.26199999999994</v>
      </c>
      <c r="BF78" s="13">
        <f t="shared" si="91"/>
        <v>49.141956303266518</v>
      </c>
      <c r="BG78" s="20">
        <f t="shared" si="61"/>
        <v>429.15355722818907</v>
      </c>
      <c r="BH78" s="59">
        <f t="shared" si="62"/>
        <v>697.81514192801387</v>
      </c>
      <c r="BI78" s="59">
        <f ca="1">AVERAGE(OFFSET($BH$3,0,0,'Données projet'!$E$11+1,1))-AVERAGE(OFFSET($H$3,0,0,'Données projet'!$E$11+1,1))</f>
        <v>349.17860987804869</v>
      </c>
      <c r="BJ78" s="59">
        <f t="shared" si="92"/>
        <v>273.69433466447049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3.7227503989368578</v>
      </c>
      <c r="BQ78" s="21">
        <f>EXP(-LN(2)/25)*BQ77+(1-EXP(-LN(2)/25))/(LN(2)/25)*Calculateur!BL78*Calculateur!BN78*VLOOKUP('Données projet'!$B$11,Paramètres!$A$1:$I$89,3,0)*0.475*44/12</f>
        <v>3.2023757972392279</v>
      </c>
      <c r="BR78" s="21">
        <f>EXP(-LN(2)/2)*BR77+(1-EXP(-LN(2)/2))/(LN(2)/2)*BL78*BO78*VLOOKUP('Données projet'!$B$11,Paramètres!$A$1:$I$89,3,0)*0.475*44/12</f>
        <v>1.8617322801122239E-6</v>
      </c>
      <c r="BS78" s="22">
        <f t="shared" si="63"/>
        <v>6.9251280579083661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2.0572770154103635E-13</v>
      </c>
      <c r="P79" s="13">
        <f t="shared" si="87"/>
        <v>2.8416956338469711E-12</v>
      </c>
      <c r="Q79" s="20">
        <f t="shared" si="54"/>
        <v>5.3075956424674458E-12</v>
      </c>
      <c r="R79" s="59">
        <f t="shared" si="55"/>
        <v>269.08958438085472</v>
      </c>
      <c r="S79" s="59">
        <f ca="1">AVERAGE(OFFSET($R$3,0,0,'Données projet'!$E$9+1,1))-AVERAGE(OFFSET($H$3,0,0,'Données projet'!$E$9+1,1))</f>
        <v>446.05900197653546</v>
      </c>
      <c r="T79" s="59">
        <f t="shared" si="88"/>
        <v>630.54710489646106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1.3246223109403086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5.6272572910883683E-7</v>
      </c>
      <c r="AC79" s="22">
        <f t="shared" si="57"/>
        <v>1.3246228736660377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930.76786434250243</v>
      </c>
      <c r="AN79" s="59">
        <f ca="1">AVERAGE(OFFSET($AM$3,0,0,'Données projet'!$E$10+1,1))-AVERAGE(OFFSET($H$3,0,0,'Données projet'!$E$10+1,1))</f>
        <v>394.69391436029986</v>
      </c>
      <c r="AO79" s="59">
        <f t="shared" si="90"/>
        <v>311.37245656657353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3.0074152952228852</v>
      </c>
      <c r="AV79" s="21">
        <f>EXP(-LN(2)/25)*AV78+(1-EXP(-LN(2)/25))/(LN(2)/25)*Calculateur!AQ79*Calculateur!AS79*VLOOKUP('Données projet'!$B$10,Paramètres!$A$1:$I$89,3,0)*0.475*44/12</f>
        <v>1.855598488152159</v>
      </c>
      <c r="AW79" s="21">
        <f>EXP(-LN(2)/2)*AW78+(1-EXP(-LN(2)/2))/(LN(2)/2)*AQ79*AT79*VLOOKUP('Données projet'!$B$10,Paramètres!$A$1:$I$89,3,0)*0.475*44/12</f>
        <v>9.444753534407578E-7</v>
      </c>
      <c r="AX79" s="21">
        <f t="shared" si="60"/>
        <v>4.8630147278503975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438.49999999999989</v>
      </c>
      <c r="BE79" s="13">
        <f>BD79*VLOOKUP('Données projet'!$B$11,Paramètres!$A$1:$I$89,3,0)*VLOOKUP('Données projet'!$B$11,Paramètres!$A$1:$I$89,5,0)</f>
        <v>205.21799999999996</v>
      </c>
      <c r="BF79" s="13">
        <f t="shared" si="91"/>
        <v>50.889201586985514</v>
      </c>
      <c r="BG79" s="20">
        <f t="shared" si="61"/>
        <v>446.05337609733306</v>
      </c>
      <c r="BH79" s="59">
        <f t="shared" si="62"/>
        <v>715.14296047818243</v>
      </c>
      <c r="BI79" s="59">
        <f ca="1">AVERAGE(OFFSET($BH$3,0,0,'Données projet'!$E$11+1,1))-AVERAGE(OFFSET($H$3,0,0,'Données projet'!$E$11+1,1))</f>
        <v>349.17860987804869</v>
      </c>
      <c r="BJ79" s="59">
        <f t="shared" si="92"/>
        <v>273.69433466447049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3.649749534267241</v>
      </c>
      <c r="BQ79" s="21">
        <f>EXP(-LN(2)/25)*BQ78+(1-EXP(-LN(2)/25))/(LN(2)/25)*Calculateur!BL79*Calculateur!BN79*VLOOKUP('Données projet'!$B$11,Paramètres!$A$1:$I$89,3,0)*0.475*44/12</f>
        <v>3.114806662658097</v>
      </c>
      <c r="BR79" s="21">
        <f>EXP(-LN(2)/2)*BR78+(1-EXP(-LN(2)/2))/(LN(2)/2)*BL79*BO79*VLOOKUP('Données projet'!$B$11,Paramètres!$A$1:$I$89,3,0)*0.475*44/12</f>
        <v>1.3164435200212467E-6</v>
      </c>
      <c r="BS79" s="22">
        <f t="shared" si="63"/>
        <v>6.7645575133688585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2.0572770154103635E-13</v>
      </c>
      <c r="P80" s="13">
        <f t="shared" si="87"/>
        <v>2.8416956338469711E-12</v>
      </c>
      <c r="Q80" s="20">
        <f t="shared" si="54"/>
        <v>5.3075956424674458E-12</v>
      </c>
      <c r="R80" s="59">
        <f t="shared" si="55"/>
        <v>269.51015922427757</v>
      </c>
      <c r="S80" s="59">
        <f ca="1">AVERAGE(OFFSET($R$3,0,0,'Données projet'!$E$9+1,1))-AVERAGE(OFFSET($H$3,0,0,'Données projet'!$E$9+1,1))</f>
        <v>446.05900197653546</v>
      </c>
      <c r="T80" s="59">
        <f t="shared" si="88"/>
        <v>630.54710489646106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1.2986472753626013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3.9790717900100271E-7</v>
      </c>
      <c r="AC80" s="22">
        <f t="shared" si="57"/>
        <v>1.2986476732697803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942.36239491263223</v>
      </c>
      <c r="AN80" s="59">
        <f ca="1">AVERAGE(OFFSET($AM$3,0,0,'Données projet'!$E$10+1,1))-AVERAGE(OFFSET($H$3,0,0,'Données projet'!$E$10+1,1))</f>
        <v>394.69391436029986</v>
      </c>
      <c r="AO80" s="59">
        <f t="shared" si="90"/>
        <v>311.37245656657353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2.9484417156257683</v>
      </c>
      <c r="AV80" s="21">
        <f>EXP(-LN(2)/25)*AV79+(1-EXP(-LN(2)/25))/(LN(2)/25)*Calculateur!AQ80*Calculateur!AS80*VLOOKUP('Données projet'!$B$10,Paramètres!$A$1:$I$89,3,0)*0.475*44/12</f>
        <v>1.8048570499119547</v>
      </c>
      <c r="AW80" s="21">
        <f>EXP(-LN(2)/2)*AW79+(1-EXP(-LN(2)/2))/(LN(2)/2)*AQ80*AT80*VLOOKUP('Données projet'!$B$10,Paramètres!$A$1:$I$89,3,0)*0.475*44/12</f>
        <v>6.6784492708152111E-7</v>
      </c>
      <c r="AX80" s="21">
        <f t="shared" si="60"/>
        <v>4.7532994333826499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455.49999999999989</v>
      </c>
      <c r="BE80" s="13">
        <f>BD80*VLOOKUP('Données projet'!$B$11,Paramètres!$A$1:$I$89,3,0)*VLOOKUP('Données projet'!$B$11,Paramètres!$A$1:$I$89,5,0)</f>
        <v>213.17399999999995</v>
      </c>
      <c r="BF80" s="13">
        <f t="shared" si="91"/>
        <v>52.628577834232573</v>
      </c>
      <c r="BG80" s="20">
        <f t="shared" si="61"/>
        <v>462.93948972795494</v>
      </c>
      <c r="BH80" s="59">
        <f t="shared" si="62"/>
        <v>732.44964895222722</v>
      </c>
      <c r="BI80" s="59">
        <f ca="1">AVERAGE(OFFSET($BH$3,0,0,'Données projet'!$E$11+1,1))-AVERAGE(OFFSET($H$3,0,0,'Données projet'!$E$11+1,1))</f>
        <v>349.17860987804869</v>
      </c>
      <c r="BJ80" s="59">
        <f t="shared" si="92"/>
        <v>273.69433466447049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3.5781801720276647</v>
      </c>
      <c r="BQ80" s="21">
        <f>EXP(-LN(2)/25)*BQ79+(1-EXP(-LN(2)/25))/(LN(2)/25)*Calculateur!BL80*Calculateur!BN80*VLOOKUP('Données projet'!$B$11,Paramètres!$A$1:$I$89,3,0)*0.475*44/12</f>
        <v>3.0296321106671478</v>
      </c>
      <c r="BR80" s="21">
        <f>EXP(-LN(2)/2)*BR79+(1-EXP(-LN(2)/2))/(LN(2)/2)*BL80*BO80*VLOOKUP('Données projet'!$B$11,Paramètres!$A$1:$I$89,3,0)*0.475*44/12</f>
        <v>9.3086614005611217E-7</v>
      </c>
      <c r="BS80" s="22">
        <f t="shared" si="63"/>
        <v>6.6078132135609522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2.0572770154103635E-13</v>
      </c>
      <c r="P81" s="13">
        <f t="shared" si="87"/>
        <v>2.8416956338469711E-12</v>
      </c>
      <c r="Q81" s="20">
        <f t="shared" si="54"/>
        <v>5.3075956424674458E-12</v>
      </c>
      <c r="R81" s="59">
        <f t="shared" si="55"/>
        <v>269.92343803443151</v>
      </c>
      <c r="S81" s="59">
        <f ca="1">AVERAGE(OFFSET($R$3,0,0,'Données projet'!$E$9+1,1))-AVERAGE(OFFSET($H$3,0,0,'Données projet'!$E$9+1,1))</f>
        <v>446.05900197653546</v>
      </c>
      <c r="T81" s="59">
        <f t="shared" si="88"/>
        <v>630.54710489646106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1.2731815943893656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2.8136286455441841E-7</v>
      </c>
      <c r="AC81" s="22">
        <f t="shared" si="57"/>
        <v>1.2731818757522302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953.94581709895863</v>
      </c>
      <c r="AN81" s="59">
        <f ca="1">AVERAGE(OFFSET($AM$3,0,0,'Données projet'!$E$10+1,1))-AVERAGE(OFFSET($H$3,0,0,'Données projet'!$E$10+1,1))</f>
        <v>394.69391436029986</v>
      </c>
      <c r="AO81" s="59">
        <f t="shared" si="90"/>
        <v>311.37245656657353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2.890624571954219</v>
      </c>
      <c r="AV81" s="21">
        <f>EXP(-LN(2)/25)*AV80+(1-EXP(-LN(2)/25))/(LN(2)/25)*Calculateur!AQ81*Calculateur!AS81*VLOOKUP('Données projet'!$B$10,Paramètres!$A$1:$I$89,3,0)*0.475*44/12</f>
        <v>1.7555031389688052</v>
      </c>
      <c r="AW81" s="21">
        <f>EXP(-LN(2)/2)*AW80+(1-EXP(-LN(2)/2))/(LN(2)/2)*AQ81*AT81*VLOOKUP('Données projet'!$B$10,Paramètres!$A$1:$I$89,3,0)*0.475*44/12</f>
        <v>4.7223767672037896E-7</v>
      </c>
      <c r="AX81" s="21">
        <f t="shared" si="60"/>
        <v>4.6461281831607009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472.49999999999989</v>
      </c>
      <c r="BE81" s="13">
        <f>BD81*VLOOKUP('Données projet'!$B$11,Paramètres!$A$1:$I$89,3,0)*VLOOKUP('Données projet'!$B$11,Paramètres!$A$1:$I$89,5,0)</f>
        <v>221.12999999999997</v>
      </c>
      <c r="BF81" s="13">
        <f t="shared" si="91"/>
        <v>54.360412358692685</v>
      </c>
      <c r="BG81" s="20">
        <f t="shared" si="61"/>
        <v>479.81246819138977</v>
      </c>
      <c r="BH81" s="59">
        <f t="shared" si="62"/>
        <v>749.73590622581605</v>
      </c>
      <c r="BI81" s="59">
        <f ca="1">AVERAGE(OFFSET($BH$3,0,0,'Données projet'!$E$11+1,1))-AVERAGE(OFFSET($H$3,0,0,'Données projet'!$E$11+1,1))</f>
        <v>349.17860987804869</v>
      </c>
      <c r="BJ81" s="59">
        <f t="shared" si="92"/>
        <v>273.69433466447049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3.5080142413286057</v>
      </c>
      <c r="BQ81" s="21">
        <f>EXP(-LN(2)/25)*BQ80+(1-EXP(-LN(2)/25))/(LN(2)/25)*Calculateur!BL81*Calculateur!BN81*VLOOKUP('Données projet'!$B$11,Paramètres!$A$1:$I$89,3,0)*0.475*44/12</f>
        <v>2.9467866612795262</v>
      </c>
      <c r="BR81" s="21">
        <f>EXP(-LN(2)/2)*BR80+(1-EXP(-LN(2)/2))/(LN(2)/2)*BL81*BO81*VLOOKUP('Données projet'!$B$11,Paramètres!$A$1:$I$89,3,0)*0.475*44/12</f>
        <v>6.5822176001062344E-7</v>
      </c>
      <c r="BS81" s="22">
        <f t="shared" si="63"/>
        <v>6.4548015608298916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2.0572770154103635E-13</v>
      </c>
      <c r="P82" s="13">
        <f t="shared" si="87"/>
        <v>2.8416956338469711E-12</v>
      </c>
      <c r="Q82" s="20">
        <f t="shared" si="54"/>
        <v>5.3075956424674458E-12</v>
      </c>
      <c r="R82" s="59">
        <f t="shared" si="55"/>
        <v>270.32954738118224</v>
      </c>
      <c r="S82" s="59">
        <f ca="1">AVERAGE(OFFSET($R$3,0,0,'Données projet'!$E$9+1,1))-AVERAGE(OFFSET($H$3,0,0,'Données projet'!$E$9+1,1))</f>
        <v>446.05900197653546</v>
      </c>
      <c r="T82" s="59">
        <f t="shared" si="88"/>
        <v>630.54710489646106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1.2482152798874835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1.9895358950050135E-7</v>
      </c>
      <c r="AC82" s="22">
        <f t="shared" si="57"/>
        <v>1.2482154788410731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965.51832847757282</v>
      </c>
      <c r="AN82" s="59">
        <f ca="1">AVERAGE(OFFSET($AM$3,0,0,'Données projet'!$E$10+1,1))-AVERAGE(OFFSET($H$3,0,0,'Données projet'!$E$10+1,1))</f>
        <v>394.69391436029986</v>
      </c>
      <c r="AO82" s="59">
        <f t="shared" si="90"/>
        <v>311.37245656657353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2.8339411872050935</v>
      </c>
      <c r="AV82" s="21">
        <f>EXP(-LN(2)/25)*AV81+(1-EXP(-LN(2)/25))/(LN(2)/25)*Calculateur!AQ82*Calculateur!AS82*VLOOKUP('Données projet'!$B$10,Paramètres!$A$1:$I$89,3,0)*0.475*44/12</f>
        <v>1.7074988133158053</v>
      </c>
      <c r="AW82" s="21">
        <f>EXP(-LN(2)/2)*AW81+(1-EXP(-LN(2)/2))/(LN(2)/2)*AQ82*AT82*VLOOKUP('Données projet'!$B$10,Paramètres!$A$1:$I$89,3,0)*0.475*44/12</f>
        <v>3.3392246354076061E-7</v>
      </c>
      <c r="AX82" s="21">
        <f t="shared" si="60"/>
        <v>4.5414403344433625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489.49999999999989</v>
      </c>
      <c r="BE82" s="13">
        <f>BD82*VLOOKUP('Données projet'!$B$11,Paramètres!$A$1:$I$89,3,0)*VLOOKUP('Données projet'!$B$11,Paramètres!$A$1:$I$89,5,0)</f>
        <v>229.08599999999993</v>
      </c>
      <c r="BF82" s="13">
        <f t="shared" si="91"/>
        <v>56.085007586294346</v>
      </c>
      <c r="BG82" s="20">
        <f t="shared" si="61"/>
        <v>496.6728382127958</v>
      </c>
      <c r="BH82" s="59">
        <f t="shared" si="62"/>
        <v>767.0023855939728</v>
      </c>
      <c r="BI82" s="59">
        <f ca="1">AVERAGE(OFFSET($BH$3,0,0,'Données projet'!$E$11+1,1))-AVERAGE(OFFSET($H$3,0,0,'Données projet'!$E$11+1,1))</f>
        <v>349.17860987804869</v>
      </c>
      <c r="BJ82" s="59">
        <f t="shared" si="92"/>
        <v>273.69433466447049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3.4392242217335633</v>
      </c>
      <c r="BQ82" s="21">
        <f>EXP(-LN(2)/25)*BQ81+(1-EXP(-LN(2)/25))/(LN(2)/25)*Calculateur!BL82*Calculateur!BN82*VLOOKUP('Données projet'!$B$11,Paramètres!$A$1:$I$89,3,0)*0.475*44/12</f>
        <v>2.8662066250620621</v>
      </c>
      <c r="BR82" s="21">
        <f>EXP(-LN(2)/2)*BR81+(1-EXP(-LN(2)/2))/(LN(2)/2)*BL82*BO82*VLOOKUP('Données projet'!$B$11,Paramètres!$A$1:$I$89,3,0)*0.475*44/12</f>
        <v>4.6543307002805614E-7</v>
      </c>
      <c r="BS82" s="22">
        <f t="shared" si="63"/>
        <v>6.3054313122286949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2.0572770154103635E-13</v>
      </c>
      <c r="P83" s="13">
        <f t="shared" si="87"/>
        <v>2.8416956338469711E-12</v>
      </c>
      <c r="Q83" s="20">
        <f t="shared" si="54"/>
        <v>5.3075956424674458E-12</v>
      </c>
      <c r="R83" s="59">
        <f t="shared" si="55"/>
        <v>270.7286116386914</v>
      </c>
      <c r="S83" s="59">
        <f ca="1">AVERAGE(OFFSET($R$3,0,0,'Données projet'!$E$9+1,1))-AVERAGE(OFFSET($H$3,0,0,'Données projet'!$E$9+1,1))</f>
        <v>446.05900197653546</v>
      </c>
      <c r="T83" s="59">
        <f t="shared" si="88"/>
        <v>630.54710489646106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1.2237385395850349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1.4068143227720921E-7</v>
      </c>
      <c r="AC83" s="22">
        <f t="shared" si="57"/>
        <v>1.2237386802664671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977.08012196276263</v>
      </c>
      <c r="AN83" s="59">
        <f ca="1">AVERAGE(OFFSET($AM$3,0,0,'Données projet'!$E$10+1,1))-AVERAGE(OFFSET($H$3,0,0,'Données projet'!$E$10+1,1))</f>
        <v>394.69391436029986</v>
      </c>
      <c r="AO83" s="59">
        <f t="shared" si="90"/>
        <v>311.37245656657353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2.7783693290574472</v>
      </c>
      <c r="AV83" s="21">
        <f>EXP(-LN(2)/25)*AV82+(1-EXP(-LN(2)/25))/(LN(2)/25)*Calculateur!AQ83*Calculateur!AS83*VLOOKUP('Données projet'!$B$10,Paramètres!$A$1:$I$89,3,0)*0.475*44/12</f>
        <v>1.6608071684722245</v>
      </c>
      <c r="AW83" s="21">
        <f>EXP(-LN(2)/2)*AW82+(1-EXP(-LN(2)/2))/(LN(2)/2)*AQ83*AT83*VLOOKUP('Données projet'!$B$10,Paramètres!$A$1:$I$89,3,0)*0.475*44/12</f>
        <v>2.3611883836018953E-7</v>
      </c>
      <c r="AX83" s="21">
        <f t="shared" si="60"/>
        <v>4.4391767336485097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506.5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506.49999999999989</v>
      </c>
      <c r="BE83" s="13">
        <f>BD83*VLOOKUP('Données projet'!$B$11,Paramètres!$A$1:$I$89,3,0)*VLOOKUP('Données projet'!$B$11,Paramètres!$A$1:$I$89,5,0)</f>
        <v>237.04199999999994</v>
      </c>
      <c r="BF83" s="13">
        <f t="shared" si="91"/>
        <v>57.802643745601223</v>
      </c>
      <c r="BG83" s="20">
        <f t="shared" si="61"/>
        <v>513.52108785692201</v>
      </c>
      <c r="BH83" s="59">
        <f t="shared" si="62"/>
        <v>784.24969949560818</v>
      </c>
      <c r="BI83" s="59">
        <f ca="1">AVERAGE(OFFSET($BH$3,0,0,'Données projet'!$E$11+1,1))-AVERAGE(OFFSET($H$3,0,0,'Données projet'!$E$11+1,1))</f>
        <v>349.17860987804869</v>
      </c>
      <c r="BJ83" s="59">
        <f t="shared" si="92"/>
        <v>273.69433466447049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93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3.3717831324650107</v>
      </c>
      <c r="BQ83" s="21">
        <f>EXP(-LN(2)/25)*BQ82+(1-EXP(-LN(2)/25))/(LN(2)/25)*Calculateur!BL83*Calculateur!BN83*VLOOKUP('Données projet'!$B$11,Paramètres!$A$1:$I$89,3,0)*0.475*44/12</f>
        <v>2.7878300541724843</v>
      </c>
      <c r="BR83" s="21">
        <f>EXP(-LN(2)/2)*BR82+(1-EXP(-LN(2)/2))/(LN(2)/2)*BL83*BO83*VLOOKUP('Données projet'!$B$11,Paramètres!$A$1:$I$89,3,0)*0.475*44/12</f>
        <v>3.2911088000531177E-7</v>
      </c>
      <c r="BS83" s="22">
        <f t="shared" si="63"/>
        <v>6.1596135157483749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2.0572770154103635E-13</v>
      </c>
      <c r="P84" s="13">
        <f t="shared" si="87"/>
        <v>2.8416956338469711E-12</v>
      </c>
      <c r="Q84" s="20">
        <f t="shared" si="54"/>
        <v>5.3075956424674458E-12</v>
      </c>
      <c r="R84" s="59">
        <f t="shared" si="55"/>
        <v>271.12075302350672</v>
      </c>
      <c r="S84" s="59">
        <f ca="1">AVERAGE(OFFSET($R$3,0,0,'Données projet'!$E$9+1,1))-AVERAGE(OFFSET($H$3,0,0,'Données projet'!$E$9+1,1))</f>
        <v>446.05900197653546</v>
      </c>
      <c r="T84" s="59">
        <f t="shared" si="88"/>
        <v>630.54710489646106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1.19974177323058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9.9476794750250677E-8</v>
      </c>
      <c r="AC84" s="22">
        <f t="shared" si="57"/>
        <v>1.1997418727073748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988.63138596918998</v>
      </c>
      <c r="AN84" s="59">
        <f ca="1">AVERAGE(OFFSET($AM$3,0,0,'Données projet'!$E$10+1,1))-AVERAGE(OFFSET($H$3,0,0,'Données projet'!$E$10+1,1))</f>
        <v>394.69391436029986</v>
      </c>
      <c r="AO84" s="59">
        <f t="shared" si="90"/>
        <v>311.37245656657353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2.7238872011525896</v>
      </c>
      <c r="AV84" s="21">
        <f>EXP(-LN(2)/25)*AV83+(1-EXP(-LN(2)/25))/(LN(2)/25)*Calculateur!AQ84*Calculateur!AS84*VLOOKUP('Données projet'!$B$10,Paramètres!$A$1:$I$89,3,0)*0.475*44/12</f>
        <v>1.6153923091122984</v>
      </c>
      <c r="AW84" s="21">
        <f>EXP(-LN(2)/2)*AW83+(1-EXP(-LN(2)/2))/(LN(2)/2)*AQ84*AT84*VLOOKUP('Données projet'!$B$10,Paramètres!$A$1:$I$89,3,0)*0.475*44/12</f>
        <v>1.6696123177038033E-7</v>
      </c>
      <c r="AX84" s="21">
        <f t="shared" si="60"/>
        <v>4.3392796772261191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430.99999999999989</v>
      </c>
      <c r="BE84" s="13">
        <f>BD84*VLOOKUP('Données projet'!$B$11,Paramètres!$A$1:$I$89,3,0)*VLOOKUP('Données projet'!$B$11,Paramètres!$A$1:$I$89,5,0)</f>
        <v>201.70799999999994</v>
      </c>
      <c r="BF84" s="13">
        <f t="shared" si="91"/>
        <v>50.119348451854243</v>
      </c>
      <c r="BG84" s="20">
        <f t="shared" si="61"/>
        <v>438.59929855364607</v>
      </c>
      <c r="BH84" s="59">
        <f t="shared" si="62"/>
        <v>709.7200515771475</v>
      </c>
      <c r="BI84" s="59">
        <f ca="1">AVERAGE(OFFSET($BH$3,0,0,'Données projet'!$E$11+1,1))-AVERAGE(OFFSET($H$3,0,0,'Données projet'!$E$11+1,1))</f>
        <v>349.17860987804869</v>
      </c>
      <c r="BJ84" s="59">
        <f t="shared" si="92"/>
        <v>273.69433466447049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3.305664521822012</v>
      </c>
      <c r="BQ84" s="21">
        <f>EXP(-LN(2)/25)*BQ83+(1-EXP(-LN(2)/25))/(LN(2)/25)*Calculateur!BL84*Calculateur!BN84*VLOOKUP('Données projet'!$B$11,Paramètres!$A$1:$I$89,3,0)*0.475*44/12</f>
        <v>2.711596694735527</v>
      </c>
      <c r="BR84" s="21">
        <f>EXP(-LN(2)/2)*BR83+(1-EXP(-LN(2)/2))/(LN(2)/2)*BL84*BO84*VLOOKUP('Données projet'!$B$11,Paramètres!$A$1:$I$89,3,0)*0.475*44/12</f>
        <v>2.327165350140281E-7</v>
      </c>
      <c r="BS84" s="22">
        <f t="shared" si="63"/>
        <v>6.0172614492740744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2.0572770154103635E-13</v>
      </c>
      <c r="P85" s="13">
        <f t="shared" si="87"/>
        <v>2.8416956338469711E-12</v>
      </c>
      <c r="Q85" s="20">
        <f t="shared" si="54"/>
        <v>5.3075956424674458E-12</v>
      </c>
      <c r="R85" s="59">
        <f t="shared" si="55"/>
        <v>271.50609163199232</v>
      </c>
      <c r="S85" s="59">
        <f ca="1">AVERAGE(OFFSET($R$3,0,0,'Données projet'!$E$9+1,1))-AVERAGE(OFFSET($H$3,0,0,'Données projet'!$E$9+1,1))</f>
        <v>446.05900197653546</v>
      </c>
      <c r="T85" s="59">
        <f t="shared" si="88"/>
        <v>630.54710489646106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1.1762155688277536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7.0340716138604603E-8</v>
      </c>
      <c r="AC85" s="22">
        <f t="shared" si="57"/>
        <v>1.1762156391684697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1000.1723045652933</v>
      </c>
      <c r="AN85" s="59">
        <f ca="1">AVERAGE(OFFSET($AM$3,0,0,'Données projet'!$E$10+1,1))-AVERAGE(OFFSET($H$3,0,0,'Données projet'!$E$10+1,1))</f>
        <v>394.69391436029986</v>
      </c>
      <c r="AO85" s="59">
        <f t="shared" si="90"/>
        <v>311.37245656657353</v>
      </c>
      <c r="AP85" s="15">
        <f>IF(ISNA(VLOOKUP(A85,'Données projet'!$A$61:$I$81,3,0)),0,VLOOKUP(A85,'Données projet'!$A$61:$I$81,3,0))</f>
        <v>11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2.6704734345451295</v>
      </c>
      <c r="AV85" s="21">
        <f>EXP(-LN(2)/25)*AV84+(1-EXP(-LN(2)/25))/(LN(2)/25)*Calculateur!AQ85*Calculateur!AS85*VLOOKUP('Données projet'!$B$10,Paramètres!$A$1:$I$89,3,0)*0.475*44/12</f>
        <v>1.5712193214698331</v>
      </c>
      <c r="AW85" s="21">
        <f>EXP(-LN(2)/2)*AW84+(1-EXP(-LN(2)/2))/(LN(2)/2)*AQ85*AT85*VLOOKUP('Données projet'!$B$10,Paramètres!$A$1:$I$89,3,0)*0.475*44/12</f>
        <v>1.1805941918009478E-7</v>
      </c>
      <c r="AX85" s="21">
        <f t="shared" si="60"/>
        <v>4.2416928740743822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448.49999999999989</v>
      </c>
      <c r="BE85" s="13">
        <f>BD85*VLOOKUP('Données projet'!$B$11,Paramètres!$A$1:$I$89,3,0)*VLOOKUP('Données projet'!$B$11,Paramètres!$A$1:$I$89,5,0)</f>
        <v>209.89799999999994</v>
      </c>
      <c r="BF85" s="13">
        <f t="shared" si="91"/>
        <v>51.913295501810218</v>
      </c>
      <c r="BG85" s="20">
        <f t="shared" si="61"/>
        <v>455.98800633231934</v>
      </c>
      <c r="BH85" s="59">
        <f t="shared" si="62"/>
        <v>727.49409796430632</v>
      </c>
      <c r="BI85" s="59">
        <f ca="1">AVERAGE(OFFSET($BH$3,0,0,'Données projet'!$E$11+1,1))-AVERAGE(OFFSET($H$3,0,0,'Données projet'!$E$11+1,1))</f>
        <v>349.17860987804869</v>
      </c>
      <c r="BJ85" s="59">
        <f t="shared" si="92"/>
        <v>273.69433466447049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3.240842456805352</v>
      </c>
      <c r="BQ85" s="21">
        <f>EXP(-LN(2)/25)*BQ84+(1-EXP(-LN(2)/25))/(LN(2)/25)*Calculateur!BL85*Calculateur!BN85*VLOOKUP('Données projet'!$B$11,Paramètres!$A$1:$I$89,3,0)*0.475*44/12</f>
        <v>2.6374479405213114</v>
      </c>
      <c r="BR85" s="21">
        <f>EXP(-LN(2)/2)*BR84+(1-EXP(-LN(2)/2))/(LN(2)/2)*BL85*BO85*VLOOKUP('Données projet'!$B$11,Paramètres!$A$1:$I$89,3,0)*0.475*44/12</f>
        <v>1.6455544000265591E-7</v>
      </c>
      <c r="BS85" s="22">
        <f t="shared" si="63"/>
        <v>5.8782905618821042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2.0572770154103635E-13</v>
      </c>
      <c r="P86" s="13">
        <f t="shared" si="87"/>
        <v>2.8416956338469711E-12</v>
      </c>
      <c r="Q86" s="20">
        <f t="shared" si="54"/>
        <v>5.3075956424674458E-12</v>
      </c>
      <c r="R86" s="59">
        <f t="shared" si="55"/>
        <v>271.88474547710877</v>
      </c>
      <c r="S86" s="59">
        <f ca="1">AVERAGE(OFFSET($R$3,0,0,'Données projet'!$E$9+1,1))-AVERAGE(OFFSET($H$3,0,0,'Données projet'!$E$9+1,1))</f>
        <v>446.05900197653546</v>
      </c>
      <c r="T86" s="59">
        <f t="shared" si="88"/>
        <v>630.54710489646106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1.1531506989436988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4.9738397375125338E-8</v>
      </c>
      <c r="AC86" s="22">
        <f t="shared" si="57"/>
        <v>1.1531507486820962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394.69391436029986</v>
      </c>
      <c r="AO86" s="59">
        <f t="shared" si="90"/>
        <v>311.37245656657353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2.6181070793216614</v>
      </c>
      <c r="AV86" s="21">
        <f>EXP(-LN(2)/25)*AV85+(1-EXP(-LN(2)/25))/(LN(2)/25)*Calculateur!AQ86*Calculateur!AS86*VLOOKUP('Données projet'!$B$10,Paramètres!$A$1:$I$89,3,0)*0.475*44/12</f>
        <v>1.5282542464974074</v>
      </c>
      <c r="AW86" s="21">
        <f>EXP(-LN(2)/2)*AW85+(1-EXP(-LN(2)/2))/(LN(2)/2)*AQ86*AT86*VLOOKUP('Données projet'!$B$10,Paramètres!$A$1:$I$89,3,0)*0.475*44/12</f>
        <v>8.3480615885190178E-8</v>
      </c>
      <c r="AX86" s="21">
        <f t="shared" si="60"/>
        <v>4.1463614092996846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465.99999999999989</v>
      </c>
      <c r="BE86" s="13">
        <f>BD86*VLOOKUP('Données projet'!$B$11,Paramètres!$A$1:$I$89,3,0)*VLOOKUP('Données projet'!$B$11,Paramètres!$A$1:$I$89,5,0)</f>
        <v>218.08799999999997</v>
      </c>
      <c r="BF86" s="13">
        <f t="shared" si="91"/>
        <v>53.699111087780629</v>
      </c>
      <c r="BG86" s="20">
        <f t="shared" si="61"/>
        <v>473.36255181121783</v>
      </c>
      <c r="BH86" s="59">
        <f t="shared" si="62"/>
        <v>745.24729728832131</v>
      </c>
      <c r="BI86" s="59">
        <f ca="1">AVERAGE(OFFSET($BH$3,0,0,'Données projet'!$E$11+1,1))-AVERAGE(OFFSET($H$3,0,0,'Données projet'!$E$11+1,1))</f>
        <v>349.17860987804869</v>
      </c>
      <c r="BJ86" s="59">
        <f t="shared" si="92"/>
        <v>273.69433466447049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3.177291512946113</v>
      </c>
      <c r="BQ86" s="21">
        <f>EXP(-LN(2)/25)*BQ85+(1-EXP(-LN(2)/25))/(LN(2)/25)*Calculateur!BL86*Calculateur!BN86*VLOOKUP('Données projet'!$B$11,Paramètres!$A$1:$I$89,3,0)*0.475*44/12</f>
        <v>2.5653267878903967</v>
      </c>
      <c r="BR86" s="21">
        <f>EXP(-LN(2)/2)*BR85+(1-EXP(-LN(2)/2))/(LN(2)/2)*BL86*BO86*VLOOKUP('Données projet'!$B$11,Paramètres!$A$1:$I$89,3,0)*0.475*44/12</f>
        <v>1.1635826750701407E-7</v>
      </c>
      <c r="BS86" s="22">
        <f t="shared" si="63"/>
        <v>5.7426184171947776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2.0572770154103635E-13</v>
      </c>
      <c r="P87" s="13">
        <f t="shared" si="87"/>
        <v>2.8416956338469711E-12</v>
      </c>
      <c r="Q87" s="20">
        <f t="shared" si="54"/>
        <v>5.3075956424674458E-12</v>
      </c>
      <c r="R87" s="59">
        <f t="shared" si="55"/>
        <v>272.2568305245556</v>
      </c>
      <c r="S87" s="59">
        <f ca="1">AVERAGE(OFFSET($R$3,0,0,'Données projet'!$E$9+1,1))-AVERAGE(OFFSET($H$3,0,0,'Données projet'!$E$9+1,1))</f>
        <v>446.05900197653546</v>
      </c>
      <c r="T87" s="59">
        <f t="shared" si="88"/>
        <v>630.54710489646106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1.1305381170898889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3.5170358069302302E-8</v>
      </c>
      <c r="AC87" s="22">
        <f t="shared" si="57"/>
        <v>1.1305381522602469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394.69391436029986</v>
      </c>
      <c r="AO87" s="59">
        <f t="shared" si="90"/>
        <v>311.37245656657353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2.5667675963838024</v>
      </c>
      <c r="AV87" s="21">
        <f>EXP(-LN(2)/25)*AV86+(1-EXP(-LN(2)/25))/(LN(2)/25)*Calculateur!AQ87*Calculateur!AS87*VLOOKUP('Données projet'!$B$10,Paramètres!$A$1:$I$89,3,0)*0.475*44/12</f>
        <v>1.4864640537595377</v>
      </c>
      <c r="AW87" s="21">
        <f>EXP(-LN(2)/2)*AW86+(1-EXP(-LN(2)/2))/(LN(2)/2)*AQ87*AT87*VLOOKUP('Données projet'!$B$10,Paramètres!$A$1:$I$89,3,0)*0.475*44/12</f>
        <v>5.9029709590047396E-8</v>
      </c>
      <c r="AX87" s="21">
        <f t="shared" si="60"/>
        <v>4.0532317091730503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483.49999999999989</v>
      </c>
      <c r="BE87" s="13">
        <f>BD87*VLOOKUP('Données projet'!$B$11,Paramètres!$A$1:$I$89,3,0)*VLOOKUP('Données projet'!$B$11,Paramètres!$A$1:$I$89,5,0)</f>
        <v>226.27799999999993</v>
      </c>
      <c r="BF87" s="13">
        <f t="shared" si="91"/>
        <v>55.477135539319008</v>
      </c>
      <c r="BG87" s="20">
        <f t="shared" si="61"/>
        <v>490.72352773098049</v>
      </c>
      <c r="BH87" s="59">
        <f t="shared" si="62"/>
        <v>762.98035825553075</v>
      </c>
      <c r="BI87" s="59">
        <f ca="1">AVERAGE(OFFSET($BH$3,0,0,'Données projet'!$E$11+1,1))-AVERAGE(OFFSET($H$3,0,0,'Données projet'!$E$11+1,1))</f>
        <v>349.17860987804869</v>
      </c>
      <c r="BJ87" s="59">
        <f t="shared" si="92"/>
        <v>273.69433466447049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3.1149867643337052</v>
      </c>
      <c r="BQ87" s="21">
        <f>EXP(-LN(2)/25)*BQ86+(1-EXP(-LN(2)/25))/(LN(2)/25)*Calculateur!BL87*Calculateur!BN87*VLOOKUP('Données projet'!$B$11,Paramètres!$A$1:$I$89,3,0)*0.475*44/12</f>
        <v>2.4951777919708613</v>
      </c>
      <c r="BR87" s="21">
        <f>EXP(-LN(2)/2)*BR86+(1-EXP(-LN(2)/2))/(LN(2)/2)*BL87*BO87*VLOOKUP('Données projet'!$B$11,Paramètres!$A$1:$I$89,3,0)*0.475*44/12</f>
        <v>8.227772000132797E-8</v>
      </c>
      <c r="BS87" s="22">
        <f t="shared" si="63"/>
        <v>5.6101646385822859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2.0572770154103635E-13</v>
      </c>
      <c r="P88" s="13">
        <f t="shared" si="87"/>
        <v>2.8416956338469711E-12</v>
      </c>
      <c r="Q88" s="20">
        <f t="shared" si="54"/>
        <v>5.3075956424674458E-12</v>
      </c>
      <c r="R88" s="59">
        <f t="shared" si="55"/>
        <v>272.6224607282868</v>
      </c>
      <c r="S88" s="59">
        <f ca="1">AVERAGE(OFFSET($R$3,0,0,'Données projet'!$E$9+1,1))-AVERAGE(OFFSET($H$3,0,0,'Données projet'!$E$9+1,1))</f>
        <v>446.05900197653546</v>
      </c>
      <c r="T88" s="59">
        <f t="shared" si="88"/>
        <v>630.54710489646106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1.1083689541739192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2.4869198687562669E-8</v>
      </c>
      <c r="AC88" s="22">
        <f t="shared" si="57"/>
        <v>1.1083689790431179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394.69391436029986</v>
      </c>
      <c r="AO88" s="59">
        <f t="shared" si="90"/>
        <v>311.37245656657353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2.5164348493923621</v>
      </c>
      <c r="AV88" s="21">
        <f>EXP(-LN(2)/25)*AV87+(1-EXP(-LN(2)/25))/(LN(2)/25)*Calculateur!AQ88*Calculateur!AS88*VLOOKUP('Données projet'!$B$10,Paramètres!$A$1:$I$89,3,0)*0.475*44/12</f>
        <v>1.4458166160397359</v>
      </c>
      <c r="AW88" s="21">
        <f>EXP(-LN(2)/2)*AW87+(1-EXP(-LN(2)/2))/(LN(2)/2)*AQ88*AT88*VLOOKUP('Données projet'!$B$10,Paramètres!$A$1:$I$89,3,0)*0.475*44/12</f>
        <v>4.1740307942595096E-8</v>
      </c>
      <c r="AX88" s="21">
        <f t="shared" si="60"/>
        <v>3.962251507172406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500.99999999999989</v>
      </c>
      <c r="BE88" s="13">
        <f>BD88*VLOOKUP('Données projet'!$B$11,Paramètres!$A$1:$I$89,3,0)*VLOOKUP('Données projet'!$B$11,Paramètres!$A$1:$I$89,5,0)</f>
        <v>234.46799999999996</v>
      </c>
      <c r="BF88" s="13">
        <f t="shared" si="91"/>
        <v>57.247683153605394</v>
      </c>
      <c r="BG88" s="20">
        <f t="shared" si="61"/>
        <v>508.0714814925293</v>
      </c>
      <c r="BH88" s="59">
        <f t="shared" si="62"/>
        <v>780.69394222081087</v>
      </c>
      <c r="BI88" s="59">
        <f ca="1">AVERAGE(OFFSET($BH$3,0,0,'Données projet'!$E$11+1,1))-AVERAGE(OFFSET($H$3,0,0,'Données projet'!$E$11+1,1))</f>
        <v>349.17860987804869</v>
      </c>
      <c r="BJ88" s="59">
        <f t="shared" si="92"/>
        <v>273.69433466447049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3.0539037738394428</v>
      </c>
      <c r="BQ88" s="21">
        <f>EXP(-LN(2)/25)*BQ87+(1-EXP(-LN(2)/25))/(LN(2)/25)*Calculateur!BL88*Calculateur!BN88*VLOOKUP('Données projet'!$B$11,Paramètres!$A$1:$I$89,3,0)*0.475*44/12</f>
        <v>2.426947024033721</v>
      </c>
      <c r="BR88" s="21">
        <f>EXP(-LN(2)/2)*BR87+(1-EXP(-LN(2)/2))/(LN(2)/2)*BL88*BO88*VLOOKUP('Données projet'!$B$11,Paramètres!$A$1:$I$89,3,0)*0.475*44/12</f>
        <v>5.8179133753507044E-8</v>
      </c>
      <c r="BS88" s="22">
        <f t="shared" si="63"/>
        <v>5.4808508560522968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2.0572770154103635E-13</v>
      </c>
      <c r="P89" s="13">
        <f t="shared" si="87"/>
        <v>2.8416956338469711E-12</v>
      </c>
      <c r="Q89" s="20">
        <f t="shared" si="54"/>
        <v>5.3075956424674458E-12</v>
      </c>
      <c r="R89" s="59">
        <f t="shared" si="55"/>
        <v>272.98174806540999</v>
      </c>
      <c r="S89" s="59">
        <f ca="1">AVERAGE(OFFSET($R$3,0,0,'Données projet'!$E$9+1,1))-AVERAGE(OFFSET($H$3,0,0,'Données projet'!$E$9+1,1))</f>
        <v>446.05900197653546</v>
      </c>
      <c r="T89" s="59">
        <f t="shared" si="88"/>
        <v>630.54710489646106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1.0866345150208774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1.7585179034651151E-8</v>
      </c>
      <c r="AC89" s="22">
        <f t="shared" si="57"/>
        <v>1.0866345326060565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394.69391436029986</v>
      </c>
      <c r="AO89" s="59">
        <f t="shared" si="90"/>
        <v>311.37245656657353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2.4670890968694796</v>
      </c>
      <c r="AV89" s="21">
        <f>EXP(-LN(2)/25)*AV88+(1-EXP(-LN(2)/25))/(LN(2)/25)*Calculateur!AQ89*Calculateur!AS89*VLOOKUP('Données projet'!$B$10,Paramètres!$A$1:$I$89,3,0)*0.475*44/12</f>
        <v>1.406280684641938</v>
      </c>
      <c r="AW89" s="21">
        <f>EXP(-LN(2)/2)*AW88+(1-EXP(-LN(2)/2))/(LN(2)/2)*AQ89*AT89*VLOOKUP('Données projet'!$B$10,Paramètres!$A$1:$I$89,3,0)*0.475*44/12</f>
        <v>2.9514854795023705E-8</v>
      </c>
      <c r="AX89" s="21">
        <f t="shared" si="60"/>
        <v>3.8733698110262726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518.49999999999989</v>
      </c>
      <c r="BE89" s="13">
        <f>BD89*VLOOKUP('Données projet'!$B$11,Paramètres!$A$1:$I$89,3,0)*VLOOKUP('Données projet'!$B$11,Paramètres!$A$1:$I$89,5,0)</f>
        <v>242.65799999999993</v>
      </c>
      <c r="BF89" s="13">
        <f t="shared" si="91"/>
        <v>59.011045025839607</v>
      </c>
      <c r="BG89" s="20">
        <f t="shared" si="61"/>
        <v>525.40692008667054</v>
      </c>
      <c r="BH89" s="59">
        <f t="shared" si="62"/>
        <v>798.3886681520753</v>
      </c>
      <c r="BI89" s="59">
        <f ca="1">AVERAGE(OFFSET($BH$3,0,0,'Données projet'!$E$11+1,1))-AVERAGE(OFFSET($H$3,0,0,'Données projet'!$E$11+1,1))</f>
        <v>349.17860987804869</v>
      </c>
      <c r="BJ89" s="59">
        <f t="shared" si="92"/>
        <v>273.69433466447049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2.9940185835318274</v>
      </c>
      <c r="BQ89" s="21">
        <f>EXP(-LN(2)/25)*BQ88+(1-EXP(-LN(2)/25))/(LN(2)/25)*Calculateur!BL89*Calculateur!BN89*VLOOKUP('Données projet'!$B$11,Paramètres!$A$1:$I$89,3,0)*0.475*44/12</f>
        <v>2.3605820300339215</v>
      </c>
      <c r="BR89" s="21">
        <f>EXP(-LN(2)/2)*BR88+(1-EXP(-LN(2)/2))/(LN(2)/2)*BL89*BO89*VLOOKUP('Données projet'!$B$11,Paramètres!$A$1:$I$89,3,0)*0.475*44/12</f>
        <v>4.1138860000663991E-8</v>
      </c>
      <c r="BS89" s="22">
        <f t="shared" si="63"/>
        <v>5.3546006547046092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2.0572770154103635E-13</v>
      </c>
      <c r="P90" s="13">
        <f t="shared" si="87"/>
        <v>2.8416956338469711E-12</v>
      </c>
      <c r="Q90" s="20">
        <f t="shared" si="54"/>
        <v>5.3075956424674458E-12</v>
      </c>
      <c r="R90" s="59">
        <f t="shared" si="55"/>
        <v>273.33480257048012</v>
      </c>
      <c r="S90" s="59">
        <f ca="1">AVERAGE(OFFSET($R$3,0,0,'Données projet'!$E$9+1,1))-AVERAGE(OFFSET($H$3,0,0,'Données projet'!$E$9+1,1))</f>
        <v>446.05900197653546</v>
      </c>
      <c r="T90" s="59">
        <f t="shared" si="88"/>
        <v>630.54710489646106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1.065326274962928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1.2434599343781335E-8</v>
      </c>
      <c r="AC90" s="22">
        <f t="shared" si="57"/>
        <v>1.0653262873975273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394.69391436029986</v>
      </c>
      <c r="AO90" s="59">
        <f t="shared" si="90"/>
        <v>311.37245656657353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2.4187109844556338</v>
      </c>
      <c r="AV90" s="21">
        <f>EXP(-LN(2)/25)*AV89+(1-EXP(-LN(2)/25))/(LN(2)/25)*Calculateur!AQ90*Calculateur!AS90*VLOOKUP('Données projet'!$B$10,Paramètres!$A$1:$I$89,3,0)*0.475*44/12</f>
        <v>1.3678258653673172</v>
      </c>
      <c r="AW90" s="21">
        <f>EXP(-LN(2)/2)*AW89+(1-EXP(-LN(2)/2))/(LN(2)/2)*AQ90*AT90*VLOOKUP('Données projet'!$B$10,Paramètres!$A$1:$I$89,3,0)*0.475*44/12</f>
        <v>2.0870153971297551E-8</v>
      </c>
      <c r="AX90" s="21">
        <f t="shared" si="60"/>
        <v>3.7865368706931051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535.99999999999989</v>
      </c>
      <c r="BE90" s="13">
        <f>BD90*VLOOKUP('Données projet'!$B$11,Paramètres!$A$1:$I$89,3,0)*VLOOKUP('Données projet'!$B$11,Paramètres!$A$1:$I$89,5,0)</f>
        <v>250.84799999999996</v>
      </c>
      <c r="BF90" s="13">
        <f t="shared" si="91"/>
        <v>60.767491486783541</v>
      </c>
      <c r="BG90" s="20">
        <f t="shared" si="61"/>
        <v>542.7303143394812</v>
      </c>
      <c r="BH90" s="59">
        <f t="shared" si="62"/>
        <v>816.06511690995603</v>
      </c>
      <c r="BI90" s="59">
        <f ca="1">AVERAGE(OFFSET($BH$3,0,0,'Données projet'!$E$11+1,1))-AVERAGE(OFFSET($H$3,0,0,'Données projet'!$E$11+1,1))</f>
        <v>349.17860987804869</v>
      </c>
      <c r="BJ90" s="59">
        <f t="shared" si="92"/>
        <v>273.69433466447049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2.9353077052797847</v>
      </c>
      <c r="BQ90" s="21">
        <f>EXP(-LN(2)/25)*BQ89+(1-EXP(-LN(2)/25))/(LN(2)/25)*Calculateur!BL90*Calculateur!BN90*VLOOKUP('Données projet'!$B$11,Paramètres!$A$1:$I$89,3,0)*0.475*44/12</f>
        <v>2.29603179028503</v>
      </c>
      <c r="BR90" s="21">
        <f>EXP(-LN(2)/2)*BR89+(1-EXP(-LN(2)/2))/(LN(2)/2)*BL90*BO90*VLOOKUP('Données projet'!$B$11,Paramètres!$A$1:$I$89,3,0)*0.475*44/12</f>
        <v>2.9089566876753529E-8</v>
      </c>
      <c r="BS90" s="22">
        <f t="shared" si="63"/>
        <v>5.2313395246543815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2.0572770154103635E-13</v>
      </c>
      <c r="P91" s="13">
        <f t="shared" si="87"/>
        <v>2.8416956338469711E-12</v>
      </c>
      <c r="Q91" s="20">
        <f t="shared" si="54"/>
        <v>5.3075956424674458E-12</v>
      </c>
      <c r="R91" s="59">
        <f t="shared" si="55"/>
        <v>273.68173236919898</v>
      </c>
      <c r="S91" s="59">
        <f ca="1">AVERAGE(OFFSET($R$3,0,0,'Données projet'!$E$9+1,1))-AVERAGE(OFFSET($H$3,0,0,'Données projet'!$E$9+1,1))</f>
        <v>446.05900197653546</v>
      </c>
      <c r="T91" s="59">
        <f t="shared" si="88"/>
        <v>630.54710489646106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1.0444358764957717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8.7925895173255754E-9</v>
      </c>
      <c r="AC91" s="22">
        <f t="shared" si="57"/>
        <v>1.0444358852883613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394.69391436029986</v>
      </c>
      <c r="AO91" s="59">
        <f t="shared" si="90"/>
        <v>311.37245656657353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2.3712815373184886</v>
      </c>
      <c r="AV91" s="21">
        <f>EXP(-LN(2)/25)*AV90+(1-EXP(-LN(2)/25))/(LN(2)/25)*Calculateur!AQ91*Calculateur!AS91*VLOOKUP('Données projet'!$B$10,Paramètres!$A$1:$I$89,3,0)*0.475*44/12</f>
        <v>1.3304225951480118</v>
      </c>
      <c r="AW91" s="21">
        <f>EXP(-LN(2)/2)*AW90+(1-EXP(-LN(2)/2))/(LN(2)/2)*AQ91*AT91*VLOOKUP('Données projet'!$B$10,Paramètres!$A$1:$I$89,3,0)*0.475*44/12</f>
        <v>1.4757427397511854E-8</v>
      </c>
      <c r="AX91" s="21">
        <f t="shared" si="60"/>
        <v>3.7017041472239276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553.49999999999989</v>
      </c>
      <c r="BE91" s="13">
        <f>BD91*VLOOKUP('Données projet'!$B$11,Paramètres!$A$1:$I$89,3,0)*VLOOKUP('Données projet'!$B$11,Paramètres!$A$1:$I$89,5,0)</f>
        <v>259.03799999999995</v>
      </c>
      <c r="BF91" s="13">
        <f t="shared" si="91"/>
        <v>62.517274213025487</v>
      </c>
      <c r="BG91" s="20">
        <f t="shared" si="61"/>
        <v>560.04210258768592</v>
      </c>
      <c r="BH91" s="59">
        <f t="shared" si="62"/>
        <v>833.72383495687961</v>
      </c>
      <c r="BI91" s="59">
        <f ca="1">AVERAGE(OFFSET($BH$3,0,0,'Données projet'!$E$11+1,1))-AVERAGE(OFFSET($H$3,0,0,'Données projet'!$E$11+1,1))</f>
        <v>349.17860987804869</v>
      </c>
      <c r="BJ91" s="59">
        <f t="shared" si="92"/>
        <v>273.69433466447049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2.8777481115401651</v>
      </c>
      <c r="BQ91" s="21">
        <f>EXP(-LN(2)/25)*BQ90+(1-EXP(-LN(2)/25))/(LN(2)/25)*Calculateur!BL91*Calculateur!BN91*VLOOKUP('Données projet'!$B$11,Paramètres!$A$1:$I$89,3,0)*0.475*44/12</f>
        <v>2.2332466802366215</v>
      </c>
      <c r="BR91" s="21">
        <f>EXP(-LN(2)/2)*BR90+(1-EXP(-LN(2)/2))/(LN(2)/2)*BL91*BO91*VLOOKUP('Données projet'!$B$11,Paramètres!$A$1:$I$89,3,0)*0.475*44/12</f>
        <v>2.0569430000331999E-8</v>
      </c>
      <c r="BS91" s="22">
        <f t="shared" si="63"/>
        <v>5.1109948123462159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2.0572770154103635E-13</v>
      </c>
      <c r="P92" s="13">
        <f t="shared" si="87"/>
        <v>2.8416956338469711E-12</v>
      </c>
      <c r="Q92" s="20">
        <f t="shared" si="54"/>
        <v>5.3075956424674458E-12</v>
      </c>
      <c r="R92" s="59">
        <f t="shared" si="55"/>
        <v>274.02264371152887</v>
      </c>
      <c r="S92" s="59">
        <f ca="1">AVERAGE(OFFSET($R$3,0,0,'Données projet'!$E$9+1,1))-AVERAGE(OFFSET($H$3,0,0,'Données projet'!$E$9+1,1))</f>
        <v>446.05900197653546</v>
      </c>
      <c r="T92" s="59">
        <f t="shared" si="88"/>
        <v>630.54710489646106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1.0239551260006716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6.2172996718906673E-9</v>
      </c>
      <c r="AC92" s="22">
        <f t="shared" si="57"/>
        <v>1.0239551322179712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394.69391436029986</v>
      </c>
      <c r="AO92" s="59">
        <f t="shared" si="90"/>
        <v>311.37245656657353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2.3247821527105965</v>
      </c>
      <c r="AV92" s="21">
        <f>EXP(-LN(2)/25)*AV91+(1-EXP(-LN(2)/25))/(LN(2)/25)*Calculateur!AQ92*Calculateur!AS92*VLOOKUP('Données projet'!$B$10,Paramètres!$A$1:$I$89,3,0)*0.475*44/12</f>
        <v>1.2940421193198057</v>
      </c>
      <c r="AW92" s="21">
        <f>EXP(-LN(2)/2)*AW91+(1-EXP(-LN(2)/2))/(LN(2)/2)*AQ92*AT92*VLOOKUP('Données projet'!$B$10,Paramètres!$A$1:$I$89,3,0)*0.475*44/12</f>
        <v>1.0435076985648777E-8</v>
      </c>
      <c r="AX92" s="21">
        <f t="shared" si="60"/>
        <v>3.618824282465479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570.99999999999989</v>
      </c>
      <c r="BE92" s="13">
        <f>BD92*VLOOKUP('Données projet'!$B$11,Paramètres!$A$1:$I$89,3,0)*VLOOKUP('Données projet'!$B$11,Paramètres!$A$1:$I$89,5,0)</f>
        <v>267.22799999999995</v>
      </c>
      <c r="BF92" s="13">
        <f t="shared" si="91"/>
        <v>64.260628062866161</v>
      </c>
      <c r="BG92" s="20">
        <f t="shared" si="61"/>
        <v>577.34269387615848</v>
      </c>
      <c r="BH92" s="59">
        <f t="shared" si="62"/>
        <v>851.36533758768201</v>
      </c>
      <c r="BI92" s="59">
        <f ca="1">AVERAGE(OFFSET($BH$3,0,0,'Données projet'!$E$11+1,1))-AVERAGE(OFFSET($H$3,0,0,'Données projet'!$E$11+1,1))</f>
        <v>349.17860987804869</v>
      </c>
      <c r="BJ92" s="59">
        <f t="shared" si="92"/>
        <v>273.69433466447049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2.8213172263258937</v>
      </c>
      <c r="BQ92" s="21">
        <f>EXP(-LN(2)/25)*BQ91+(1-EXP(-LN(2)/25))/(LN(2)/25)*Calculateur!BL92*Calculateur!BN92*VLOOKUP('Données projet'!$B$11,Paramètres!$A$1:$I$89,3,0)*0.475*44/12</f>
        <v>2.1721784323242121</v>
      </c>
      <c r="BR92" s="21">
        <f>EXP(-LN(2)/2)*BR91+(1-EXP(-LN(2)/2))/(LN(2)/2)*BL92*BO92*VLOOKUP('Données projet'!$B$11,Paramètres!$A$1:$I$89,3,0)*0.475*44/12</f>
        <v>1.4544783438376766E-8</v>
      </c>
      <c r="BS92" s="22">
        <f t="shared" si="63"/>
        <v>4.9934956731948894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2.0572770154103635E-13</v>
      </c>
      <c r="P93" s="13">
        <f t="shared" si="87"/>
        <v>2.8416956338469711E-12</v>
      </c>
      <c r="Q93" s="20">
        <f t="shared" si="54"/>
        <v>5.3075956424674458E-12</v>
      </c>
      <c r="R93" s="59">
        <f t="shared" si="55"/>
        <v>274.35764100423296</v>
      </c>
      <c r="S93" s="59">
        <f ca="1">AVERAGE(OFFSET($R$3,0,0,'Données projet'!$E$9+1,1))-AVERAGE(OFFSET($H$3,0,0,'Données projet'!$E$9+1,1))</f>
        <v>446.05900197653546</v>
      </c>
      <c r="T93" s="59">
        <f t="shared" si="88"/>
        <v>630.54710489646106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1.0038759905307559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4.3962947586627877E-9</v>
      </c>
      <c r="AC93" s="22">
        <f t="shared" si="57"/>
        <v>1.0038759949270506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394.69391436029986</v>
      </c>
      <c r="AO93" s="59">
        <f t="shared" si="90"/>
        <v>311.37245656657353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2.2791945926730413</v>
      </c>
      <c r="AV93" s="21">
        <f>EXP(-LN(2)/25)*AV92+(1-EXP(-LN(2)/25))/(LN(2)/25)*Calculateur!AQ93*Calculateur!AS93*VLOOKUP('Données projet'!$B$10,Paramètres!$A$1:$I$89,3,0)*0.475*44/12</f>
        <v>1.2586564695162881</v>
      </c>
      <c r="AW93" s="21">
        <f>EXP(-LN(2)/2)*AW92+(1-EXP(-LN(2)/2))/(LN(2)/2)*AQ93*AT93*VLOOKUP('Données projet'!$B$10,Paramètres!$A$1:$I$89,3,0)*0.475*44/12</f>
        <v>7.3787136987559286E-9</v>
      </c>
      <c r="AX93" s="21">
        <f t="shared" si="60"/>
        <v>3.5378510695680427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588.5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588.49999999999989</v>
      </c>
      <c r="BE93" s="13">
        <f>BD93*VLOOKUP('Données projet'!$B$11,Paramètres!$A$1:$I$89,3,0)*VLOOKUP('Données projet'!$B$11,Paramètres!$A$1:$I$89,5,0)</f>
        <v>275.41799999999995</v>
      </c>
      <c r="BF93" s="13">
        <f t="shared" si="91"/>
        <v>65.997772680817278</v>
      </c>
      <c r="BG93" s="20">
        <f t="shared" si="61"/>
        <v>594.63247075242327</v>
      </c>
      <c r="BH93" s="59">
        <f t="shared" si="62"/>
        <v>868.990111756651</v>
      </c>
      <c r="BI93" s="59">
        <f ca="1">AVERAGE(OFFSET($BH$3,0,0,'Données projet'!$E$11+1,1))-AVERAGE(OFFSET($H$3,0,0,'Données projet'!$E$11+1,1))</f>
        <v>349.17860987804869</v>
      </c>
      <c r="BJ93" s="59">
        <f t="shared" si="92"/>
        <v>273.69433466447049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98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2.7659929163512329</v>
      </c>
      <c r="BQ93" s="21">
        <f>EXP(-LN(2)/25)*BQ92+(1-EXP(-LN(2)/25))/(LN(2)/25)*Calculateur!BL93*Calculateur!BN93*VLOOKUP('Données projet'!$B$11,Paramètres!$A$1:$I$89,3,0)*0.475*44/12</f>
        <v>2.1127800988624075</v>
      </c>
      <c r="BR93" s="21">
        <f>EXP(-LN(2)/2)*BR92+(1-EXP(-LN(2)/2))/(LN(2)/2)*BL93*BO93*VLOOKUP('Données projet'!$B$11,Paramètres!$A$1:$I$89,3,0)*0.475*44/12</f>
        <v>1.0284715000166001E-8</v>
      </c>
      <c r="BS93" s="22">
        <f t="shared" si="63"/>
        <v>4.8787730254983561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2.0572770154103635E-13</v>
      </c>
      <c r="P94" s="13">
        <f t="shared" si="87"/>
        <v>2.8416956338469711E-12</v>
      </c>
      <c r="Q94" s="20">
        <f t="shared" si="54"/>
        <v>5.3075956424674458E-12</v>
      </c>
      <c r="R94" s="59">
        <f t="shared" si="55"/>
        <v>274.68682684285034</v>
      </c>
      <c r="S94" s="59">
        <f ca="1">AVERAGE(OFFSET($R$3,0,0,'Données projet'!$E$9+1,1))-AVERAGE(OFFSET($H$3,0,0,'Données projet'!$E$9+1,1))</f>
        <v>446.05900197653546</v>
      </c>
      <c r="T94" s="59">
        <f t="shared" si="88"/>
        <v>630.54710489646106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0.98419059466034209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3.1086498359453336E-9</v>
      </c>
      <c r="AC94" s="22">
        <f t="shared" si="57"/>
        <v>0.98419059776899187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394.69391436029986</v>
      </c>
      <c r="AO94" s="59">
        <f t="shared" si="90"/>
        <v>311.37245656657353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2.2345009768821562</v>
      </c>
      <c r="AV94" s="21">
        <f>EXP(-LN(2)/25)*AV93+(1-EXP(-LN(2)/25))/(LN(2)/25)*Calculateur!AQ94*Calculateur!AS94*VLOOKUP('Données projet'!$B$10,Paramètres!$A$1:$I$89,3,0)*0.475*44/12</f>
        <v>1.2242384421674981</v>
      </c>
      <c r="AW94" s="21">
        <f>EXP(-LN(2)/2)*AW93+(1-EXP(-LN(2)/2))/(LN(2)/2)*AQ94*AT94*VLOOKUP('Données projet'!$B$10,Paramètres!$A$1:$I$89,3,0)*0.475*44/12</f>
        <v>5.2175384928243894E-9</v>
      </c>
      <c r="AX94" s="21">
        <f t="shared" si="60"/>
        <v>3.4587394242671925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508.99999999999989</v>
      </c>
      <c r="BE94" s="13">
        <f>BD94*VLOOKUP('Données projet'!$B$11,Paramètres!$A$1:$I$89,3,0)*VLOOKUP('Données projet'!$B$11,Paramètres!$A$1:$I$89,5,0)</f>
        <v>238.21199999999993</v>
      </c>
      <c r="BF94" s="13">
        <f t="shared" si="91"/>
        <v>58.054666307163771</v>
      </c>
      <c r="BG94" s="20">
        <f t="shared" si="61"/>
        <v>515.99777715164339</v>
      </c>
      <c r="BH94" s="59">
        <f t="shared" si="62"/>
        <v>790.6846039944885</v>
      </c>
      <c r="BI94" s="59">
        <f ca="1">AVERAGE(OFFSET($BH$3,0,0,'Données projet'!$E$11+1,1))-AVERAGE(OFFSET($H$3,0,0,'Données projet'!$E$11+1,1))</f>
        <v>349.17860987804869</v>
      </c>
      <c r="BJ94" s="59">
        <f t="shared" si="92"/>
        <v>273.69433466447049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2.7117534823506779</v>
      </c>
      <c r="BQ94" s="21">
        <f>EXP(-LN(2)/25)*BQ93+(1-EXP(-LN(2)/25))/(LN(2)/25)*Calculateur!BL94*Calculateur!BN94*VLOOKUP('Données projet'!$B$11,Paramètres!$A$1:$I$89,3,0)*0.475*44/12</f>
        <v>2.0550060159527384</v>
      </c>
      <c r="BR94" s="21">
        <f>EXP(-LN(2)/2)*BR93+(1-EXP(-LN(2)/2))/(LN(2)/2)*BL94*BO94*VLOOKUP('Données projet'!$B$11,Paramètres!$A$1:$I$89,3,0)*0.475*44/12</f>
        <v>7.2723917191883838E-9</v>
      </c>
      <c r="BS94" s="22">
        <f t="shared" si="63"/>
        <v>4.7667595055758083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2.0572770154103635E-13</v>
      </c>
      <c r="P95" s="13">
        <f t="shared" si="87"/>
        <v>2.8416956338469711E-12</v>
      </c>
      <c r="Q95" s="20">
        <f t="shared" si="54"/>
        <v>5.3075956424674458E-12</v>
      </c>
      <c r="R95" s="59">
        <f t="shared" si="55"/>
        <v>275.01030204311701</v>
      </c>
      <c r="S95" s="59">
        <f ca="1">AVERAGE(OFFSET($R$3,0,0,'Données projet'!$E$9+1,1))-AVERAGE(OFFSET($H$3,0,0,'Données projet'!$E$9+1,1))</f>
        <v>446.05900197653546</v>
      </c>
      <c r="T95" s="59">
        <f t="shared" si="88"/>
        <v>630.54710489646106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0.96489121739604111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2.1981473793313939E-9</v>
      </c>
      <c r="AC95" s="22">
        <f t="shared" si="57"/>
        <v>0.96489121959418844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394.69391436029986</v>
      </c>
      <c r="AO95" s="59">
        <f t="shared" si="90"/>
        <v>311.37245656657353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2.1906837756365167</v>
      </c>
      <c r="AV95" s="21">
        <f>EXP(-LN(2)/25)*AV94+(1-EXP(-LN(2)/25))/(LN(2)/25)*Calculateur!AQ95*Calculateur!AS95*VLOOKUP('Données projet'!$B$10,Paramètres!$A$1:$I$89,3,0)*0.475*44/12</f>
        <v>1.1907615775865263</v>
      </c>
      <c r="AW95" s="21">
        <f>EXP(-LN(2)/2)*AW94+(1-EXP(-LN(2)/2))/(LN(2)/2)*AQ95*AT95*VLOOKUP('Données projet'!$B$10,Paramètres!$A$1:$I$89,3,0)*0.475*44/12</f>
        <v>3.6893568493779647E-9</v>
      </c>
      <c r="AX95" s="21">
        <f t="shared" si="60"/>
        <v>3.3814453569123999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527.49999999999989</v>
      </c>
      <c r="BE95" s="13">
        <f>BD95*VLOOKUP('Données projet'!$B$11,Paramètres!$A$1:$I$89,3,0)*VLOOKUP('Données projet'!$B$11,Paramètres!$A$1:$I$89,5,0)</f>
        <v>246.86999999999995</v>
      </c>
      <c r="BF95" s="13">
        <f t="shared" si="91"/>
        <v>59.91520778876734</v>
      </c>
      <c r="BG95" s="20">
        <f t="shared" si="61"/>
        <v>534.31757023210309</v>
      </c>
      <c r="BH95" s="59">
        <f t="shared" si="62"/>
        <v>809.32787227521476</v>
      </c>
      <c r="BI95" s="59">
        <f ca="1">AVERAGE(OFFSET($BH$3,0,0,'Données projet'!$E$11+1,1))-AVERAGE(OFFSET($H$3,0,0,'Données projet'!$E$11+1,1))</f>
        <v>349.17860987804869</v>
      </c>
      <c r="BJ95" s="59">
        <f t="shared" si="92"/>
        <v>273.69433466447049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2.6585776505680858</v>
      </c>
      <c r="BQ95" s="21">
        <f>EXP(-LN(2)/25)*BQ94+(1-EXP(-LN(2)/25))/(LN(2)/25)*Calculateur!BL95*Calculateur!BN95*VLOOKUP('Données projet'!$B$11,Paramètres!$A$1:$I$89,3,0)*0.475*44/12</f>
        <v>1.9988117683784412</v>
      </c>
      <c r="BR95" s="21">
        <f>EXP(-LN(2)/2)*BR94+(1-EXP(-LN(2)/2))/(LN(2)/2)*BL95*BO95*VLOOKUP('Données projet'!$B$11,Paramètres!$A$1:$I$89,3,0)*0.475*44/12</f>
        <v>5.1423575000830014E-9</v>
      </c>
      <c r="BS95" s="22">
        <f t="shared" si="63"/>
        <v>4.6573894240888851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2.0572770154103635E-13</v>
      </c>
      <c r="P96" s="13">
        <f t="shared" si="87"/>
        <v>2.8416956338469711E-12</v>
      </c>
      <c r="Q96" s="20">
        <f t="shared" si="54"/>
        <v>5.3075956424674458E-12</v>
      </c>
      <c r="R96" s="59">
        <f t="shared" si="55"/>
        <v>275.32816567184125</v>
      </c>
      <c r="S96" s="59">
        <f ca="1">AVERAGE(OFFSET($R$3,0,0,'Données projet'!$E$9+1,1))-AVERAGE(OFFSET($H$3,0,0,'Données projet'!$E$9+1,1))</f>
        <v>446.05900197653546</v>
      </c>
      <c r="T96" s="59">
        <f t="shared" si="88"/>
        <v>630.54710489646106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0.94597028914843528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1.5543249179726668E-9</v>
      </c>
      <c r="AC96" s="22">
        <f t="shared" si="57"/>
        <v>0.94597029070276017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394.69391436029986</v>
      </c>
      <c r="AO96" s="59">
        <f t="shared" si="90"/>
        <v>311.37245656657353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2.1477258029814505</v>
      </c>
      <c r="AV96" s="21">
        <f>EXP(-LN(2)/25)*AV95+(1-EXP(-LN(2)/25))/(LN(2)/25)*Calculateur!AQ96*Calculateur!AS96*VLOOKUP('Données projet'!$B$10,Paramètres!$A$1:$I$89,3,0)*0.475*44/12</f>
        <v>1.1582001396279928</v>
      </c>
      <c r="AW96" s="21">
        <f>EXP(-LN(2)/2)*AW95+(1-EXP(-LN(2)/2))/(LN(2)/2)*AQ96*AT96*VLOOKUP('Données projet'!$B$10,Paramètres!$A$1:$I$89,3,0)*0.475*44/12</f>
        <v>2.6087692464121951E-9</v>
      </c>
      <c r="AX96" s="21">
        <f t="shared" si="60"/>
        <v>3.3059259452182124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545.99999999999989</v>
      </c>
      <c r="BE96" s="13">
        <f>BD96*VLOOKUP('Données projet'!$B$11,Paramètres!$A$1:$I$89,3,0)*VLOOKUP('Données projet'!$B$11,Paramètres!$A$1:$I$89,5,0)</f>
        <v>255.52799999999993</v>
      </c>
      <c r="BF96" s="13">
        <f t="shared" si="91"/>
        <v>61.768167868721477</v>
      </c>
      <c r="BG96" s="20">
        <f t="shared" si="61"/>
        <v>552.62415903802309</v>
      </c>
      <c r="BH96" s="59">
        <f t="shared" si="62"/>
        <v>827.95232470985911</v>
      </c>
      <c r="BI96" s="59">
        <f ca="1">AVERAGE(OFFSET($BH$3,0,0,'Données projet'!$E$11+1,1))-AVERAGE(OFFSET($H$3,0,0,'Données projet'!$E$11+1,1))</f>
        <v>349.17860987804869</v>
      </c>
      <c r="BJ96" s="59">
        <f t="shared" si="92"/>
        <v>273.69433466447049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2.6064445644126955</v>
      </c>
      <c r="BQ96" s="21">
        <f>EXP(-LN(2)/25)*BQ95+(1-EXP(-LN(2)/25))/(LN(2)/25)*Calculateur!BL96*Calculateur!BN96*VLOOKUP('Données projet'!$B$11,Paramètres!$A$1:$I$89,3,0)*0.475*44/12</f>
        <v>1.9441541554591901</v>
      </c>
      <c r="BR96" s="21">
        <f>EXP(-LN(2)/2)*BR95+(1-EXP(-LN(2)/2))/(LN(2)/2)*BL96*BO96*VLOOKUP('Données projet'!$B$11,Paramètres!$A$1:$I$89,3,0)*0.475*44/12</f>
        <v>3.6361958595941927E-9</v>
      </c>
      <c r="BS96" s="22">
        <f t="shared" si="63"/>
        <v>4.5505987235080818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2.0572770154103635E-13</v>
      </c>
      <c r="P97" s="13">
        <f t="shared" si="87"/>
        <v>2.8416956338469711E-12</v>
      </c>
      <c r="Q97" s="20">
        <f t="shared" si="54"/>
        <v>5.3075956424674458E-12</v>
      </c>
      <c r="R97" s="59">
        <f t="shared" si="55"/>
        <v>275.64051507724378</v>
      </c>
      <c r="S97" s="59">
        <f ca="1">AVERAGE(OFFSET($R$3,0,0,'Données projet'!$E$9+1,1))-AVERAGE(OFFSET($H$3,0,0,'Données projet'!$E$9+1,1))</f>
        <v>446.05900197653546</v>
      </c>
      <c r="T97" s="59">
        <f t="shared" si="88"/>
        <v>630.54710489646106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0.92742038876313837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1.0990736896656969E-9</v>
      </c>
      <c r="AC97" s="22">
        <f t="shared" si="57"/>
        <v>0.92742038986221209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394.69391436029986</v>
      </c>
      <c r="AO97" s="59">
        <f t="shared" si="90"/>
        <v>311.37245656657353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2.1056102099683742</v>
      </c>
      <c r="AV97" s="21">
        <f>EXP(-LN(2)/25)*AV96+(1-EXP(-LN(2)/25))/(LN(2)/25)*Calculateur!AQ97*Calculateur!AS97*VLOOKUP('Données projet'!$B$10,Paramètres!$A$1:$I$89,3,0)*0.475*44/12</f>
        <v>1.1265290959027672</v>
      </c>
      <c r="AW97" s="21">
        <f>EXP(-LN(2)/2)*AW96+(1-EXP(-LN(2)/2))/(LN(2)/2)*AQ97*AT97*VLOOKUP('Données projet'!$B$10,Paramètres!$A$1:$I$89,3,0)*0.475*44/12</f>
        <v>1.8446784246889826E-9</v>
      </c>
      <c r="AX97" s="21">
        <f t="shared" si="60"/>
        <v>3.23213930771582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564.49999999999989</v>
      </c>
      <c r="BE97" s="13">
        <f>BD97*VLOOKUP('Données projet'!$B$11,Paramètres!$A$1:$I$89,3,0)*VLOOKUP('Données projet'!$B$11,Paramètres!$A$1:$I$89,5,0)</f>
        <v>264.18599999999992</v>
      </c>
      <c r="BF97" s="13">
        <f t="shared" si="91"/>
        <v>63.613832873262751</v>
      </c>
      <c r="BG97" s="20">
        <f t="shared" si="61"/>
        <v>570.91804225426574</v>
      </c>
      <c r="BH97" s="59">
        <f t="shared" si="62"/>
        <v>846.55855733150429</v>
      </c>
      <c r="BI97" s="59">
        <f ca="1">AVERAGE(OFFSET($BH$3,0,0,'Données projet'!$E$11+1,1))-AVERAGE(OFFSET($H$3,0,0,'Données projet'!$E$11+1,1))</f>
        <v>349.17860987804869</v>
      </c>
      <c r="BJ97" s="59">
        <f t="shared" si="92"/>
        <v>273.69433466447049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2.5553337762787698</v>
      </c>
      <c r="BQ97" s="21">
        <f>EXP(-LN(2)/25)*BQ96+(1-EXP(-LN(2)/25))/(LN(2)/25)*Calculateur!BL97*Calculateur!BN97*VLOOKUP('Données projet'!$B$11,Paramètres!$A$1:$I$89,3,0)*0.475*44/12</f>
        <v>1.8909911578395349</v>
      </c>
      <c r="BR97" s="21">
        <f>EXP(-LN(2)/2)*BR96+(1-EXP(-LN(2)/2))/(LN(2)/2)*BL97*BO97*VLOOKUP('Données projet'!$B$11,Paramètres!$A$1:$I$89,3,0)*0.475*44/12</f>
        <v>2.5711787500415011E-9</v>
      </c>
      <c r="BS97" s="22">
        <f t="shared" si="63"/>
        <v>4.4463249366894839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2.0572770154103635E-13</v>
      </c>
      <c r="P98" s="13">
        <f t="shared" si="87"/>
        <v>2.8416956338469711E-12</v>
      </c>
      <c r="Q98" s="20">
        <f t="shared" si="54"/>
        <v>5.3075956424674458E-12</v>
      </c>
      <c r="R98" s="59">
        <f t="shared" si="55"/>
        <v>275.94744591877122</v>
      </c>
      <c r="S98" s="59">
        <f ca="1">AVERAGE(OFFSET($R$3,0,0,'Données projet'!$E$9+1,1))-AVERAGE(OFFSET($H$3,0,0,'Données projet'!$E$9+1,1))</f>
        <v>446.05900197653546</v>
      </c>
      <c r="T98" s="59">
        <f t="shared" si="88"/>
        <v>630.54710489646106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0.90923424061007507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7.7716245898633341E-10</v>
      </c>
      <c r="AC98" s="22">
        <f t="shared" si="57"/>
        <v>0.90923424138723752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394.69391436029986</v>
      </c>
      <c r="AO98" s="59">
        <f t="shared" si="90"/>
        <v>311.37245656657353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2.0643204780463087</v>
      </c>
      <c r="AV98" s="21">
        <f>EXP(-LN(2)/25)*AV97+(1-EXP(-LN(2)/25))/(LN(2)/25)*Calculateur!AQ98*Calculateur!AS98*VLOOKUP('Données projet'!$B$10,Paramètres!$A$1:$I$89,3,0)*0.475*44/12</f>
        <v>1.0957240985337156</v>
      </c>
      <c r="AW98" s="21">
        <f>EXP(-LN(2)/2)*AW97+(1-EXP(-LN(2)/2))/(LN(2)/2)*AQ98*AT98*VLOOKUP('Données projet'!$B$10,Paramètres!$A$1:$I$89,3,0)*0.475*44/12</f>
        <v>1.3043846232060978E-9</v>
      </c>
      <c r="AX98" s="21">
        <f t="shared" si="60"/>
        <v>3.1600445778844088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582.99999999999989</v>
      </c>
      <c r="BE98" s="13">
        <f>BD98*VLOOKUP('Données projet'!$B$11,Paramètres!$A$1:$I$89,3,0)*VLOOKUP('Données projet'!$B$11,Paramètres!$A$1:$I$89,5,0)</f>
        <v>272.84399999999994</v>
      </c>
      <c r="BF98" s="13">
        <f t="shared" si="91"/>
        <v>65.452469296244189</v>
      </c>
      <c r="BG98" s="20">
        <f t="shared" si="61"/>
        <v>589.19968402429186</v>
      </c>
      <c r="BH98" s="59">
        <f t="shared" si="62"/>
        <v>865.14712994305773</v>
      </c>
      <c r="BI98" s="59">
        <f ca="1">AVERAGE(OFFSET($BH$3,0,0,'Données projet'!$E$11+1,1))-AVERAGE(OFFSET($H$3,0,0,'Données projet'!$E$11+1,1))</f>
        <v>349.17860987804869</v>
      </c>
      <c r="BJ98" s="59">
        <f t="shared" si="92"/>
        <v>273.69433466447049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2.5052252395256476</v>
      </c>
      <c r="BQ98" s="21">
        <f>EXP(-LN(2)/25)*BQ97+(1-EXP(-LN(2)/25))/(LN(2)/25)*Calculateur!BL98*Calculateur!BN98*VLOOKUP('Données projet'!$B$11,Paramètres!$A$1:$I$89,3,0)*0.475*44/12</f>
        <v>1.8392819051855096</v>
      </c>
      <c r="BR98" s="21">
        <f>EXP(-LN(2)/2)*BR97+(1-EXP(-LN(2)/2))/(LN(2)/2)*BL98*BO98*VLOOKUP('Données projet'!$B$11,Paramètres!$A$1:$I$89,3,0)*0.475*44/12</f>
        <v>1.8180979297970966E-9</v>
      </c>
      <c r="BS98" s="22">
        <f t="shared" si="63"/>
        <v>4.3445071465292546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2.0572770154103635E-13</v>
      </c>
      <c r="P99" s="13">
        <f t="shared" si="87"/>
        <v>2.8416956338469711E-12</v>
      </c>
      <c r="Q99" s="20">
        <f t="shared" ref="Q99:Q130" si="107">(O99+P99)*0.475*44/12</f>
        <v>5.3075956424674458E-12</v>
      </c>
      <c r="R99" s="59">
        <f t="shared" si="55"/>
        <v>276.24905219639271</v>
      </c>
      <c r="S99" s="59">
        <f ca="1">AVERAGE(OFFSET($R$3,0,0,'Données projet'!$E$9+1,1))-AVERAGE(OFFSET($H$3,0,0,'Données projet'!$E$9+1,1))</f>
        <v>446.05900197653546</v>
      </c>
      <c r="T99" s="59">
        <f t="shared" si="88"/>
        <v>630.54710489646106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0.89140471172983826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5.4953684483284846E-10</v>
      </c>
      <c r="AC99" s="22">
        <f t="shared" si="57"/>
        <v>0.89140471227937512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394.69391436029986</v>
      </c>
      <c r="AO99" s="59">
        <f t="shared" si="90"/>
        <v>311.37245656657353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2.0238404125829854</v>
      </c>
      <c r="AV99" s="21">
        <f>EXP(-LN(2)/25)*AV98+(1-EXP(-LN(2)/25))/(LN(2)/25)*Calculateur!AQ99*Calculateur!AS99*VLOOKUP('Données projet'!$B$10,Paramètres!$A$1:$I$89,3,0)*0.475*44/12</f>
        <v>1.065761465437685</v>
      </c>
      <c r="AW99" s="21">
        <f>EXP(-LN(2)/2)*AW98+(1-EXP(-LN(2)/2))/(LN(2)/2)*AQ99*AT99*VLOOKUP('Données projet'!$B$10,Paramètres!$A$1:$I$89,3,0)*0.475*44/12</f>
        <v>9.2233921234449149E-10</v>
      </c>
      <c r="AX99" s="21">
        <f t="shared" si="60"/>
        <v>3.0896018789430095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601.49999999999989</v>
      </c>
      <c r="BE99" s="13">
        <f>BD99*VLOOKUP('Données projet'!$B$11,Paramètres!$A$1:$I$89,3,0)*VLOOKUP('Données projet'!$B$11,Paramètres!$A$1:$I$89,5,0)</f>
        <v>281.50199999999995</v>
      </c>
      <c r="BF99" s="13">
        <f t="shared" si="91"/>
        <v>67.28432575810065</v>
      </c>
      <c r="BG99" s="20">
        <f t="shared" si="61"/>
        <v>607.46951736202516</v>
      </c>
      <c r="BH99" s="59">
        <f t="shared" si="62"/>
        <v>883.71856955841258</v>
      </c>
      <c r="BI99" s="59">
        <f ca="1">AVERAGE(OFFSET($BH$3,0,0,'Données projet'!$E$11+1,1))-AVERAGE(OFFSET($H$3,0,0,'Données projet'!$E$11+1,1))</f>
        <v>349.17860987804869</v>
      </c>
      <c r="BJ99" s="59">
        <f t="shared" si="92"/>
        <v>273.69433466447049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2.4560993006150649</v>
      </c>
      <c r="BQ99" s="21">
        <f>EXP(-LN(2)/25)*BQ98+(1-EXP(-LN(2)/25))/(LN(2)/25)*Calculateur!BL99*Calculateur!BN99*VLOOKUP('Données projet'!$B$11,Paramètres!$A$1:$I$89,3,0)*0.475*44/12</f>
        <v>1.7889866447645801</v>
      </c>
      <c r="BR99" s="21">
        <f>EXP(-LN(2)/2)*BR98+(1-EXP(-LN(2)/2))/(LN(2)/2)*BL99*BO99*VLOOKUP('Données projet'!$B$11,Paramètres!$A$1:$I$89,3,0)*0.475*44/12</f>
        <v>1.2855893750207508E-9</v>
      </c>
      <c r="BS99" s="22">
        <f t="shared" si="63"/>
        <v>4.2450859466652346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2.0572770154103635E-13</v>
      </c>
      <c r="P100" s="13">
        <f t="shared" si="87"/>
        <v>2.8416956338469711E-12</v>
      </c>
      <c r="Q100" s="20">
        <f t="shared" si="107"/>
        <v>5.3075956424674458E-12</v>
      </c>
      <c r="R100" s="59">
        <f t="shared" si="55"/>
        <v>276.5454262793881</v>
      </c>
      <c r="S100" s="59">
        <f ca="1">AVERAGE(OFFSET($R$3,0,0,'Données projet'!$E$9+1,1))-AVERAGE(OFFSET($H$3,0,0,'Données projet'!$E$9+1,1))</f>
        <v>446.05900197653546</v>
      </c>
      <c r="T100" s="59">
        <f t="shared" si="88"/>
        <v>630.54710489646106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0.87392480903600411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3.8858122949316671E-10</v>
      </c>
      <c r="AC100" s="22">
        <f t="shared" si="57"/>
        <v>0.87392480942458539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394.69391436029986</v>
      </c>
      <c r="AO100" s="59">
        <f t="shared" si="90"/>
        <v>311.37245656657353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1.9841541365129958</v>
      </c>
      <c r="AV100" s="21">
        <f>EXP(-LN(2)/25)*AV99+(1-EXP(-LN(2)/25))/(LN(2)/25)*Calculateur!AQ100*Calculateur!AS100*VLOOKUP('Données projet'!$B$10,Paramètres!$A$1:$I$89,3,0)*0.475*44/12</f>
        <v>1.0366181621193318</v>
      </c>
      <c r="AW100" s="21">
        <f>EXP(-LN(2)/2)*AW99+(1-EXP(-LN(2)/2))/(LN(2)/2)*AQ100*AT100*VLOOKUP('Données projet'!$B$10,Paramètres!$A$1:$I$89,3,0)*0.475*44/12</f>
        <v>6.5219231160304899E-10</v>
      </c>
      <c r="AX100" s="21">
        <f t="shared" si="60"/>
        <v>3.0207722992845203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619.99999999999989</v>
      </c>
      <c r="BE100" s="13">
        <f>BD100*VLOOKUP('Données projet'!$B$11,Paramètres!$A$1:$I$89,3,0)*VLOOKUP('Données projet'!$B$11,Paramètres!$A$1:$I$89,5,0)</f>
        <v>290.15999999999997</v>
      </c>
      <c r="BF100" s="13">
        <f t="shared" si="91"/>
        <v>69.109634717039938</v>
      </c>
      <c r="BG100" s="20">
        <f t="shared" si="61"/>
        <v>625.72794713217797</v>
      </c>
      <c r="BH100" s="59">
        <f t="shared" si="62"/>
        <v>902.27337341156078</v>
      </c>
      <c r="BI100" s="59">
        <f ca="1">AVERAGE(OFFSET($BH$3,0,0,'Données projet'!$E$11+1,1))-AVERAGE(OFFSET($H$3,0,0,'Données projet'!$E$11+1,1))</f>
        <v>349.17860987804869</v>
      </c>
      <c r="BJ100" s="59">
        <f t="shared" si="92"/>
        <v>273.69433466447049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2.4079366914026545</v>
      </c>
      <c r="BQ100" s="21">
        <f>EXP(-LN(2)/25)*BQ99+(1-EXP(-LN(2)/25))/(LN(2)/25)*Calculateur!BL100*Calculateur!BN100*VLOOKUP('Données projet'!$B$11,Paramètres!$A$1:$I$89,3,0)*0.475*44/12</f>
        <v>1.7400667108847738</v>
      </c>
      <c r="BR100" s="21">
        <f>EXP(-LN(2)/2)*BR99+(1-EXP(-LN(2)/2))/(LN(2)/2)*BL100*BO100*VLOOKUP('Données projet'!$B$11,Paramètres!$A$1:$I$89,3,0)*0.475*44/12</f>
        <v>9.0904896489854849E-10</v>
      </c>
      <c r="BS100" s="22">
        <f t="shared" si="63"/>
        <v>4.1480034031964772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2.0572770154103635E-13</v>
      </c>
      <c r="P101" s="13">
        <f t="shared" si="87"/>
        <v>2.8416956338469711E-12</v>
      </c>
      <c r="Q101" s="20">
        <f t="shared" si="107"/>
        <v>5.3075956424674458E-12</v>
      </c>
      <c r="R101" s="59">
        <f t="shared" si="55"/>
        <v>276.83665893463666</v>
      </c>
      <c r="S101" s="59">
        <f ca="1">AVERAGE(OFFSET($R$3,0,0,'Données projet'!$E$9+1,1))-AVERAGE(OFFSET($H$3,0,0,'Données projet'!$E$9+1,1))</f>
        <v>446.05900197653546</v>
      </c>
      <c r="T101" s="59">
        <f t="shared" si="88"/>
        <v>630.54710489646106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0.85678767657230814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2.7476842241642423E-10</v>
      </c>
      <c r="AC101" s="22">
        <f t="shared" si="57"/>
        <v>0.85678767684707657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394.69391436029986</v>
      </c>
      <c r="AO101" s="59">
        <f t="shared" si="90"/>
        <v>311.37245656657353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1.9452460841105004</v>
      </c>
      <c r="AV101" s="21">
        <f>EXP(-LN(2)/25)*AV100+(1-EXP(-LN(2)/25))/(LN(2)/25)*Calculateur!AQ101*Calculateur!AS101*VLOOKUP('Données projet'!$B$10,Paramètres!$A$1:$I$89,3,0)*0.475*44/12</f>
        <v>1.0082717839627988</v>
      </c>
      <c r="AW101" s="21">
        <f>EXP(-LN(2)/2)*AW100+(1-EXP(-LN(2)/2))/(LN(2)/2)*AQ101*AT101*VLOOKUP('Données projet'!$B$10,Paramètres!$A$1:$I$89,3,0)*0.475*44/12</f>
        <v>4.611696061722458E-10</v>
      </c>
      <c r="AX101" s="21">
        <f t="shared" si="60"/>
        <v>2.953517868534469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638.49999999999989</v>
      </c>
      <c r="BE101" s="13">
        <f>BD101*VLOOKUP('Données projet'!$B$11,Paramètres!$A$1:$I$89,3,0)*VLOOKUP('Données projet'!$B$11,Paramètres!$A$1:$I$89,5,0)</f>
        <v>298.81799999999993</v>
      </c>
      <c r="BF101" s="13">
        <f t="shared" si="91"/>
        <v>70.928613970256563</v>
      </c>
      <c r="BG101" s="20">
        <f t="shared" si="61"/>
        <v>643.97535266486341</v>
      </c>
      <c r="BH101" s="59">
        <f t="shared" si="62"/>
        <v>920.81201159949478</v>
      </c>
      <c r="BI101" s="59">
        <f ca="1">AVERAGE(OFFSET($BH$3,0,0,'Données projet'!$E$11+1,1))-AVERAGE(OFFSET($H$3,0,0,'Données projet'!$E$11+1,1))</f>
        <v>349.17860987804869</v>
      </c>
      <c r="BJ101" s="59">
        <f t="shared" si="92"/>
        <v>273.69433466447049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2.3607185215806084</v>
      </c>
      <c r="BQ101" s="21">
        <f>EXP(-LN(2)/25)*BQ100+(1-EXP(-LN(2)/25))/(LN(2)/25)*Calculateur!BL101*Calculateur!BN101*VLOOKUP('Données projet'!$B$11,Paramètres!$A$1:$I$89,3,0)*0.475*44/12</f>
        <v>1.6924844951694984</v>
      </c>
      <c r="BR101" s="21">
        <f>EXP(-LN(2)/2)*BR100+(1-EXP(-LN(2)/2))/(LN(2)/2)*BL101*BO101*VLOOKUP('Données projet'!$B$11,Paramètres!$A$1:$I$89,3,0)*0.475*44/12</f>
        <v>6.4279468751037549E-10</v>
      </c>
      <c r="BS101" s="22">
        <f t="shared" si="63"/>
        <v>4.0532030173929012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2.0572770154103635E-13</v>
      </c>
      <c r="P102" s="13">
        <f t="shared" si="87"/>
        <v>2.8416956338469711E-12</v>
      </c>
      <c r="Q102" s="20">
        <f t="shared" si="107"/>
        <v>5.3075956424674458E-12</v>
      </c>
      <c r="R102" s="59">
        <f t="shared" si="55"/>
        <v>277.12283935441542</v>
      </c>
      <c r="S102" s="59">
        <f ca="1">AVERAGE(OFFSET($R$3,0,0,'Données projet'!$E$9+1,1))-AVERAGE(OFFSET($H$3,0,0,'Données projet'!$E$9+1,1))</f>
        <v>446.05900197653546</v>
      </c>
      <c r="T102" s="59">
        <f t="shared" si="88"/>
        <v>630.54710489646106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0.83998659282360655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1.9429061474658335E-10</v>
      </c>
      <c r="AC102" s="22">
        <f t="shared" si="57"/>
        <v>0.83998659301789713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394.69391436029986</v>
      </c>
      <c r="AO102" s="59">
        <f t="shared" si="90"/>
        <v>311.37245656657353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1.9071009948840494</v>
      </c>
      <c r="AV102" s="21">
        <f>EXP(-LN(2)/25)*AV101+(1-EXP(-LN(2)/25))/(LN(2)/25)*Calculateur!AQ102*Calculateur!AS102*VLOOKUP('Données projet'!$B$10,Paramètres!$A$1:$I$89,3,0)*0.475*44/12</f>
        <v>0.98070053900762744</v>
      </c>
      <c r="AW102" s="21">
        <f>EXP(-LN(2)/2)*AW101+(1-EXP(-LN(2)/2))/(LN(2)/2)*AQ102*AT102*VLOOKUP('Données projet'!$B$10,Paramètres!$A$1:$I$89,3,0)*0.475*44/12</f>
        <v>3.2609615580152455E-10</v>
      </c>
      <c r="AX102" s="21">
        <f t="shared" si="60"/>
        <v>2.8878015342177727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656.99999999999989</v>
      </c>
      <c r="BE102" s="13">
        <f>BD102*VLOOKUP('Données projet'!$B$11,Paramètres!$A$1:$I$89,3,0)*VLOOKUP('Données projet'!$B$11,Paramètres!$A$1:$I$89,5,0)</f>
        <v>307.47599999999994</v>
      </c>
      <c r="BF102" s="13">
        <f t="shared" si="91"/>
        <v>72.741467976269988</v>
      </c>
      <c r="BG102" s="20">
        <f t="shared" si="61"/>
        <v>662.21209005867013</v>
      </c>
      <c r="BH102" s="59">
        <f t="shared" si="62"/>
        <v>939.33492941308032</v>
      </c>
      <c r="BI102" s="59">
        <f ca="1">AVERAGE(OFFSET($BH$3,0,0,'Données projet'!$E$11+1,1))-AVERAGE(OFFSET($H$3,0,0,'Données projet'!$E$11+1,1))</f>
        <v>349.17860987804869</v>
      </c>
      <c r="BJ102" s="59">
        <f t="shared" si="92"/>
        <v>273.69433466447049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2.3144262712685331</v>
      </c>
      <c r="BQ102" s="21">
        <f>EXP(-LN(2)/25)*BQ101+(1-EXP(-LN(2)/25))/(LN(2)/25)*Calculateur!BL102*Calculateur!BN102*VLOOKUP('Données projet'!$B$11,Paramètres!$A$1:$I$89,3,0)*0.475*44/12</f>
        <v>1.6462034176451972</v>
      </c>
      <c r="BR102" s="21">
        <f>EXP(-LN(2)/2)*BR101+(1-EXP(-LN(2)/2))/(LN(2)/2)*BL102*BO102*VLOOKUP('Données projet'!$B$11,Paramètres!$A$1:$I$89,3,0)*0.475*44/12</f>
        <v>4.545244824492743E-10</v>
      </c>
      <c r="BS102" s="22">
        <f t="shared" si="63"/>
        <v>3.9606296893682549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2.0572770154103635E-13</v>
      </c>
      <c r="P103" s="13">
        <f t="shared" si="87"/>
        <v>2.8416956338469711E-12</v>
      </c>
      <c r="Q103" s="20">
        <f t="shared" si="107"/>
        <v>5.3075956424674458E-12</v>
      </c>
      <c r="R103" s="59">
        <f t="shared" si="55"/>
        <v>277.40405518371449</v>
      </c>
      <c r="S103" s="59">
        <f ca="1">AVERAGE(OFFSET($R$3,0,0,'Données projet'!$E$9+1,1))-AVERAGE(OFFSET($H$3,0,0,'Données projet'!$E$9+1,1))</f>
        <v>446.05900197653546</v>
      </c>
      <c r="T103" s="59">
        <f t="shared" si="88"/>
        <v>630.54710489646106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0.8235149680795677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1.3738421120821212E-10</v>
      </c>
      <c r="AC103" s="22">
        <f t="shared" si="57"/>
        <v>0.82351496821695191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394.69391436029986</v>
      </c>
      <c r="AO103" s="59">
        <f t="shared" si="90"/>
        <v>311.37245656657353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1.8697039075911219</v>
      </c>
      <c r="AV103" s="21">
        <f>EXP(-LN(2)/25)*AV102+(1-EXP(-LN(2)/25))/(LN(2)/25)*Calculateur!AQ103*Calculateur!AS103*VLOOKUP('Données projet'!$B$10,Paramètres!$A$1:$I$89,3,0)*0.475*44/12</f>
        <v>0.95388323119566398</v>
      </c>
      <c r="AW103" s="21">
        <f>EXP(-LN(2)/2)*AW102+(1-EXP(-LN(2)/2))/(LN(2)/2)*AQ103*AT103*VLOOKUP('Données projet'!$B$10,Paramètres!$A$1:$I$89,3,0)*0.475*44/12</f>
        <v>2.3058480308612295E-10</v>
      </c>
      <c r="AX103" s="21">
        <f t="shared" si="60"/>
        <v>2.8235871390173708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675.5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675.49999999999989</v>
      </c>
      <c r="BE103" s="13">
        <f>BD103*VLOOKUP('Données projet'!$B$11,Paramètres!$A$1:$I$89,3,0)*VLOOKUP('Données projet'!$B$11,Paramètres!$A$1:$I$89,5,0)</f>
        <v>316.13399999999996</v>
      </c>
      <c r="BF103" s="13">
        <f t="shared" si="91"/>
        <v>74.548389024136753</v>
      </c>
      <c r="BG103" s="20">
        <f t="shared" si="61"/>
        <v>680.43849421703806</v>
      </c>
      <c r="BH103" s="59">
        <f t="shared" si="62"/>
        <v>957.8425494007472</v>
      </c>
      <c r="BI103" s="59">
        <f ca="1">AVERAGE(OFFSET($BH$3,0,0,'Données projet'!$E$11+1,1))-AVERAGE(OFFSET($H$3,0,0,'Données projet'!$E$11+1,1))</f>
        <v>349.17860987804869</v>
      </c>
      <c r="BJ103" s="59">
        <f t="shared" si="92"/>
        <v>273.69433466447049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675.5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2.2690417837495929</v>
      </c>
      <c r="BQ103" s="21">
        <f>EXP(-LN(2)/25)*BQ102+(1-EXP(-LN(2)/25))/(LN(2)/25)*Calculateur!BL103*Calculateur!BN103*VLOOKUP('Données projet'!$B$11,Paramètres!$A$1:$I$89,3,0)*0.475*44/12</f>
        <v>1.601187898619614</v>
      </c>
      <c r="BR103" s="21">
        <f>EXP(-LN(2)/2)*BR102+(1-EXP(-LN(2)/2))/(LN(2)/2)*BL103*BO103*VLOOKUP('Données projet'!$B$11,Paramètres!$A$1:$I$89,3,0)*0.475*44/12</f>
        <v>3.213973437551878E-10</v>
      </c>
      <c r="BS103" s="22">
        <f t="shared" si="63"/>
        <v>3.8702296826906037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2.0572770154103635E-13</v>
      </c>
      <c r="P104" s="13">
        <f t="shared" si="87"/>
        <v>2.8416956338469711E-12</v>
      </c>
      <c r="Q104" s="20">
        <f t="shared" si="107"/>
        <v>5.3075956424674458E-12</v>
      </c>
      <c r="R104" s="59">
        <f t="shared" si="55"/>
        <v>277.68039254707969</v>
      </c>
      <c r="S104" s="59">
        <f ca="1">AVERAGE(OFFSET($R$3,0,0,'Données projet'!$E$9+1,1))-AVERAGE(OFFSET($H$3,0,0,'Données projet'!$E$9+1,1))</f>
        <v>446.05900197653546</v>
      </c>
      <c r="T104" s="59">
        <f t="shared" si="88"/>
        <v>630.54710489646106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0.8073663418500604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9.7145307373291676E-11</v>
      </c>
      <c r="AC104" s="22">
        <f t="shared" si="57"/>
        <v>0.80736634194720569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394.69391436029986</v>
      </c>
      <c r="AO104" s="59">
        <f t="shared" si="90"/>
        <v>311.37245656657353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1.8330401543700379</v>
      </c>
      <c r="AV104" s="21">
        <f>EXP(-LN(2)/25)*AV103+(1-EXP(-LN(2)/25))/(LN(2)/25)*Calculateur!AQ104*Calculateur!AS104*VLOOKUP('Données projet'!$B$10,Paramètres!$A$1:$I$89,3,0)*0.475*44/12</f>
        <v>0.9277992440760795</v>
      </c>
      <c r="AW104" s="21">
        <f>EXP(-LN(2)/2)*AW103+(1-EXP(-LN(2)/2))/(LN(2)/2)*AQ104*AT104*VLOOKUP('Données projet'!$B$10,Paramètres!$A$1:$I$89,3,0)*0.475*44/12</f>
        <v>1.630480779007623E-10</v>
      </c>
      <c r="AX104" s="21">
        <f t="shared" si="60"/>
        <v>2.7608393986091655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349.17860987804869</v>
      </c>
      <c r="BJ104" s="59">
        <f t="shared" si="92"/>
        <v>273.69433466447049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2.2245472583490948</v>
      </c>
      <c r="BQ104" s="21">
        <f>EXP(-LN(2)/25)*BQ103+(1-EXP(-LN(2)/25))/(LN(2)/25)*Calculateur!BL104*Calculateur!BN104*VLOOKUP('Données projet'!$B$11,Paramètres!$A$1:$I$89,3,0)*0.475*44/12</f>
        <v>1.5574033313290485</v>
      </c>
      <c r="BR104" s="21">
        <f>EXP(-LN(2)/2)*BR103+(1-EXP(-LN(2)/2))/(LN(2)/2)*BL104*BO104*VLOOKUP('Données projet'!$B$11,Paramètres!$A$1:$I$89,3,0)*0.475*44/12</f>
        <v>2.272622412246372E-10</v>
      </c>
      <c r="BS104" s="22">
        <f t="shared" si="63"/>
        <v>3.7819505899054056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2.0572770154103635E-13</v>
      </c>
      <c r="P105" s="13">
        <f t="shared" si="87"/>
        <v>2.8416956338469711E-12</v>
      </c>
      <c r="Q105" s="20">
        <f t="shared" si="107"/>
        <v>5.3075956424674458E-12</v>
      </c>
      <c r="R105" s="59">
        <f t="shared" si="55"/>
        <v>277.95193607498823</v>
      </c>
      <c r="S105" s="59">
        <f ca="1">AVERAGE(OFFSET($R$3,0,0,'Données projet'!$E$9+1,1))-AVERAGE(OFFSET($H$3,0,0,'Données projet'!$E$9+1,1))</f>
        <v>446.05900197653546</v>
      </c>
      <c r="T105" s="59">
        <f t="shared" si="88"/>
        <v>630.54710489646106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0.79153438033122436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6.8692105604106058E-11</v>
      </c>
      <c r="AC105" s="22">
        <f t="shared" si="57"/>
        <v>0.79153438039991642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394.69391436029986</v>
      </c>
      <c r="AO105" s="59">
        <f t="shared" si="90"/>
        <v>311.37245656657353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1.797095354986938</v>
      </c>
      <c r="AV105" s="21">
        <f>EXP(-LN(2)/25)*AV104+(1-EXP(-LN(2)/25))/(LN(2)/25)*Calculateur!AQ105*Calculateur!AS105*VLOOKUP('Données projet'!$B$10,Paramètres!$A$1:$I$89,3,0)*0.475*44/12</f>
        <v>0.90242852495597736</v>
      </c>
      <c r="AW105" s="21">
        <f>EXP(-LN(2)/2)*AW104+(1-EXP(-LN(2)/2))/(LN(2)/2)*AQ105*AT105*VLOOKUP('Données projet'!$B$10,Paramètres!$A$1:$I$89,3,0)*0.475*44/12</f>
        <v>1.1529240154306149E-10</v>
      </c>
      <c r="AX105" s="21">
        <f t="shared" si="60"/>
        <v>2.6995238800582073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349.17860987804869</v>
      </c>
      <c r="BJ105" s="59">
        <f t="shared" si="92"/>
        <v>273.69433466447049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2.18092524345272</v>
      </c>
      <c r="BQ105" s="21">
        <f>EXP(-LN(2)/25)*BQ104+(1-EXP(-LN(2)/25))/(LN(2)/25)*Calculateur!BL105*Calculateur!BN105*VLOOKUP('Données projet'!$B$11,Paramètres!$A$1:$I$89,3,0)*0.475*44/12</f>
        <v>1.5148160553335739</v>
      </c>
      <c r="BR105" s="21">
        <f>EXP(-LN(2)/2)*BR104+(1-EXP(-LN(2)/2))/(LN(2)/2)*BL105*BO105*VLOOKUP('Données projet'!$B$11,Paramètres!$A$1:$I$89,3,0)*0.475*44/12</f>
        <v>1.6069867187759392E-10</v>
      </c>
      <c r="BS105" s="22">
        <f t="shared" si="63"/>
        <v>3.6957412989469924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2.0572770154103635E-13</v>
      </c>
      <c r="P106" s="13">
        <f t="shared" si="87"/>
        <v>2.8416956338469711E-12</v>
      </c>
      <c r="Q106" s="20">
        <f t="shared" si="107"/>
        <v>5.3075956424674458E-12</v>
      </c>
      <c r="R106" s="59">
        <f t="shared" si="55"/>
        <v>278.21876892976798</v>
      </c>
      <c r="S106" s="59">
        <f ca="1">AVERAGE(OFFSET($R$3,0,0,'Données projet'!$E$9+1,1))-AVERAGE(OFFSET($H$3,0,0,'Données projet'!$E$9+1,1))</f>
        <v>446.05900197653546</v>
      </c>
      <c r="T106" s="59">
        <f t="shared" si="88"/>
        <v>630.54710489646106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0.77601287392122964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4.8572653686645838E-11</v>
      </c>
      <c r="AC106" s="22">
        <f t="shared" si="57"/>
        <v>0.77601287396980234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394.69391436029986</v>
      </c>
      <c r="AO106" s="59">
        <f t="shared" si="90"/>
        <v>311.37245656657353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1.7618554111955778</v>
      </c>
      <c r="AV106" s="21">
        <f>EXP(-LN(2)/25)*AV105+(1-EXP(-LN(2)/25))/(LN(2)/25)*Calculateur!AQ106*Calculateur!AS106*VLOOKUP('Données projet'!$B$10,Paramètres!$A$1:$I$89,3,0)*0.475*44/12</f>
        <v>0.87775156948440258</v>
      </c>
      <c r="AW106" s="21">
        <f>EXP(-LN(2)/2)*AW105+(1-EXP(-LN(2)/2))/(LN(2)/2)*AQ106*AT106*VLOOKUP('Données projet'!$B$10,Paramètres!$A$1:$I$89,3,0)*0.475*44/12</f>
        <v>8.1524038950381162E-11</v>
      </c>
      <c r="AX106" s="21">
        <f t="shared" si="60"/>
        <v>2.6396069807615046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349.17860987804869</v>
      </c>
      <c r="BJ106" s="59">
        <f t="shared" si="92"/>
        <v>273.69433466447049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2.1381586296616613</v>
      </c>
      <c r="BQ106" s="21">
        <f>EXP(-LN(2)/25)*BQ105+(1-EXP(-LN(2)/25))/(LN(2)/25)*Calculateur!BL106*Calculateur!BN106*VLOOKUP('Données projet'!$B$11,Paramètres!$A$1:$I$89,3,0)*0.475*44/12</f>
        <v>1.4733933306397631</v>
      </c>
      <c r="BR106" s="21">
        <f>EXP(-LN(2)/2)*BR105+(1-EXP(-LN(2)/2))/(LN(2)/2)*BL106*BO106*VLOOKUP('Données projet'!$B$11,Paramètres!$A$1:$I$89,3,0)*0.475*44/12</f>
        <v>1.1363112061231861E-10</v>
      </c>
      <c r="BS106" s="22">
        <f t="shared" si="63"/>
        <v>3.6115519604150559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2.0572770154103635E-13</v>
      </c>
      <c r="P107" s="13">
        <f t="shared" si="87"/>
        <v>2.8416956338469711E-12</v>
      </c>
      <c r="Q107" s="20">
        <f t="shared" si="107"/>
        <v>5.3075956424674458E-12</v>
      </c>
      <c r="R107" s="59">
        <f t="shared" si="55"/>
        <v>278.4809728310662</v>
      </c>
      <c r="S107" s="59">
        <f ca="1">AVERAGE(OFFSET($R$3,0,0,'Données projet'!$E$9+1,1))-AVERAGE(OFFSET($H$3,0,0,'Données projet'!$E$9+1,1))</f>
        <v>446.05900197653546</v>
      </c>
      <c r="T107" s="59">
        <f t="shared" si="88"/>
        <v>630.54710489646106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0.76079573478475082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3.4346052802053029E-11</v>
      </c>
      <c r="AC107" s="22">
        <f t="shared" si="57"/>
        <v>0.7607957348190969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394.69391436029986</v>
      </c>
      <c r="AO107" s="59">
        <f t="shared" si="90"/>
        <v>311.37245656657353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1.7273065012077229</v>
      </c>
      <c r="AV107" s="21">
        <f>EXP(-LN(2)/25)*AV106+(1-EXP(-LN(2)/25))/(LN(2)/25)*Calculateur!AQ107*Calculateur!AS107*VLOOKUP('Données projet'!$B$10,Paramètres!$A$1:$I$89,3,0)*0.475*44/12</f>
        <v>0.85374940665790267</v>
      </c>
      <c r="AW107" s="21">
        <f>EXP(-LN(2)/2)*AW106+(1-EXP(-LN(2)/2))/(LN(2)/2)*AQ107*AT107*VLOOKUP('Données projet'!$B$10,Paramètres!$A$1:$I$89,3,0)*0.475*44/12</f>
        <v>5.7646200771530757E-11</v>
      </c>
      <c r="AX107" s="21">
        <f t="shared" si="60"/>
        <v>2.5810559079232718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349.17860987804869</v>
      </c>
      <c r="BJ107" s="59">
        <f t="shared" si="92"/>
        <v>273.69433466447049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2.0962306430819861</v>
      </c>
      <c r="BQ107" s="21">
        <f>EXP(-LN(2)/25)*BQ106+(1-EXP(-LN(2)/25))/(LN(2)/25)*Calculateur!BL107*Calculateur!BN107*VLOOKUP('Données projet'!$B$11,Paramètres!$A$1:$I$89,3,0)*0.475*44/12</f>
        <v>1.4331033125310311</v>
      </c>
      <c r="BR107" s="21">
        <f>EXP(-LN(2)/2)*BR106+(1-EXP(-LN(2)/2))/(LN(2)/2)*BL107*BO107*VLOOKUP('Données projet'!$B$11,Paramètres!$A$1:$I$89,3,0)*0.475*44/12</f>
        <v>8.0349335938796975E-11</v>
      </c>
      <c r="BS107" s="22">
        <f t="shared" si="63"/>
        <v>3.5293339556933669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2.0572770154103635E-13</v>
      </c>
      <c r="P108" s="13">
        <f t="shared" si="87"/>
        <v>2.8416956338469711E-12</v>
      </c>
      <c r="Q108" s="20">
        <f t="shared" si="107"/>
        <v>5.3075956424674458E-12</v>
      </c>
      <c r="R108" s="59">
        <f t="shared" si="55"/>
        <v>278.73862808087705</v>
      </c>
      <c r="S108" s="59">
        <f ca="1">AVERAGE(OFFSET($R$3,0,0,'Données projet'!$E$9+1,1))-AVERAGE(OFFSET($H$3,0,0,'Données projet'!$E$9+1,1))</f>
        <v>446.05900197653546</v>
      </c>
      <c r="T108" s="59">
        <f t="shared" si="88"/>
        <v>630.54710489646106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0.74587699446519995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2.4286326843322919E-11</v>
      </c>
      <c r="AC108" s="22">
        <f t="shared" si="57"/>
        <v>0.7458769944894863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394.69391436029986</v>
      </c>
      <c r="AO108" s="59">
        <f t="shared" si="90"/>
        <v>311.37245656657353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1.6934350742719755</v>
      </c>
      <c r="AV108" s="21">
        <f>EXP(-LN(2)/25)*AV107+(1-EXP(-LN(2)/25))/(LN(2)/25)*Calculateur!AQ108*Calculateur!AS108*VLOOKUP('Données projet'!$B$10,Paramètres!$A$1:$I$89,3,0)*0.475*44/12</f>
        <v>0.83040358423611227</v>
      </c>
      <c r="AW108" s="21">
        <f>EXP(-LN(2)/2)*AW107+(1-EXP(-LN(2)/2))/(LN(2)/2)*AQ108*AT108*VLOOKUP('Données projet'!$B$10,Paramètres!$A$1:$I$89,3,0)*0.475*44/12</f>
        <v>4.0762019475190588E-11</v>
      </c>
      <c r="AX108" s="21">
        <f t="shared" si="60"/>
        <v>2.5238386585488497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349.17860987804869</v>
      </c>
      <c r="BJ108" s="59">
        <f t="shared" si="92"/>
        <v>273.69433466447049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2.0551248387455918</v>
      </c>
      <c r="BQ108" s="21">
        <f>EXP(-LN(2)/25)*BQ107+(1-EXP(-LN(2)/25))/(LN(2)/25)*Calculateur!BL108*Calculateur!BN108*VLOOKUP('Données projet'!$B$11,Paramètres!$A$1:$I$89,3,0)*0.475*44/12</f>
        <v>1.3939150270862422</v>
      </c>
      <c r="BR108" s="21">
        <f>EXP(-LN(2)/2)*BR107+(1-EXP(-LN(2)/2))/(LN(2)/2)*BL108*BO108*VLOOKUP('Données projet'!$B$11,Paramètres!$A$1:$I$89,3,0)*0.475*44/12</f>
        <v>5.6815560306159313E-11</v>
      </c>
      <c r="BS108" s="22">
        <f t="shared" si="63"/>
        <v>3.4490398658886492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2.0572770154103635E-13</v>
      </c>
      <c r="P109" s="13">
        <f t="shared" si="87"/>
        <v>2.8416956338469711E-12</v>
      </c>
      <c r="Q109" s="20">
        <f t="shared" si="107"/>
        <v>5.3075956424674458E-12</v>
      </c>
      <c r="R109" s="59">
        <f t="shared" si="55"/>
        <v>278.99181358813439</v>
      </c>
      <c r="S109" s="59">
        <f ca="1">AVERAGE(OFFSET($R$3,0,0,'Données projet'!$E$9+1,1))-AVERAGE(OFFSET($H$3,0,0,'Données projet'!$E$9+1,1))</f>
        <v>446.05900197653546</v>
      </c>
      <c r="T109" s="59">
        <f t="shared" si="88"/>
        <v>630.54710489646106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0.73125080154378241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1.7173026401026515E-11</v>
      </c>
      <c r="AC109" s="22">
        <f t="shared" si="57"/>
        <v>0.73125080156095545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394.69391436029986</v>
      </c>
      <c r="AO109" s="59">
        <f t="shared" si="90"/>
        <v>311.37245656657353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1.6602278453589077</v>
      </c>
      <c r="AV109" s="21">
        <f>EXP(-LN(2)/25)*AV108+(1-EXP(-LN(2)/25))/(LN(2)/25)*Calculateur!AQ109*Calculateur!AS109*VLOOKUP('Données projet'!$B$10,Paramètres!$A$1:$I$89,3,0)*0.475*44/12</f>
        <v>0.80769615455614918</v>
      </c>
      <c r="AW109" s="21">
        <f>EXP(-LN(2)/2)*AW108+(1-EXP(-LN(2)/2))/(LN(2)/2)*AQ109*AT109*VLOOKUP('Données projet'!$B$10,Paramètres!$A$1:$I$89,3,0)*0.475*44/12</f>
        <v>2.8823100385765382E-11</v>
      </c>
      <c r="AX109" s="21">
        <f t="shared" si="60"/>
        <v>2.46792399994388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349.17860987804869</v>
      </c>
      <c r="BJ109" s="59">
        <f t="shared" si="92"/>
        <v>273.69433466447049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2.0148250941601695</v>
      </c>
      <c r="BQ109" s="21">
        <f>EXP(-LN(2)/25)*BQ108+(1-EXP(-LN(2)/25))/(LN(2)/25)*Calculateur!BL109*Calculateur!BN109*VLOOKUP('Données projet'!$B$11,Paramètres!$A$1:$I$89,3,0)*0.475*44/12</f>
        <v>1.3557983473677635</v>
      </c>
      <c r="BR109" s="21">
        <f>EXP(-LN(2)/2)*BR108+(1-EXP(-LN(2)/2))/(LN(2)/2)*BL109*BO109*VLOOKUP('Données projet'!$B$11,Paramètres!$A$1:$I$89,3,0)*0.475*44/12</f>
        <v>4.0174667969398494E-11</v>
      </c>
      <c r="BS109" s="22">
        <f t="shared" si="63"/>
        <v>3.3706234415681076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2.0572770154103635E-13</v>
      </c>
      <c r="P110" s="13">
        <f t="shared" si="87"/>
        <v>2.8416956338469711E-12</v>
      </c>
      <c r="Q110" s="20">
        <f t="shared" si="107"/>
        <v>5.3075956424674458E-12</v>
      </c>
      <c r="R110" s="59">
        <f t="shared" si="55"/>
        <v>279.24060689287893</v>
      </c>
      <c r="S110" s="59">
        <f ca="1">AVERAGE(OFFSET($R$3,0,0,'Données projet'!$E$9+1,1))-AVERAGE(OFFSET($H$3,0,0,'Données projet'!$E$9+1,1))</f>
        <v>446.05900197653546</v>
      </c>
      <c r="T110" s="59">
        <f t="shared" si="88"/>
        <v>630.54710489646106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0.71691141934445712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1.214316342166146E-11</v>
      </c>
      <c r="AC110" s="22">
        <f t="shared" si="57"/>
        <v>0.7169114193566003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394.69391436029986</v>
      </c>
      <c r="AO110" s="59">
        <f t="shared" si="90"/>
        <v>311.37245656657353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1.6276717899504154</v>
      </c>
      <c r="AV110" s="21">
        <f>EXP(-LN(2)/25)*AV109+(1-EXP(-LN(2)/25))/(LN(2)/25)*Calculateur!AQ110*Calculateur!AS110*VLOOKUP('Données projet'!$B$10,Paramètres!$A$1:$I$89,3,0)*0.475*44/12</f>
        <v>0.78560966073491656</v>
      </c>
      <c r="AW110" s="21">
        <f>EXP(-LN(2)/2)*AW109+(1-EXP(-LN(2)/2))/(LN(2)/2)*AQ110*AT110*VLOOKUP('Données projet'!$B$10,Paramètres!$A$1:$I$89,3,0)*0.475*44/12</f>
        <v>2.0381009737595297E-11</v>
      </c>
      <c r="AX110" s="21">
        <f t="shared" si="60"/>
        <v>2.4132814507057132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349.17860987804869</v>
      </c>
      <c r="BJ110" s="59">
        <f t="shared" si="92"/>
        <v>273.69433466447049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1.97531560298565</v>
      </c>
      <c r="BQ110" s="21">
        <f>EXP(-LN(2)/25)*BQ109+(1-EXP(-LN(2)/25))/(LN(2)/25)*Calculateur!BL110*Calculateur!BN110*VLOOKUP('Données projet'!$B$11,Paramètres!$A$1:$I$89,3,0)*0.475*44/12</f>
        <v>1.3187239702606557</v>
      </c>
      <c r="BR110" s="21">
        <f>EXP(-LN(2)/2)*BR109+(1-EXP(-LN(2)/2))/(LN(2)/2)*BL110*BO110*VLOOKUP('Données projet'!$B$11,Paramètres!$A$1:$I$89,3,0)*0.475*44/12</f>
        <v>2.8407780153079663E-11</v>
      </c>
      <c r="BS110" s="22">
        <f t="shared" si="63"/>
        <v>3.2940395732747136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2.0572770154103635E-13</v>
      </c>
      <c r="P111" s="13">
        <f t="shared" si="87"/>
        <v>2.8416956338469711E-12</v>
      </c>
      <c r="Q111" s="20">
        <f t="shared" si="107"/>
        <v>5.3075956424674458E-12</v>
      </c>
      <c r="R111" s="59">
        <f t="shared" si="55"/>
        <v>279.48508419000461</v>
      </c>
      <c r="S111" s="59">
        <f ca="1">AVERAGE(OFFSET($R$3,0,0,'Données projet'!$E$9+1,1))-AVERAGE(OFFSET($H$3,0,0,'Données projet'!$E$9+1,1))</f>
        <v>446.05900197653546</v>
      </c>
      <c r="T111" s="59">
        <f t="shared" si="88"/>
        <v>630.54710489646106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0.70285322368390102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8.5865132005132573E-12</v>
      </c>
      <c r="AC111" s="22">
        <f t="shared" si="57"/>
        <v>0.70285322369248748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394.69391436029986</v>
      </c>
      <c r="AO111" s="59">
        <f t="shared" si="90"/>
        <v>311.37245656657353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1.5957541389312506</v>
      </c>
      <c r="AV111" s="21">
        <f>EXP(-LN(2)/25)*AV110+(1-EXP(-LN(2)/25))/(LN(2)/25)*Calculateur!AQ111*Calculateur!AS111*VLOOKUP('Données projet'!$B$10,Paramètres!$A$1:$I$89,3,0)*0.475*44/12</f>
        <v>0.76412712324870369</v>
      </c>
      <c r="AW111" s="21">
        <f>EXP(-LN(2)/2)*AW110+(1-EXP(-LN(2)/2))/(LN(2)/2)*AQ111*AT111*VLOOKUP('Données projet'!$B$10,Paramètres!$A$1:$I$89,3,0)*0.475*44/12</f>
        <v>1.4411550192882692E-11</v>
      </c>
      <c r="AX111" s="21">
        <f t="shared" si="60"/>
        <v>2.3598812621943659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349.17860987804869</v>
      </c>
      <c r="BJ111" s="59">
        <f t="shared" si="92"/>
        <v>273.69433466447049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1.9365808688346529</v>
      </c>
      <c r="BQ111" s="21">
        <f>EXP(-LN(2)/25)*BQ110+(1-EXP(-LN(2)/25))/(LN(2)/25)*Calculateur!BL111*Calculateur!BN111*VLOOKUP('Données projet'!$B$11,Paramètres!$A$1:$I$89,3,0)*0.475*44/12</f>
        <v>1.2826633939451983</v>
      </c>
      <c r="BR111" s="21">
        <f>EXP(-LN(2)/2)*BR110+(1-EXP(-LN(2)/2))/(LN(2)/2)*BL111*BO111*VLOOKUP('Données projet'!$B$11,Paramètres!$A$1:$I$89,3,0)*0.475*44/12</f>
        <v>2.008733398469925E-11</v>
      </c>
      <c r="BS111" s="22">
        <f t="shared" si="63"/>
        <v>3.2192442627999385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2.0572770154103635E-13</v>
      </c>
      <c r="P112" s="13">
        <f t="shared" si="87"/>
        <v>2.8416956338469711E-12</v>
      </c>
      <c r="Q112" s="20">
        <f t="shared" si="107"/>
        <v>5.3075956424674458E-12</v>
      </c>
      <c r="R112" s="59">
        <f t="shared" si="55"/>
        <v>279.72532035259457</v>
      </c>
      <c r="S112" s="59">
        <f ca="1">AVERAGE(OFFSET($R$3,0,0,'Données projet'!$E$9+1,1))-AVERAGE(OFFSET($H$3,0,0,'Données projet'!$E$9+1,1))</f>
        <v>446.05900197653546</v>
      </c>
      <c r="T112" s="59">
        <f t="shared" si="88"/>
        <v>630.54710489646106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0.68907070066559573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6.0715817108307298E-12</v>
      </c>
      <c r="AC112" s="22">
        <f t="shared" si="57"/>
        <v>0.68907070067166731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394.69391436029986</v>
      </c>
      <c r="AO112" s="59">
        <f t="shared" si="90"/>
        <v>311.37245656657353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1.5644623735807268</v>
      </c>
      <c r="AV112" s="21">
        <f>EXP(-LN(2)/25)*AV111+(1-EXP(-LN(2)/25))/(LN(2)/25)*Calculateur!AQ112*Calculateur!AS112*VLOOKUP('Données projet'!$B$10,Paramètres!$A$1:$I$89,3,0)*0.475*44/12</f>
        <v>0.74323202687976886</v>
      </c>
      <c r="AW112" s="21">
        <f>EXP(-LN(2)/2)*AW111+(1-EXP(-LN(2)/2))/(LN(2)/2)*AQ112*AT112*VLOOKUP('Données projet'!$B$10,Paramètres!$A$1:$I$89,3,0)*0.475*44/12</f>
        <v>1.019050486879765E-11</v>
      </c>
      <c r="AX112" s="21">
        <f t="shared" si="60"/>
        <v>2.3076944004706861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349.17860987804869</v>
      </c>
      <c r="BJ112" s="59">
        <f t="shared" si="92"/>
        <v>273.69433466447049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1.8986056991945017</v>
      </c>
      <c r="BQ112" s="21">
        <f>EXP(-LN(2)/25)*BQ111+(1-EXP(-LN(2)/25))/(LN(2)/25)*Calculateur!BL112*Calculateur!BN112*VLOOKUP('Données projet'!$B$11,Paramètres!$A$1:$I$89,3,0)*0.475*44/12</f>
        <v>1.2475888959854307</v>
      </c>
      <c r="BR112" s="21">
        <f>EXP(-LN(2)/2)*BR111+(1-EXP(-LN(2)/2))/(LN(2)/2)*BL112*BO112*VLOOKUP('Données projet'!$B$11,Paramètres!$A$1:$I$89,3,0)*0.475*44/12</f>
        <v>1.4203890076539833E-11</v>
      </c>
      <c r="BS112" s="22">
        <f t="shared" si="63"/>
        <v>3.1461945951941361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2.0572770154103635E-13</v>
      </c>
      <c r="P113" s="13">
        <f t="shared" si="87"/>
        <v>2.8416956338469711E-12</v>
      </c>
      <c r="Q113" s="20">
        <f t="shared" si="107"/>
        <v>5.3075956424674458E-12</v>
      </c>
      <c r="R113" s="59">
        <f t="shared" si="55"/>
        <v>279.96138895485115</v>
      </c>
      <c r="S113" s="59">
        <f ca="1">AVERAGE(OFFSET($R$3,0,0,'Données projet'!$E$9+1,1))-AVERAGE(OFFSET($H$3,0,0,'Données projet'!$E$9+1,1))</f>
        <v>446.05900197653546</v>
      </c>
      <c r="T113" s="59">
        <f t="shared" si="88"/>
        <v>630.54710489646106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0.6755584445171704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4.2932566002566286E-12</v>
      </c>
      <c r="AC113" s="22">
        <f t="shared" si="57"/>
        <v>0.67555844452146363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394.69391436029986</v>
      </c>
      <c r="AO113" s="59">
        <f t="shared" si="90"/>
        <v>311.37245656657353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1.5337842206626344</v>
      </c>
      <c r="AV113" s="21">
        <f>EXP(-LN(2)/25)*AV112+(1-EXP(-LN(2)/25))/(LN(2)/25)*Calculateur!AQ113*Calculateur!AS113*VLOOKUP('Données projet'!$B$10,Paramètres!$A$1:$I$89,3,0)*0.475*44/12</f>
        <v>0.72290830801986794</v>
      </c>
      <c r="AW113" s="21">
        <f>EXP(-LN(2)/2)*AW112+(1-EXP(-LN(2)/2))/(LN(2)/2)*AQ113*AT113*VLOOKUP('Données projet'!$B$10,Paramètres!$A$1:$I$89,3,0)*0.475*44/12</f>
        <v>7.2057750964413479E-12</v>
      </c>
      <c r="AX113" s="21">
        <f t="shared" si="60"/>
        <v>2.2566925286897082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349.17860987804869</v>
      </c>
      <c r="BJ113" s="59">
        <f t="shared" si="92"/>
        <v>273.69433466447049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1.8613751994684276</v>
      </c>
      <c r="BQ113" s="21">
        <f>EXP(-LN(2)/25)*BQ112+(1-EXP(-LN(2)/25))/(LN(2)/25)*Calculateur!BL113*Calculateur!BN113*VLOOKUP('Données projet'!$B$11,Paramètres!$A$1:$I$89,3,0)*0.475*44/12</f>
        <v>1.2134735120168605</v>
      </c>
      <c r="BR113" s="21">
        <f>EXP(-LN(2)/2)*BR112+(1-EXP(-LN(2)/2))/(LN(2)/2)*BL113*BO113*VLOOKUP('Données projet'!$B$11,Paramètres!$A$1:$I$89,3,0)*0.475*44/12</f>
        <v>1.0043666992349627E-11</v>
      </c>
      <c r="BS113" s="22">
        <f t="shared" si="63"/>
        <v>3.0748487114953313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2.0572770154103635E-13</v>
      </c>
      <c r="P114" s="13">
        <f t="shared" si="87"/>
        <v>2.8416956338469711E-12</v>
      </c>
      <c r="Q114" s="20">
        <f t="shared" si="107"/>
        <v>5.3075956424674458E-12</v>
      </c>
      <c r="R114" s="59">
        <f t="shared" si="55"/>
        <v>280.19336229462886</v>
      </c>
      <c r="S114" s="59">
        <f ca="1">AVERAGE(OFFSET($R$3,0,0,'Données projet'!$E$9+1,1))-AVERAGE(OFFSET($H$3,0,0,'Données projet'!$E$9+1,1))</f>
        <v>446.05900197653546</v>
      </c>
      <c r="T114" s="59">
        <f t="shared" si="88"/>
        <v>630.54710489646106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0.66231115547015329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3.0357908554153649E-12</v>
      </c>
      <c r="AC114" s="22">
        <f t="shared" si="57"/>
        <v>0.66231115547318908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394.69391436029986</v>
      </c>
      <c r="AO114" s="59">
        <f t="shared" si="90"/>
        <v>311.37245656657353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1.5037076476114402</v>
      </c>
      <c r="AV114" s="21">
        <f>EXP(-LN(2)/25)*AV113+(1-EXP(-LN(2)/25))/(LN(2)/25)*Calculateur!AQ114*Calculateur!AS114*VLOOKUP('Données projet'!$B$10,Paramètres!$A$1:$I$89,3,0)*0.475*44/12</f>
        <v>0.703140342320969</v>
      </c>
      <c r="AW114" s="21">
        <f>EXP(-LN(2)/2)*AW113+(1-EXP(-LN(2)/2))/(LN(2)/2)*AQ114*AT114*VLOOKUP('Données projet'!$B$10,Paramètres!$A$1:$I$89,3,0)*0.475*44/12</f>
        <v>5.0952524343988259E-12</v>
      </c>
      <c r="AX114" s="21">
        <f t="shared" si="60"/>
        <v>2.2068479899375042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349.17860987804869</v>
      </c>
      <c r="BJ114" s="59">
        <f t="shared" si="92"/>
        <v>273.69433466447049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1.8248747671336192</v>
      </c>
      <c r="BQ114" s="21">
        <f>EXP(-LN(2)/25)*BQ113+(1-EXP(-LN(2)/25))/(LN(2)/25)*Calculateur!BL114*Calculateur!BN114*VLOOKUP('Données projet'!$B$11,Paramètres!$A$1:$I$89,3,0)*0.475*44/12</f>
        <v>1.1802910150169608</v>
      </c>
      <c r="BR114" s="21">
        <f>EXP(-LN(2)/2)*BR113+(1-EXP(-LN(2)/2))/(LN(2)/2)*BL114*BO114*VLOOKUP('Données projet'!$B$11,Paramètres!$A$1:$I$89,3,0)*0.475*44/12</f>
        <v>7.1019450382699182E-12</v>
      </c>
      <c r="BS114" s="22">
        <f t="shared" si="63"/>
        <v>3.0051657821576816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2.0572770154103635E-13</v>
      </c>
      <c r="P115" s="13">
        <f t="shared" si="87"/>
        <v>2.8416956338469711E-12</v>
      </c>
      <c r="Q115" s="20">
        <f t="shared" si="107"/>
        <v>5.3075956424674458E-12</v>
      </c>
      <c r="R115" s="59">
        <f t="shared" si="55"/>
        <v>280.42131141557616</v>
      </c>
      <c r="S115" s="59">
        <f ca="1">AVERAGE(OFFSET($R$3,0,0,'Données projet'!$E$9+1,1))-AVERAGE(OFFSET($H$3,0,0,'Données projet'!$E$9+1,1))</f>
        <v>446.05900197653546</v>
      </c>
      <c r="T115" s="59">
        <f t="shared" si="88"/>
        <v>630.54710489646106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0.64932363768129975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2.1466283001283143E-12</v>
      </c>
      <c r="AC115" s="22">
        <f t="shared" si="57"/>
        <v>0.64932363768344636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394.69391436029986</v>
      </c>
      <c r="AO115" s="59">
        <f t="shared" si="90"/>
        <v>311.37245656657353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1.4742208578128817</v>
      </c>
      <c r="AV115" s="21">
        <f>EXP(-LN(2)/25)*AV114+(1-EXP(-LN(2)/25))/(LN(2)/25)*Calculateur!AQ115*Calculateur!AS115*VLOOKUP('Données projet'!$B$10,Paramètres!$A$1:$I$89,3,0)*0.475*44/12</f>
        <v>0.6839129326836586</v>
      </c>
      <c r="AW115" s="21">
        <f>EXP(-LN(2)/2)*AW114+(1-EXP(-LN(2)/2))/(LN(2)/2)*AQ115*AT115*VLOOKUP('Données projet'!$B$10,Paramètres!$A$1:$I$89,3,0)*0.475*44/12</f>
        <v>3.6028875482206743E-12</v>
      </c>
      <c r="AX115" s="21">
        <f t="shared" si="60"/>
        <v>2.1581337905001434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349.17860987804869</v>
      </c>
      <c r="BJ115" s="59">
        <f t="shared" si="92"/>
        <v>273.69433466447049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1.789090086013831</v>
      </c>
      <c r="BQ115" s="21">
        <f>EXP(-LN(2)/25)*BQ114+(1-EXP(-LN(2)/25))/(LN(2)/25)*Calculateur!BL115*Calculateur!BN115*VLOOKUP('Données projet'!$B$11,Paramètres!$A$1:$I$89,3,0)*0.475*44/12</f>
        <v>1.148015895142515</v>
      </c>
      <c r="BR115" s="21">
        <f>EXP(-LN(2)/2)*BR114+(1-EXP(-LN(2)/2))/(LN(2)/2)*BL115*BO115*VLOOKUP('Données projet'!$B$11,Paramètres!$A$1:$I$89,3,0)*0.475*44/12</f>
        <v>5.0218334961748141E-12</v>
      </c>
      <c r="BS115" s="22">
        <f t="shared" si="63"/>
        <v>2.937105981161368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2.0572770154103635E-13</v>
      </c>
      <c r="P116" s="13">
        <f t="shared" si="87"/>
        <v>2.8416956338469711E-12</v>
      </c>
      <c r="Q116" s="20">
        <f t="shared" si="107"/>
        <v>5.3075956424674458E-12</v>
      </c>
      <c r="R116" s="59">
        <f t="shared" si="55"/>
        <v>280.64530612889291</v>
      </c>
      <c r="S116" s="59">
        <f ca="1">AVERAGE(OFFSET($R$3,0,0,'Données projet'!$E$9+1,1))-AVERAGE(OFFSET($H$3,0,0,'Données projet'!$E$9+1,1))</f>
        <v>446.05900197653546</v>
      </c>
      <c r="T116" s="59">
        <f t="shared" si="88"/>
        <v>630.54710489646106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0.63659079719468192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1.5178954277076824E-12</v>
      </c>
      <c r="AC116" s="22">
        <f t="shared" si="57"/>
        <v>0.63659079719619982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394.69391436029986</v>
      </c>
      <c r="AO116" s="59">
        <f t="shared" si="90"/>
        <v>311.37245656657353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1.445312285977107</v>
      </c>
      <c r="AV116" s="21">
        <f>EXP(-LN(2)/25)*AV115+(1-EXP(-LN(2)/25))/(LN(2)/25)*Calculateur!AQ116*Calculateur!AS116*VLOOKUP('Données projet'!$B$10,Paramètres!$A$1:$I$89,3,0)*0.475*44/12</f>
        <v>0.66521129757400588</v>
      </c>
      <c r="AW116" s="21">
        <f>EXP(-LN(2)/2)*AW115+(1-EXP(-LN(2)/2))/(LN(2)/2)*AQ116*AT116*VLOOKUP('Données projet'!$B$10,Paramètres!$A$1:$I$89,3,0)*0.475*44/12</f>
        <v>2.5476262171994133E-12</v>
      </c>
      <c r="AX116" s="21">
        <f t="shared" si="60"/>
        <v>2.1105235835536607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349.17860987804869</v>
      </c>
      <c r="BJ116" s="59">
        <f t="shared" si="92"/>
        <v>273.69433466447049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1.7540071206643015</v>
      </c>
      <c r="BQ116" s="21">
        <f>EXP(-LN(2)/25)*BQ115+(1-EXP(-LN(2)/25))/(LN(2)/25)*Calculateur!BL116*Calculateur!BN116*VLOOKUP('Données projet'!$B$11,Paramètres!$A$1:$I$89,3,0)*0.475*44/12</f>
        <v>1.1166233401183108</v>
      </c>
      <c r="BR116" s="21">
        <f>EXP(-LN(2)/2)*BR115+(1-EXP(-LN(2)/2))/(LN(2)/2)*BL116*BO116*VLOOKUP('Données projet'!$B$11,Paramètres!$A$1:$I$89,3,0)*0.475*44/12</f>
        <v>3.5509725191349595E-12</v>
      </c>
      <c r="BS116" s="22">
        <f t="shared" si="63"/>
        <v>2.8706304607861632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2.0572770154103635E-13</v>
      </c>
      <c r="P117" s="13">
        <f t="shared" si="87"/>
        <v>2.8416956338469711E-12</v>
      </c>
      <c r="Q117" s="20">
        <f t="shared" si="107"/>
        <v>5.3075956424674458E-12</v>
      </c>
      <c r="R117" s="59">
        <f t="shared" si="55"/>
        <v>280.86541503471074</v>
      </c>
      <c r="S117" s="59">
        <f ca="1">AVERAGE(OFFSET($R$3,0,0,'Données projet'!$E$9+1,1))-AVERAGE(OFFSET($H$3,0,0,'Données projet'!$E$9+1,1))</f>
        <v>446.05900197653546</v>
      </c>
      <c r="T117" s="59">
        <f t="shared" si="88"/>
        <v>630.54710489646106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0.62410763994374086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1.0733141500641572E-12</v>
      </c>
      <c r="AC117" s="22">
        <f t="shared" si="57"/>
        <v>0.62410763994481422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394.69391436029986</v>
      </c>
      <c r="AO117" s="59">
        <f t="shared" si="90"/>
        <v>311.37245656657353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1.4169705936025443</v>
      </c>
      <c r="AV117" s="21">
        <f>EXP(-LN(2)/25)*AV116+(1-EXP(-LN(2)/25))/(LN(2)/25)*Calculateur!AQ117*Calculateur!AS117*VLOOKUP('Données projet'!$B$10,Paramètres!$A$1:$I$89,3,0)*0.475*44/12</f>
        <v>0.64702105965990286</v>
      </c>
      <c r="AW117" s="21">
        <f>EXP(-LN(2)/2)*AW116+(1-EXP(-LN(2)/2))/(LN(2)/2)*AQ117*AT117*VLOOKUP('Données projet'!$B$10,Paramètres!$A$1:$I$89,3,0)*0.475*44/12</f>
        <v>1.8014437741103376E-12</v>
      </c>
      <c r="AX117" s="21">
        <f t="shared" si="60"/>
        <v>2.0639916532642486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349.17860987804869</v>
      </c>
      <c r="BJ117" s="59">
        <f t="shared" si="92"/>
        <v>273.69433466447049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1.7196121108667803</v>
      </c>
      <c r="BQ117" s="21">
        <f>EXP(-LN(2)/25)*BQ116+(1-EXP(-LN(2)/25))/(LN(2)/25)*Calculateur!BL117*Calculateur!BN117*VLOOKUP('Données projet'!$B$11,Paramètres!$A$1:$I$89,3,0)*0.475*44/12</f>
        <v>1.0860892161621061</v>
      </c>
      <c r="BR117" s="21">
        <f>EXP(-LN(2)/2)*BR116+(1-EXP(-LN(2)/2))/(LN(2)/2)*BL117*BO117*VLOOKUP('Données projet'!$B$11,Paramètres!$A$1:$I$89,3,0)*0.475*44/12</f>
        <v>2.5109167480874075E-12</v>
      </c>
      <c r="BS117" s="22">
        <f t="shared" si="63"/>
        <v>2.8057013270313975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2.0572770154103635E-13</v>
      </c>
      <c r="P118" s="13">
        <f t="shared" si="87"/>
        <v>2.8416956338469711E-12</v>
      </c>
      <c r="Q118" s="20">
        <f t="shared" si="107"/>
        <v>5.3075956424674458E-12</v>
      </c>
      <c r="R118" s="59">
        <f t="shared" si="55"/>
        <v>281.08170554310254</v>
      </c>
      <c r="S118" s="59">
        <f ca="1">AVERAGE(OFFSET($R$3,0,0,'Données projet'!$E$9+1,1))-AVERAGE(OFFSET($H$3,0,0,'Données projet'!$E$9+1,1))</f>
        <v>446.05900197653546</v>
      </c>
      <c r="T118" s="59">
        <f t="shared" si="88"/>
        <v>630.54710489646106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0.61186926979251666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7.5894771385384122E-13</v>
      </c>
      <c r="AC118" s="22">
        <f t="shared" si="57"/>
        <v>0.61186926979327561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394.69391436029986</v>
      </c>
      <c r="AO118" s="59">
        <f t="shared" si="90"/>
        <v>311.37245656657353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1.3891846645287211</v>
      </c>
      <c r="AV118" s="21">
        <f>EXP(-LN(2)/25)*AV117+(1-EXP(-LN(2)/25))/(LN(2)/25)*Calculateur!AQ118*Calculateur!AS118*VLOOKUP('Données projet'!$B$10,Paramètres!$A$1:$I$89,3,0)*0.475*44/12</f>
        <v>0.62932823475814403</v>
      </c>
      <c r="AW118" s="21">
        <f>EXP(-LN(2)/2)*AW117+(1-EXP(-LN(2)/2))/(LN(2)/2)*AQ118*AT118*VLOOKUP('Données projet'!$B$10,Paramètres!$A$1:$I$89,3,0)*0.475*44/12</f>
        <v>1.2738131085997069E-12</v>
      </c>
      <c r="AX118" s="21">
        <f t="shared" si="60"/>
        <v>2.0185128992881389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349.17860987804869</v>
      </c>
      <c r="BJ118" s="59">
        <f t="shared" si="92"/>
        <v>273.69433466447049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1.685891566232504</v>
      </c>
      <c r="BQ118" s="21">
        <f>EXP(-LN(2)/25)*BQ117+(1-EXP(-LN(2)/25))/(LN(2)/25)*Calculateur!BL118*Calculateur!BN118*VLOOKUP('Données projet'!$B$11,Paramètres!$A$1:$I$89,3,0)*0.475*44/12</f>
        <v>1.0563900494312037</v>
      </c>
      <c r="BR118" s="21">
        <f>EXP(-LN(2)/2)*BR117+(1-EXP(-LN(2)/2))/(LN(2)/2)*BL118*BO118*VLOOKUP('Données projet'!$B$11,Paramètres!$A$1:$I$89,3,0)*0.475*44/12</f>
        <v>1.7754862595674799E-12</v>
      </c>
      <c r="BS118" s="22">
        <f t="shared" si="63"/>
        <v>2.7422816156654832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2.0572770154103635E-13</v>
      </c>
      <c r="P119" s="13">
        <f t="shared" si="87"/>
        <v>2.8416956338469711E-12</v>
      </c>
      <c r="Q119" s="20">
        <f t="shared" si="107"/>
        <v>5.3075956424674458E-12</v>
      </c>
      <c r="R119" s="59">
        <f t="shared" si="55"/>
        <v>281.29424389472678</v>
      </c>
      <c r="S119" s="59">
        <f ca="1">AVERAGE(OFFSET($R$3,0,0,'Données projet'!$E$9+1,1))-AVERAGE(OFFSET($H$3,0,0,'Données projet'!$E$9+1,1))</f>
        <v>446.05900197653546</v>
      </c>
      <c r="T119" s="59">
        <f t="shared" si="88"/>
        <v>630.54710489646106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0.5998708866152892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5.3665707503207858E-13</v>
      </c>
      <c r="AC119" s="22">
        <f t="shared" si="57"/>
        <v>0.59987088661582588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394.69391436029986</v>
      </c>
      <c r="AO119" s="59">
        <f t="shared" si="90"/>
        <v>311.37245656657353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1.3619436005762924</v>
      </c>
      <c r="AV119" s="21">
        <f>EXP(-LN(2)/25)*AV118+(1-EXP(-LN(2)/25))/(LN(2)/25)*Calculateur!AQ119*Calculateur!AS119*VLOOKUP('Données projet'!$B$10,Paramètres!$A$1:$I$89,3,0)*0.475*44/12</f>
        <v>0.61211922108374905</v>
      </c>
      <c r="AW119" s="21">
        <f>EXP(-LN(2)/2)*AW118+(1-EXP(-LN(2)/2))/(LN(2)/2)*AQ119*AT119*VLOOKUP('Données projet'!$B$10,Paramètres!$A$1:$I$89,3,0)*0.475*44/12</f>
        <v>9.0072188705516889E-13</v>
      </c>
      <c r="AX119" s="21">
        <f t="shared" si="60"/>
        <v>1.9740628216609419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349.17860987804869</v>
      </c>
      <c r="BJ119" s="59">
        <f t="shared" si="92"/>
        <v>273.69433466447049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1.6528322609110047</v>
      </c>
      <c r="BQ119" s="21">
        <f>EXP(-LN(2)/25)*BQ118+(1-EXP(-LN(2)/25))/(LN(2)/25)*Calculateur!BL119*Calculateur!BN119*VLOOKUP('Données projet'!$B$11,Paramètres!$A$1:$I$89,3,0)*0.475*44/12</f>
        <v>1.0275030079763692</v>
      </c>
      <c r="BR119" s="21">
        <f>EXP(-LN(2)/2)*BR118+(1-EXP(-LN(2)/2))/(LN(2)/2)*BL119*BO119*VLOOKUP('Données projet'!$B$11,Paramètres!$A$1:$I$89,3,0)*0.475*44/12</f>
        <v>1.2554583740437039E-12</v>
      </c>
      <c r="BS119" s="22">
        <f t="shared" si="63"/>
        <v>2.6803352688886295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2.0572770154103635E-13</v>
      </c>
      <c r="P120" s="13">
        <f t="shared" si="87"/>
        <v>2.8416956338469711E-12</v>
      </c>
      <c r="Q120" s="20">
        <f t="shared" si="107"/>
        <v>5.3075956424674458E-12</v>
      </c>
      <c r="R120" s="59">
        <f t="shared" si="55"/>
        <v>281.50309518111493</v>
      </c>
      <c r="S120" s="59">
        <f ca="1">AVERAGE(OFFSET($R$3,0,0,'Données projet'!$E$9+1,1))-AVERAGE(OFFSET($H$3,0,0,'Données projet'!$E$9+1,1))</f>
        <v>446.05900197653546</v>
      </c>
      <c r="T120" s="59">
        <f t="shared" si="88"/>
        <v>630.54710489646106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0.58810778441387601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3.7947385692692061E-13</v>
      </c>
      <c r="AC120" s="22">
        <f t="shared" si="57"/>
        <v>0.58810778441425549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394.69391436029986</v>
      </c>
      <c r="AO120" s="59">
        <f t="shared" si="90"/>
        <v>311.37245656657353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1.3352367172725625</v>
      </c>
      <c r="AV120" s="21">
        <f>EXP(-LN(2)/25)*AV119+(1-EXP(-LN(2)/25))/(LN(2)/25)*Calculateur!AQ120*Calculateur!AS120*VLOOKUP('Données projet'!$B$10,Paramètres!$A$1:$I$89,3,0)*0.475*44/12</f>
        <v>0.59538078879326317</v>
      </c>
      <c r="AW120" s="21">
        <f>EXP(-LN(2)/2)*AW119+(1-EXP(-LN(2)/2))/(LN(2)/2)*AQ120*AT120*VLOOKUP('Données projet'!$B$10,Paramètres!$A$1:$I$89,3,0)*0.475*44/12</f>
        <v>6.3690655429985354E-13</v>
      </c>
      <c r="AX120" s="21">
        <f t="shared" si="60"/>
        <v>1.9306175060664625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349.17860987804869</v>
      </c>
      <c r="BJ120" s="59">
        <f t="shared" si="92"/>
        <v>273.69433466447049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1.6204212284026747</v>
      </c>
      <c r="BQ120" s="21">
        <f>EXP(-LN(2)/25)*BQ119+(1-EXP(-LN(2)/25))/(LN(2)/25)*Calculateur!BL120*Calculateur!BN120*VLOOKUP('Données projet'!$B$11,Paramètres!$A$1:$I$89,3,0)*0.475*44/12</f>
        <v>0.99940588418922061</v>
      </c>
      <c r="BR120" s="21">
        <f>EXP(-LN(2)/2)*BR119+(1-EXP(-LN(2)/2))/(LN(2)/2)*BL120*BO120*VLOOKUP('Données projet'!$B$11,Paramètres!$A$1:$I$89,3,0)*0.475*44/12</f>
        <v>8.8774312978374017E-13</v>
      </c>
      <c r="BS120" s="22">
        <f t="shared" si="63"/>
        <v>2.619827112592783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2.0572770154103635E-13</v>
      </c>
      <c r="P121" s="13">
        <f t="shared" si="87"/>
        <v>2.8416956338469711E-12</v>
      </c>
      <c r="Q121" s="20">
        <f t="shared" si="107"/>
        <v>5.3075956424674458E-12</v>
      </c>
      <c r="R121" s="59">
        <f t="shared" si="55"/>
        <v>281.70832336460569</v>
      </c>
      <c r="S121" s="59">
        <f ca="1">AVERAGE(OFFSET($R$3,0,0,'Données projet'!$E$9+1,1))-AVERAGE(OFFSET($H$3,0,0,'Données projet'!$E$9+1,1))</f>
        <v>446.05900197653546</v>
      </c>
      <c r="T121" s="59">
        <f t="shared" si="88"/>
        <v>630.54710489646106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0.57657534947184874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2.6832853751603929E-13</v>
      </c>
      <c r="AC121" s="22">
        <f t="shared" si="57"/>
        <v>0.57657534947211708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394.69391436029986</v>
      </c>
      <c r="AO121" s="59">
        <f t="shared" si="90"/>
        <v>311.37245656657353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1.3090535396608285</v>
      </c>
      <c r="AV121" s="21">
        <f>EXP(-LN(2)/25)*AV120+(1-EXP(-LN(2)/25))/(LN(2)/25)*Calculateur!AQ121*Calculateur!AS121*VLOOKUP('Données projet'!$B$10,Paramètres!$A$1:$I$89,3,0)*0.475*44/12</f>
        <v>0.57910006981399642</v>
      </c>
      <c r="AW121" s="21">
        <f>EXP(-LN(2)/2)*AW120+(1-EXP(-LN(2)/2))/(LN(2)/2)*AQ121*AT121*VLOOKUP('Données projet'!$B$10,Paramètres!$A$1:$I$89,3,0)*0.475*44/12</f>
        <v>4.5036094352758449E-13</v>
      </c>
      <c r="AX121" s="21">
        <f t="shared" si="60"/>
        <v>1.8881536094752751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349.17860987804869</v>
      </c>
      <c r="BJ121" s="59">
        <f t="shared" si="92"/>
        <v>273.69433466447049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1.5886457564730552</v>
      </c>
      <c r="BQ121" s="21">
        <f>EXP(-LN(2)/25)*BQ120+(1-EXP(-LN(2)/25))/(LN(2)/25)*Calculateur!BL121*Calculateur!BN121*VLOOKUP('Données projet'!$B$11,Paramètres!$A$1:$I$89,3,0)*0.475*44/12</f>
        <v>0.97207707772959506</v>
      </c>
      <c r="BR121" s="21">
        <f>EXP(-LN(2)/2)*BR120+(1-EXP(-LN(2)/2))/(LN(2)/2)*BL121*BO121*VLOOKUP('Données projet'!$B$11,Paramètres!$A$1:$I$89,3,0)*0.475*44/12</f>
        <v>6.2772918702185207E-13</v>
      </c>
      <c r="BS121" s="22">
        <f t="shared" si="63"/>
        <v>2.5607228342032782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2.0572770154103635E-13</v>
      </c>
      <c r="P122" s="13">
        <f t="shared" si="87"/>
        <v>2.8416956338469711E-12</v>
      </c>
      <c r="Q122" s="20">
        <f t="shared" si="107"/>
        <v>5.3075956424674458E-12</v>
      </c>
      <c r="R122" s="59">
        <f t="shared" si="55"/>
        <v>281.90999129793443</v>
      </c>
      <c r="S122" s="59">
        <f ca="1">AVERAGE(OFFSET($R$3,0,0,'Données projet'!$E$9+1,1))-AVERAGE(OFFSET($H$3,0,0,'Données projet'!$E$9+1,1))</f>
        <v>446.05900197653546</v>
      </c>
      <c r="T122" s="59">
        <f t="shared" si="88"/>
        <v>630.54710489646106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0.5652690585449438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1.8973692846346031E-13</v>
      </c>
      <c r="AC122" s="22">
        <f t="shared" si="57"/>
        <v>0.56526905854513354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394.69391436029986</v>
      </c>
      <c r="AO122" s="59">
        <f t="shared" si="90"/>
        <v>311.37245656657353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1.283383798191899</v>
      </c>
      <c r="AV122" s="21">
        <f>EXP(-LN(2)/25)*AV121+(1-EXP(-LN(2)/25))/(LN(2)/25)*Calculateur!AQ122*Calculateur!AS122*VLOOKUP('Données projet'!$B$10,Paramètres!$A$1:$I$89,3,0)*0.475*44/12</f>
        <v>0.56326454795138359</v>
      </c>
      <c r="AW122" s="21">
        <f>EXP(-LN(2)/2)*AW121+(1-EXP(-LN(2)/2))/(LN(2)/2)*AQ122*AT122*VLOOKUP('Données projet'!$B$10,Paramètres!$A$1:$I$89,3,0)*0.475*44/12</f>
        <v>3.1845327714992682E-13</v>
      </c>
      <c r="AX122" s="21">
        <f t="shared" si="60"/>
        <v>1.846648346143601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349.17860987804869</v>
      </c>
      <c r="BJ122" s="59">
        <f t="shared" si="92"/>
        <v>273.69433466447049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1.5574933821668513</v>
      </c>
      <c r="BQ122" s="21">
        <f>EXP(-LN(2)/25)*BQ121+(1-EXP(-LN(2)/25))/(LN(2)/25)*Calculateur!BL122*Calculateur!BN122*VLOOKUP('Données projet'!$B$11,Paramètres!$A$1:$I$89,3,0)*0.475*44/12</f>
        <v>0.94549557891976743</v>
      </c>
      <c r="BR122" s="21">
        <f>EXP(-LN(2)/2)*BR121+(1-EXP(-LN(2)/2))/(LN(2)/2)*BL122*BO122*VLOOKUP('Données projet'!$B$11,Paramètres!$A$1:$I$89,3,0)*0.475*44/12</f>
        <v>4.4387156489187014E-13</v>
      </c>
      <c r="BS122" s="22">
        <f t="shared" si="63"/>
        <v>2.5029889610870626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2.0572770154103635E-13</v>
      </c>
      <c r="P123" s="13">
        <f t="shared" si="87"/>
        <v>2.8416956338469711E-12</v>
      </c>
      <c r="Q123" s="20">
        <f t="shared" si="107"/>
        <v>5.3075956424674458E-12</v>
      </c>
      <c r="R123" s="59">
        <f t="shared" si="55"/>
        <v>282.1081607434819</v>
      </c>
      <c r="S123" s="59">
        <f ca="1">AVERAGE(OFFSET($R$3,0,0,'Données projet'!$E$9+1,1))-AVERAGE(OFFSET($H$3,0,0,'Données projet'!$E$9+1,1))</f>
        <v>446.05900197653546</v>
      </c>
      <c r="T123" s="59">
        <f t="shared" si="88"/>
        <v>630.54710489646106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0.55418447708695895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1.3416426875801964E-13</v>
      </c>
      <c r="AC123" s="22">
        <f t="shared" si="57"/>
        <v>0.55418447708709306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394.69391436029986</v>
      </c>
      <c r="AO123" s="59">
        <f t="shared" si="90"/>
        <v>311.37245656657353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1.258217424696179</v>
      </c>
      <c r="AV123" s="21">
        <f>EXP(-LN(2)/25)*AV122+(1-EXP(-LN(2)/25))/(LN(2)/25)*Calculateur!AQ123*Calculateur!AS123*VLOOKUP('Données projet'!$B$10,Paramètres!$A$1:$I$89,3,0)*0.475*44/12</f>
        <v>0.54786204926685778</v>
      </c>
      <c r="AW123" s="21">
        <f>EXP(-LN(2)/2)*AW122+(1-EXP(-LN(2)/2))/(LN(2)/2)*AQ123*AT123*VLOOKUP('Données projet'!$B$10,Paramètres!$A$1:$I$89,3,0)*0.475*44/12</f>
        <v>2.251804717637923E-13</v>
      </c>
      <c r="AX123" s="21">
        <f t="shared" si="60"/>
        <v>1.806079473963262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349.17860987804869</v>
      </c>
      <c r="BJ123" s="59">
        <f t="shared" si="92"/>
        <v>273.69433466447049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1.5269518869197201</v>
      </c>
      <c r="BQ123" s="21">
        <f>EXP(-LN(2)/25)*BQ122+(1-EXP(-LN(2)/25))/(LN(2)/25)*Calculateur!BL123*Calculateur!BN123*VLOOKUP('Données projet'!$B$11,Paramètres!$A$1:$I$89,3,0)*0.475*44/12</f>
        <v>0.9196409525927548</v>
      </c>
      <c r="BR123" s="21">
        <f>EXP(-LN(2)/2)*BR122+(1-EXP(-LN(2)/2))/(LN(2)/2)*BL123*BO123*VLOOKUP('Données projet'!$B$11,Paramètres!$A$1:$I$89,3,0)*0.475*44/12</f>
        <v>3.1386459351092609E-13</v>
      </c>
      <c r="BS123" s="22">
        <f t="shared" si="63"/>
        <v>2.4465928395127889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2.0572770154103635E-13</v>
      </c>
      <c r="P124" s="13">
        <f t="shared" si="87"/>
        <v>2.8416956338469711E-12</v>
      </c>
      <c r="Q124" s="20">
        <f t="shared" si="107"/>
        <v>5.3075956424674458E-12</v>
      </c>
      <c r="R124" s="59">
        <f t="shared" si="55"/>
        <v>282.30289239218968</v>
      </c>
      <c r="S124" s="59">
        <f ca="1">AVERAGE(OFFSET($R$3,0,0,'Données projet'!$E$9+1,1))-AVERAGE(OFFSET($H$3,0,0,'Données projet'!$E$9+1,1))</f>
        <v>446.05900197653546</v>
      </c>
      <c r="T124" s="59">
        <f t="shared" si="88"/>
        <v>630.54710489646106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0.54331725751043813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9.4868464231730153E-14</v>
      </c>
      <c r="AC124" s="22">
        <f t="shared" si="57"/>
        <v>0.54331725751053295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394.69391436029986</v>
      </c>
      <c r="AO124" s="59">
        <f t="shared" si="90"/>
        <v>311.37245656657353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1.233544548434738</v>
      </c>
      <c r="AV124" s="21">
        <f>EXP(-LN(2)/25)*AV123+(1-EXP(-LN(2)/25))/(LN(2)/25)*Calculateur!AQ124*Calculateur!AS124*VLOOKUP('Données projet'!$B$10,Paramètres!$A$1:$I$89,3,0)*0.475*44/12</f>
        <v>0.53288073271884251</v>
      </c>
      <c r="AW124" s="21">
        <f>EXP(-LN(2)/2)*AW123+(1-EXP(-LN(2)/2))/(LN(2)/2)*AQ124*AT124*VLOOKUP('Données projet'!$B$10,Paramètres!$A$1:$I$89,3,0)*0.475*44/12</f>
        <v>1.5922663857496344E-13</v>
      </c>
      <c r="AX124" s="21">
        <f t="shared" si="60"/>
        <v>1.7664252811537398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349.17860987804869</v>
      </c>
      <c r="BJ124" s="59">
        <f t="shared" si="92"/>
        <v>273.69433466447049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1.4970092917659124</v>
      </c>
      <c r="BQ124" s="21">
        <f>EXP(-LN(2)/25)*BQ123+(1-EXP(-LN(2)/25))/(LN(2)/25)*Calculateur!BL124*Calculateur!BN124*VLOOKUP('Données projet'!$B$11,Paramètres!$A$1:$I$89,3,0)*0.475*44/12</f>
        <v>0.89449332238229007</v>
      </c>
      <c r="BR124" s="21">
        <f>EXP(-LN(2)/2)*BR123+(1-EXP(-LN(2)/2))/(LN(2)/2)*BL124*BO124*VLOOKUP('Données projet'!$B$11,Paramètres!$A$1:$I$89,3,0)*0.475*44/12</f>
        <v>2.2193578244593512E-13</v>
      </c>
      <c r="BS124" s="22">
        <f t="shared" si="63"/>
        <v>2.3915026141484246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2.0572770154103635E-13</v>
      </c>
      <c r="P125" s="13">
        <f t="shared" si="87"/>
        <v>2.8416956338469711E-12</v>
      </c>
      <c r="Q125" s="20">
        <f t="shared" si="107"/>
        <v>5.3075956424674458E-12</v>
      </c>
      <c r="R125" s="59">
        <f t="shared" si="55"/>
        <v>282.49424588214708</v>
      </c>
      <c r="S125" s="59">
        <f ca="1">AVERAGE(OFFSET($R$3,0,0,'Données projet'!$E$9+1,1))-AVERAGE(OFFSET($H$3,0,0,'Données projet'!$E$9+1,1))</f>
        <v>446.05900197653546</v>
      </c>
      <c r="T125" s="59">
        <f t="shared" si="88"/>
        <v>630.54710489646106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0.53266313748146343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6.7082134379009822E-14</v>
      </c>
      <c r="AC125" s="22">
        <f t="shared" si="57"/>
        <v>0.53266313748153049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394.69391436029986</v>
      </c>
      <c r="AO125" s="59">
        <f t="shared" si="90"/>
        <v>311.37245656657353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1.2093554922278151</v>
      </c>
      <c r="AV125" s="21">
        <f>EXP(-LN(2)/25)*AV124+(1-EXP(-LN(2)/25))/(LN(2)/25)*Calculateur!AQ125*Calculateur!AS125*VLOOKUP('Données projet'!$B$10,Paramètres!$A$1:$I$89,3,0)*0.475*44/12</f>
        <v>0.51830908105966589</v>
      </c>
      <c r="AW125" s="21">
        <f>EXP(-LN(2)/2)*AW124+(1-EXP(-LN(2)/2))/(LN(2)/2)*AQ125*AT125*VLOOKUP('Données projet'!$B$10,Paramètres!$A$1:$I$89,3,0)*0.475*44/12</f>
        <v>1.1259023588189616E-13</v>
      </c>
      <c r="AX125" s="21">
        <f t="shared" si="60"/>
        <v>1.7276645732875935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349.17860987804869</v>
      </c>
      <c r="BJ125" s="59">
        <f t="shared" si="92"/>
        <v>273.69433466447049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1.467653852639891</v>
      </c>
      <c r="BQ125" s="21">
        <f>EXP(-LN(2)/25)*BQ124+(1-EXP(-LN(2)/25))/(LN(2)/25)*Calculateur!BL125*Calculateur!BN125*VLOOKUP('Données projet'!$B$11,Paramètres!$A$1:$I$89,3,0)*0.475*44/12</f>
        <v>0.87003335544238691</v>
      </c>
      <c r="BR125" s="21">
        <f>EXP(-LN(2)/2)*BR124+(1-EXP(-LN(2)/2))/(LN(2)/2)*BL125*BO125*VLOOKUP('Données projet'!$B$11,Paramètres!$A$1:$I$89,3,0)*0.475*44/12</f>
        <v>1.5693229675546307E-13</v>
      </c>
      <c r="BS125" s="22">
        <f t="shared" si="63"/>
        <v>2.3376872080824347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2.0572770154103635E-13</v>
      </c>
      <c r="P126" s="13">
        <f t="shared" si="87"/>
        <v>2.8416956338469711E-12</v>
      </c>
      <c r="Q126" s="20">
        <f t="shared" si="107"/>
        <v>5.3075956424674458E-12</v>
      </c>
      <c r="R126" s="59">
        <f t="shared" si="55"/>
        <v>282.68227981685595</v>
      </c>
      <c r="S126" s="59">
        <f ca="1">AVERAGE(OFFSET($R$3,0,0,'Données projet'!$E$9+1,1))-AVERAGE(OFFSET($H$3,0,0,'Données projet'!$E$9+1,1))</f>
        <v>446.05900197653546</v>
      </c>
      <c r="T126" s="59">
        <f t="shared" si="88"/>
        <v>630.54710489646106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0.52221793824788532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4.7434232115865076E-14</v>
      </c>
      <c r="AC126" s="22">
        <f t="shared" si="57"/>
        <v>0.52221793824793272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394.69391436029986</v>
      </c>
      <c r="AO126" s="59">
        <f t="shared" si="90"/>
        <v>311.37245656657353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1.1856407686592427</v>
      </c>
      <c r="AV126" s="21">
        <f>EXP(-LN(2)/25)*AV125+(1-EXP(-LN(2)/25))/(LN(2)/25)*Calculateur!AQ126*Calculateur!AS126*VLOOKUP('Données projet'!$B$10,Paramètres!$A$1:$I$89,3,0)*0.475*44/12</f>
        <v>0.50413589198139941</v>
      </c>
      <c r="AW126" s="21">
        <f>EXP(-LN(2)/2)*AW125+(1-EXP(-LN(2)/2))/(LN(2)/2)*AQ126*AT126*VLOOKUP('Données projet'!$B$10,Paramètres!$A$1:$I$89,3,0)*0.475*44/12</f>
        <v>7.961331928748173E-14</v>
      </c>
      <c r="AX126" s="21">
        <f t="shared" si="60"/>
        <v>1.6897766606407219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349.17860987804869</v>
      </c>
      <c r="BJ126" s="59">
        <f t="shared" si="92"/>
        <v>273.69433466447049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1.4388740557700812</v>
      </c>
      <c r="BQ126" s="21">
        <f>EXP(-LN(2)/25)*BQ125+(1-EXP(-LN(2)/25))/(LN(2)/25)*Calculateur!BL126*Calculateur!BN126*VLOOKUP('Données projet'!$B$11,Paramètres!$A$1:$I$89,3,0)*0.475*44/12</f>
        <v>0.8462422475847492</v>
      </c>
      <c r="BR126" s="21">
        <f>EXP(-LN(2)/2)*BR125+(1-EXP(-LN(2)/2))/(LN(2)/2)*BL126*BO126*VLOOKUP('Données projet'!$B$11,Paramètres!$A$1:$I$89,3,0)*0.475*44/12</f>
        <v>1.1096789122296757E-13</v>
      </c>
      <c r="BS126" s="22">
        <f t="shared" si="63"/>
        <v>2.2851163033549415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2.0572770154103635E-13</v>
      </c>
      <c r="P127" s="13">
        <f t="shared" si="87"/>
        <v>2.8416956338469711E-12</v>
      </c>
      <c r="Q127" s="20">
        <f t="shared" si="107"/>
        <v>5.3075956424674458E-12</v>
      </c>
      <c r="R127" s="59">
        <f t="shared" si="55"/>
        <v>282.86705178317862</v>
      </c>
      <c r="S127" s="59">
        <f ca="1">AVERAGE(OFFSET($R$3,0,0,'Données projet'!$E$9+1,1))-AVERAGE(OFFSET($H$3,0,0,'Données projet'!$E$9+1,1))</f>
        <v>446.05900197653546</v>
      </c>
      <c r="T127" s="59">
        <f t="shared" si="88"/>
        <v>630.54710489646106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0.51197756300033526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3.3541067189504911E-14</v>
      </c>
      <c r="AC127" s="22">
        <f t="shared" si="57"/>
        <v>0.51197756300036878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394.69391436029986</v>
      </c>
      <c r="AO127" s="59">
        <f t="shared" si="90"/>
        <v>311.37245656657353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1.1623910763552967</v>
      </c>
      <c r="AV127" s="21">
        <f>EXP(-LN(2)/25)*AV126+(1-EXP(-LN(2)/25))/(LN(2)/25)*Calculateur!AQ127*Calculateur!AS127*VLOOKUP('Données projet'!$B$10,Paramètres!$A$1:$I$89,3,0)*0.475*44/12</f>
        <v>0.49035026950381372</v>
      </c>
      <c r="AW127" s="21">
        <f>EXP(-LN(2)/2)*AW126+(1-EXP(-LN(2)/2))/(LN(2)/2)*AQ127*AT127*VLOOKUP('Données projet'!$B$10,Paramètres!$A$1:$I$89,3,0)*0.475*44/12</f>
        <v>5.6295117940948093E-14</v>
      </c>
      <c r="AX127" s="21">
        <f t="shared" si="60"/>
        <v>1.6527413458591669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349.17860987804869</v>
      </c>
      <c r="BJ127" s="59">
        <f t="shared" si="92"/>
        <v>273.69433466447049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1.4106586131629455</v>
      </c>
      <c r="BQ127" s="21">
        <f>EXP(-LN(2)/25)*BQ126+(1-EXP(-LN(2)/25))/(LN(2)/25)*Calculateur!BL127*Calculateur!BN127*VLOOKUP('Données projet'!$B$11,Paramètres!$A$1:$I$89,3,0)*0.475*44/12</f>
        <v>0.82310170882259859</v>
      </c>
      <c r="BR127" s="21">
        <f>EXP(-LN(2)/2)*BR126+(1-EXP(-LN(2)/2))/(LN(2)/2)*BL127*BO127*VLOOKUP('Données projet'!$B$11,Paramètres!$A$1:$I$89,3,0)*0.475*44/12</f>
        <v>7.8466148377731547E-14</v>
      </c>
      <c r="BS127" s="22">
        <f t="shared" si="63"/>
        <v>2.2337603219856228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2.0572770154103635E-13</v>
      </c>
      <c r="P128" s="13">
        <f t="shared" si="87"/>
        <v>2.8416956338469711E-12</v>
      </c>
      <c r="Q128" s="20">
        <f t="shared" si="107"/>
        <v>5.3075956424674458E-12</v>
      </c>
      <c r="R128" s="59">
        <f t="shared" si="55"/>
        <v>283.04861836897379</v>
      </c>
      <c r="S128" s="59">
        <f ca="1">AVERAGE(OFFSET($R$3,0,0,'Données projet'!$E$9+1,1))-AVERAGE(OFFSET($H$3,0,0,'Données projet'!$E$9+1,1))</f>
        <v>446.05900197653546</v>
      </c>
      <c r="T128" s="59">
        <f t="shared" si="88"/>
        <v>630.54710489646106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0.50193799526537752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2.3717116057932538E-14</v>
      </c>
      <c r="AC128" s="22">
        <f t="shared" si="57"/>
        <v>0.50193799526540128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394.69391436029986</v>
      </c>
      <c r="AO128" s="59">
        <f t="shared" si="90"/>
        <v>311.37245656657353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1.1395972963365191</v>
      </c>
      <c r="AV128" s="21">
        <f>EXP(-LN(2)/25)*AV127+(1-EXP(-LN(2)/25))/(LN(2)/25)*Calculateur!AQ128*Calculateur!AS128*VLOOKUP('Données projet'!$B$10,Paramètres!$A$1:$I$89,3,0)*0.475*44/12</f>
        <v>0.47694161559783199</v>
      </c>
      <c r="AW128" s="21">
        <f>EXP(-LN(2)/2)*AW127+(1-EXP(-LN(2)/2))/(LN(2)/2)*AQ128*AT128*VLOOKUP('Données projet'!$B$10,Paramètres!$A$1:$I$89,3,0)*0.475*44/12</f>
        <v>3.9806659643740871E-14</v>
      </c>
      <c r="AX128" s="21">
        <f t="shared" si="60"/>
        <v>1.6165389119343907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349.17860987804869</v>
      </c>
      <c r="BJ128" s="59">
        <f t="shared" si="92"/>
        <v>273.69433466447049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1.3829964581756151</v>
      </c>
      <c r="BQ128" s="21">
        <f>EXP(-LN(2)/25)*BQ127+(1-EXP(-LN(2)/25))/(LN(2)/25)*Calculateur!BL128*Calculateur!BN128*VLOOKUP('Données projet'!$B$11,Paramètres!$A$1:$I$89,3,0)*0.475*44/12</f>
        <v>0.80059394930980698</v>
      </c>
      <c r="BR128" s="21">
        <f>EXP(-LN(2)/2)*BR127+(1-EXP(-LN(2)/2))/(LN(2)/2)*BL128*BO128*VLOOKUP('Données projet'!$B$11,Paramètres!$A$1:$I$89,3,0)*0.475*44/12</f>
        <v>5.5483945611483799E-14</v>
      </c>
      <c r="BS128" s="22">
        <f t="shared" si="63"/>
        <v>2.1835904074854775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2.0572770154103635E-13</v>
      </c>
      <c r="P129" s="13">
        <f t="shared" si="87"/>
        <v>2.8416956338469711E-12</v>
      </c>
      <c r="Q129" s="20">
        <f t="shared" si="107"/>
        <v>5.3075956424674458E-12</v>
      </c>
      <c r="R129" s="59">
        <f t="shared" si="55"/>
        <v>283.22703518042749</v>
      </c>
      <c r="S129" s="59">
        <f ca="1">AVERAGE(OFFSET($R$3,0,0,'Données projet'!$E$9+1,1))-AVERAGE(OFFSET($H$3,0,0,'Données projet'!$E$9+1,1))</f>
        <v>446.05900197653546</v>
      </c>
      <c r="T129" s="59">
        <f t="shared" si="88"/>
        <v>630.54710489646106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0.4920952973301706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1.6770533594752456E-14</v>
      </c>
      <c r="AC129" s="22">
        <f t="shared" si="57"/>
        <v>0.49209529733018736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394.69391436029986</v>
      </c>
      <c r="AO129" s="59">
        <f t="shared" si="90"/>
        <v>311.37245656657353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1.1172504884410768</v>
      </c>
      <c r="AV129" s="21">
        <f>EXP(-LN(2)/25)*AV128+(1-EXP(-LN(2)/25))/(LN(2)/25)*Calculateur!AQ129*Calculateur!AS129*VLOOKUP('Données projet'!$B$10,Paramètres!$A$1:$I$89,3,0)*0.475*44/12</f>
        <v>0.46389962203803975</v>
      </c>
      <c r="AW129" s="21">
        <f>EXP(-LN(2)/2)*AW128+(1-EXP(-LN(2)/2))/(LN(2)/2)*AQ129*AT129*VLOOKUP('Données projet'!$B$10,Paramètres!$A$1:$I$89,3,0)*0.475*44/12</f>
        <v>2.814755897047405E-14</v>
      </c>
      <c r="AX129" s="21">
        <f t="shared" si="60"/>
        <v>1.5811501104791448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349.17860987804869</v>
      </c>
      <c r="BJ129" s="59">
        <f t="shared" si="92"/>
        <v>273.69433466447049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1.3558767411753376</v>
      </c>
      <c r="BQ129" s="21">
        <f>EXP(-LN(2)/25)*BQ128+(1-EXP(-LN(2)/25))/(LN(2)/25)*Calculateur!BL129*Calculateur!BN129*VLOOKUP('Données projet'!$B$11,Paramètres!$A$1:$I$89,3,0)*0.475*44/12</f>
        <v>0.77870166566452426</v>
      </c>
      <c r="BR129" s="21">
        <f>EXP(-LN(2)/2)*BR128+(1-EXP(-LN(2)/2))/(LN(2)/2)*BL129*BO129*VLOOKUP('Données projet'!$B$11,Paramètres!$A$1:$I$89,3,0)*0.475*44/12</f>
        <v>3.923307418886578E-14</v>
      </c>
      <c r="BS129" s="22">
        <f t="shared" si="63"/>
        <v>2.1345784068399007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2.0572770154103635E-13</v>
      </c>
      <c r="P130" s="13">
        <f t="shared" si="87"/>
        <v>2.8416956338469711E-12</v>
      </c>
      <c r="Q130" s="20">
        <f t="shared" si="107"/>
        <v>5.3075956424674458E-12</v>
      </c>
      <c r="R130" s="59">
        <f t="shared" si="55"/>
        <v>283.40235685908272</v>
      </c>
      <c r="S130" s="59">
        <f ca="1">AVERAGE(OFFSET($R$3,0,0,'Données projet'!$E$9+1,1))-AVERAGE(OFFSET($H$3,0,0,'Données projet'!$E$9+1,1))</f>
        <v>446.05900197653546</v>
      </c>
      <c r="T130" s="59">
        <f t="shared" si="88"/>
        <v>630.54710489646106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0.48244560869802011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1.1858558028966269E-14</v>
      </c>
      <c r="AC130" s="22">
        <f t="shared" si="57"/>
        <v>0.48244560869803199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394.69391436029986</v>
      </c>
      <c r="AO130" s="59">
        <f t="shared" si="90"/>
        <v>311.37245656657353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1.095341887818257</v>
      </c>
      <c r="AV130" s="21">
        <f>EXP(-LN(2)/25)*AV129+(1-EXP(-LN(2)/25))/(LN(2)/25)*Calculateur!AQ130*Calculateur!AS130*VLOOKUP('Données projet'!$B$10,Paramètres!$A$1:$I$89,3,0)*0.475*44/12</f>
        <v>0.45121426247798868</v>
      </c>
      <c r="AW130" s="21">
        <f>EXP(-LN(2)/2)*AW129+(1-EXP(-LN(2)/2))/(LN(2)/2)*AQ130*AT130*VLOOKUP('Données projet'!$B$10,Paramètres!$A$1:$I$89,3,0)*0.475*44/12</f>
        <v>1.9903329821870439E-14</v>
      </c>
      <c r="AX130" s="21">
        <f t="shared" si="60"/>
        <v>1.5465561502962657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349.17860987804869</v>
      </c>
      <c r="BJ130" s="59">
        <f t="shared" si="92"/>
        <v>273.69433466447049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1.3292888252840416</v>
      </c>
      <c r="BQ130" s="21">
        <f>EXP(-LN(2)/25)*BQ129+(1-EXP(-LN(2)/25))/(LN(2)/25)*Calculateur!BL130*Calculateur!BN130*VLOOKUP('Données projet'!$B$11,Paramètres!$A$1:$I$89,3,0)*0.475*44/12</f>
        <v>0.75740802766678694</v>
      </c>
      <c r="BR130" s="21">
        <f>EXP(-LN(2)/2)*BR129+(1-EXP(-LN(2)/2))/(LN(2)/2)*BL130*BO130*VLOOKUP('Données projet'!$B$11,Paramètres!$A$1:$I$89,3,0)*0.475*44/12</f>
        <v>2.7741972805741903E-14</v>
      </c>
      <c r="BS130" s="22">
        <f t="shared" si="63"/>
        <v>2.0866968529508561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2.0572770154103635E-13</v>
      </c>
      <c r="P131" s="13">
        <f t="shared" si="87"/>
        <v>2.8416956338469711E-12</v>
      </c>
      <c r="Q131" s="20">
        <f t="shared" ref="Q131:Q153" si="108">(O131+P131)*0.475*44/12</f>
        <v>5.3075956424674458E-12</v>
      </c>
      <c r="R131" s="59">
        <f t="shared" ref="R131:R194" si="109">Q131+(I131+J131)*44/12</f>
        <v>283.57463709857382</v>
      </c>
      <c r="S131" s="59">
        <f ca="1">AVERAGE(OFFSET($R$3,0,0,'Données projet'!$E$9+1,1))-AVERAGE(OFFSET($H$3,0,0,'Données projet'!$E$9+1,1))</f>
        <v>446.05900197653546</v>
      </c>
      <c r="T131" s="59">
        <f t="shared" si="88"/>
        <v>630.54710489646106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0.4729851445742172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8.3852667973762278E-15</v>
      </c>
      <c r="AC131" s="22">
        <f t="shared" si="57"/>
        <v>0.47298514457422558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394.69391436029986</v>
      </c>
      <c r="AO131" s="59">
        <f t="shared" si="90"/>
        <v>311.37245656657353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1.0738629014907239</v>
      </c>
      <c r="AV131" s="21">
        <f>EXP(-LN(2)/25)*AV130+(1-EXP(-LN(2)/25))/(LN(2)/25)*Calculateur!AQ131*Calculateur!AS131*VLOOKUP('Données projet'!$B$10,Paramètres!$A$1:$I$89,3,0)*0.475*44/12</f>
        <v>0.43887578474220129</v>
      </c>
      <c r="AW131" s="21">
        <f>EXP(-LN(2)/2)*AW130+(1-EXP(-LN(2)/2))/(LN(2)/2)*AQ131*AT131*VLOOKUP('Données projet'!$B$10,Paramètres!$A$1:$I$89,3,0)*0.475*44/12</f>
        <v>1.4073779485237028E-14</v>
      </c>
      <c r="AX131" s="21">
        <f t="shared" si="60"/>
        <v>1.5127386862329393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349.17860987804869</v>
      </c>
      <c r="BJ131" s="59">
        <f t="shared" si="92"/>
        <v>273.69433466447049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1.3032222822063464</v>
      </c>
      <c r="BQ131" s="21">
        <f>EXP(-LN(2)/25)*BQ130+(1-EXP(-LN(2)/25))/(LN(2)/25)*Calculateur!BL131*Calculateur!BN131*VLOOKUP('Données projet'!$B$11,Paramètres!$A$1:$I$89,3,0)*0.475*44/12</f>
        <v>0.73669666531988154</v>
      </c>
      <c r="BR131" s="21">
        <f>EXP(-LN(2)/2)*BR130+(1-EXP(-LN(2)/2))/(LN(2)/2)*BL131*BO131*VLOOKUP('Données projet'!$B$11,Paramètres!$A$1:$I$89,3,0)*0.475*44/12</f>
        <v>1.9616537094432893E-14</v>
      </c>
      <c r="BS131" s="22">
        <f t="shared" si="63"/>
        <v>2.0399189475262474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2.0572770154103635E-13</v>
      </c>
      <c r="P132" s="13">
        <f t="shared" si="87"/>
        <v>2.8416956338469711E-12</v>
      </c>
      <c r="Q132" s="20">
        <f t="shared" si="108"/>
        <v>5.3075956424674458E-12</v>
      </c>
      <c r="R132" s="59">
        <f t="shared" si="109"/>
        <v>283.74392866107064</v>
      </c>
      <c r="S132" s="59">
        <f ca="1">AVERAGE(OFFSET($R$3,0,0,'Données projet'!$E$9+1,1))-AVERAGE(OFFSET($H$3,0,0,'Données projet'!$E$9+1,1))</f>
        <v>446.05900197653546</v>
      </c>
      <c r="T132" s="59">
        <f t="shared" si="88"/>
        <v>630.54710489646106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0.46371019438156874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5.9292790144831345E-15</v>
      </c>
      <c r="AC132" s="22">
        <f t="shared" ref="AC132:AC153" si="111">SUM(Z132:AB132)</f>
        <v>0.46371019438157468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394.69391436029986</v>
      </c>
      <c r="AO132" s="59">
        <f t="shared" si="90"/>
        <v>311.37245656657353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1.0528051049841858</v>
      </c>
      <c r="AV132" s="21">
        <f>EXP(-LN(2)/25)*AV131+(1-EXP(-LN(2)/25))/(LN(2)/25)*Calculateur!AQ132*Calculateur!AS132*VLOOKUP('Données projet'!$B$10,Paramètres!$A$1:$I$89,3,0)*0.475*44/12</f>
        <v>0.42687470332895133</v>
      </c>
      <c r="AW132" s="21">
        <f>EXP(-LN(2)/2)*AW131+(1-EXP(-LN(2)/2))/(LN(2)/2)*AQ132*AT132*VLOOKUP('Données projet'!$B$10,Paramètres!$A$1:$I$89,3,0)*0.475*44/12</f>
        <v>9.951664910935221E-15</v>
      </c>
      <c r="AX132" s="21">
        <f t="shared" ref="AX132:AX153" si="114">SUM(AU132:AW132)</f>
        <v>1.479679808313147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349.17860987804869</v>
      </c>
      <c r="BJ132" s="59">
        <f t="shared" si="92"/>
        <v>273.69433466447049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1.2776668881393836</v>
      </c>
      <c r="BQ132" s="21">
        <f>EXP(-LN(2)/25)*BQ131+(1-EXP(-LN(2)/25))/(LN(2)/25)*Calculateur!BL132*Calculateur!BN132*VLOOKUP('Données projet'!$B$11,Paramètres!$A$1:$I$89,3,0)*0.475*44/12</f>
        <v>0.71655165626551554</v>
      </c>
      <c r="BR132" s="21">
        <f>EXP(-LN(2)/2)*BR131+(1-EXP(-LN(2)/2))/(LN(2)/2)*BL132*BO132*VLOOKUP('Données projet'!$B$11,Paramètres!$A$1:$I$89,3,0)*0.475*44/12</f>
        <v>1.3870986402870953E-14</v>
      </c>
      <c r="BS132" s="22">
        <f t="shared" ref="BS132:BS153" si="117">SUM(BP132:BR132)</f>
        <v>1.9942185444049128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2.0572770154103635E-13</v>
      </c>
      <c r="P133" s="13">
        <f t="shared" ref="P133:P196" si="141">EXP(-1.0587+0.8836*LN(O133)+0.284)</f>
        <v>2.8416956338469711E-12</v>
      </c>
      <c r="Q133" s="20">
        <f t="shared" si="108"/>
        <v>5.3075956424674458E-12</v>
      </c>
      <c r="R133" s="59">
        <f t="shared" si="109"/>
        <v>283.9102833934374</v>
      </c>
      <c r="S133" s="59">
        <f ca="1">AVERAGE(OFFSET($R$3,0,0,'Données projet'!$E$9+1,1))-AVERAGE(OFFSET($H$3,0,0,'Données projet'!$E$9+1,1))</f>
        <v>446.05900197653546</v>
      </c>
      <c r="T133" s="59">
        <f t="shared" ref="T133:T196" si="142">$T$3</f>
        <v>630.54710489646106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0.45461712030503709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4.1926333986881139E-15</v>
      </c>
      <c r="AC133" s="22">
        <f t="shared" si="111"/>
        <v>0.45461712030504131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394.69391436029986</v>
      </c>
      <c r="AO133" s="59">
        <f t="shared" ref="AO133:AO196" si="144">$AO$3</f>
        <v>311.37245656657353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1.032160239023153</v>
      </c>
      <c r="AV133" s="21">
        <f>EXP(-LN(2)/25)*AV132+(1-EXP(-LN(2)/25))/(LN(2)/25)*Calculateur!AQ133*Calculateur!AS133*VLOOKUP('Données projet'!$B$10,Paramètres!$A$1:$I$89,3,0)*0.475*44/12</f>
        <v>0.41520179211805613</v>
      </c>
      <c r="AW133" s="21">
        <f>EXP(-LN(2)/2)*AW132+(1-EXP(-LN(2)/2))/(LN(2)/2)*AQ133*AT133*VLOOKUP('Données projet'!$B$10,Paramètres!$A$1:$I$89,3,0)*0.475*44/12</f>
        <v>7.0368897426185148E-15</v>
      </c>
      <c r="AX133" s="21">
        <f t="shared" si="114"/>
        <v>1.4473620311412163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349.17860987804869</v>
      </c>
      <c r="BJ133" s="59">
        <f t="shared" ref="BJ133:BJ196" si="146">$BJ$3</f>
        <v>273.69433466447049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1.2526126197628225</v>
      </c>
      <c r="BQ133" s="21">
        <f>EXP(-LN(2)/25)*BQ132+(1-EXP(-LN(2)/25))/(LN(2)/25)*Calculateur!BL133*Calculateur!BN133*VLOOKUP('Données projet'!$B$11,Paramètres!$A$1:$I$89,3,0)*0.475*44/12</f>
        <v>0.69695751354312108</v>
      </c>
      <c r="BR133" s="21">
        <f>EXP(-LN(2)/2)*BR132+(1-EXP(-LN(2)/2))/(LN(2)/2)*BL133*BO133*VLOOKUP('Données projet'!$B$11,Paramètres!$A$1:$I$89,3,0)*0.475*44/12</f>
        <v>9.8082685472164481E-15</v>
      </c>
      <c r="BS133" s="22">
        <f t="shared" si="117"/>
        <v>1.9495701333059534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2.0572770154103635E-13</v>
      </c>
      <c r="P134" s="13">
        <f t="shared" si="141"/>
        <v>2.8416956338469711E-12</v>
      </c>
      <c r="Q134" s="20">
        <f t="shared" si="108"/>
        <v>5.3075956424674458E-12</v>
      </c>
      <c r="R134" s="59">
        <f t="shared" si="109"/>
        <v>284.07375224311102</v>
      </c>
      <c r="S134" s="59">
        <f ca="1">AVERAGE(OFFSET($R$3,0,0,'Données projet'!$E$9+1,1))-AVERAGE(OFFSET($H$3,0,0,'Données projet'!$E$9+1,1))</f>
        <v>446.05900197653546</v>
      </c>
      <c r="T134" s="59">
        <f t="shared" si="142"/>
        <v>630.54710489646106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0.44570235586491869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2.9646395072415673E-15</v>
      </c>
      <c r="AC134" s="22">
        <f t="shared" si="111"/>
        <v>0.44570235586492163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394.69391436029986</v>
      </c>
      <c r="AO134" s="59">
        <f t="shared" si="144"/>
        <v>311.37245656657353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1.0119202062914914</v>
      </c>
      <c r="AV134" s="21">
        <f>EXP(-LN(2)/25)*AV133+(1-EXP(-LN(2)/25))/(LN(2)/25)*Calculateur!AQ134*Calculateur!AS134*VLOOKUP('Données projet'!$B$10,Paramètres!$A$1:$I$89,3,0)*0.475*44/12</f>
        <v>0.40384807727807459</v>
      </c>
      <c r="AW134" s="21">
        <f>EXP(-LN(2)/2)*AW133+(1-EXP(-LN(2)/2))/(LN(2)/2)*AQ134*AT134*VLOOKUP('Données projet'!$B$10,Paramètres!$A$1:$I$89,3,0)*0.475*44/12</f>
        <v>4.9758324554676113E-15</v>
      </c>
      <c r="AX134" s="21">
        <f t="shared" si="114"/>
        <v>1.4157682835695709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349.17860987804869</v>
      </c>
      <c r="BJ134" s="59">
        <f t="shared" si="146"/>
        <v>273.69433466447049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1.2280496503075311</v>
      </c>
      <c r="BQ134" s="21">
        <f>EXP(-LN(2)/25)*BQ133+(1-EXP(-LN(2)/25))/(LN(2)/25)*Calculateur!BL134*Calculateur!BN134*VLOOKUP('Données projet'!$B$11,Paramètres!$A$1:$I$89,3,0)*0.475*44/12</f>
        <v>0.67789917368388175</v>
      </c>
      <c r="BR134" s="21">
        <f>EXP(-LN(2)/2)*BR133+(1-EXP(-LN(2)/2))/(LN(2)/2)*BL134*BO134*VLOOKUP('Données projet'!$B$11,Paramètres!$A$1:$I$89,3,0)*0.475*44/12</f>
        <v>6.935493201435478E-15</v>
      </c>
      <c r="BS134" s="22">
        <f t="shared" si="117"/>
        <v>1.9059488239914197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2.0572770154103635E-13</v>
      </c>
      <c r="P135" s="13">
        <f t="shared" si="141"/>
        <v>2.8416956338469711E-12</v>
      </c>
      <c r="Q135" s="20">
        <f t="shared" si="108"/>
        <v>5.3075956424674458E-12</v>
      </c>
      <c r="R135" s="59">
        <f t="shared" si="109"/>
        <v>284.23438527370445</v>
      </c>
      <c r="S135" s="59">
        <f ca="1">AVERAGE(OFFSET($R$3,0,0,'Données projet'!$E$9+1,1))-AVERAGE(OFFSET($H$3,0,0,'Données projet'!$E$9+1,1))</f>
        <v>446.05900197653546</v>
      </c>
      <c r="T135" s="59">
        <f t="shared" si="142"/>
        <v>630.54710489646106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0.43696240451800161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2.0963166993440569E-15</v>
      </c>
      <c r="AC135" s="22">
        <f t="shared" si="111"/>
        <v>0.43696240451800372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394.69391436029986</v>
      </c>
      <c r="AO135" s="59">
        <f t="shared" si="144"/>
        <v>311.37245656657353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0.99207706825649655</v>
      </c>
      <c r="AV135" s="21">
        <f>EXP(-LN(2)/25)*AV134+(1-EXP(-LN(2)/25))/(LN(2)/25)*Calculateur!AQ135*Calculateur!AS135*VLOOKUP('Données projet'!$B$10,Paramètres!$A$1:$I$89,3,0)*0.475*44/12</f>
        <v>0.39280483036745828</v>
      </c>
      <c r="AW135" s="21">
        <f>EXP(-LN(2)/2)*AW134+(1-EXP(-LN(2)/2))/(LN(2)/2)*AQ135*AT135*VLOOKUP('Données projet'!$B$10,Paramètres!$A$1:$I$89,3,0)*0.475*44/12</f>
        <v>3.5184448713092578E-15</v>
      </c>
      <c r="AX135" s="21">
        <f t="shared" si="114"/>
        <v>1.3848818986239584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349.17860987804869</v>
      </c>
      <c r="BJ135" s="59">
        <f t="shared" si="146"/>
        <v>273.69433466447049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1.2039683457013259</v>
      </c>
      <c r="BQ135" s="21">
        <f>EXP(-LN(2)/25)*BQ134+(1-EXP(-LN(2)/25))/(LN(2)/25)*Calculateur!BL135*Calculateur!BN135*VLOOKUP('Données projet'!$B$11,Paramètres!$A$1:$I$89,3,0)*0.475*44/12</f>
        <v>0.65936198513032784</v>
      </c>
      <c r="BR135" s="21">
        <f>EXP(-LN(2)/2)*BR134+(1-EXP(-LN(2)/2))/(LN(2)/2)*BL135*BO135*VLOOKUP('Données projet'!$B$11,Paramètres!$A$1:$I$89,3,0)*0.475*44/12</f>
        <v>4.9041342736082248E-15</v>
      </c>
      <c r="BS135" s="22">
        <f t="shared" si="117"/>
        <v>1.8633303308316587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2.0572770154103635E-13</v>
      </c>
      <c r="P136" s="13">
        <f t="shared" si="141"/>
        <v>2.8416956338469711E-12</v>
      </c>
      <c r="Q136" s="20">
        <f t="shared" si="108"/>
        <v>5.3075956424674458E-12</v>
      </c>
      <c r="R136" s="59">
        <f t="shared" si="109"/>
        <v>284.39223168033868</v>
      </c>
      <c r="S136" s="59">
        <f ca="1">AVERAGE(OFFSET($R$3,0,0,'Données projet'!$E$9+1,1))-AVERAGE(OFFSET($H$3,0,0,'Données projet'!$E$9+1,1))</f>
        <v>446.05900197653546</v>
      </c>
      <c r="T136" s="59">
        <f t="shared" si="142"/>
        <v>630.54710489646106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0.42839383828615363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1.4823197536207836E-15</v>
      </c>
      <c r="AC136" s="22">
        <f t="shared" si="111"/>
        <v>0.42839383828615513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394.69391436029986</v>
      </c>
      <c r="AO136" s="59">
        <f t="shared" si="144"/>
        <v>311.37245656657353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0.97262304205524897</v>
      </c>
      <c r="AV136" s="21">
        <f>EXP(-LN(2)/25)*AV135+(1-EXP(-LN(2)/25))/(LN(2)/25)*Calculateur!AQ136*Calculateur!AS136*VLOOKUP('Données projet'!$B$10,Paramètres!$A$1:$I$89,3,0)*0.475*44/12</f>
        <v>0.38206356162435184</v>
      </c>
      <c r="AW136" s="21">
        <f>EXP(-LN(2)/2)*AW135+(1-EXP(-LN(2)/2))/(LN(2)/2)*AQ136*AT136*VLOOKUP('Données projet'!$B$10,Paramètres!$A$1:$I$89,3,0)*0.475*44/12</f>
        <v>2.487916227733806E-15</v>
      </c>
      <c r="AX136" s="21">
        <f t="shared" si="114"/>
        <v>1.3546866036796033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349.17860987804869</v>
      </c>
      <c r="BJ136" s="59">
        <f t="shared" si="146"/>
        <v>273.69433466447049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1.1803592607903028</v>
      </c>
      <c r="BQ136" s="21">
        <f>EXP(-LN(2)/25)*BQ135+(1-EXP(-LN(2)/25))/(LN(2)/25)*Calculateur!BL136*Calculateur!BN136*VLOOKUP('Données projet'!$B$11,Paramètres!$A$1:$I$89,3,0)*0.475*44/12</f>
        <v>0.64133169697259917</v>
      </c>
      <c r="BR136" s="21">
        <f>EXP(-LN(2)/2)*BR135+(1-EXP(-LN(2)/2))/(LN(2)/2)*BL136*BO136*VLOOKUP('Données projet'!$B$11,Paramètres!$A$1:$I$89,3,0)*0.475*44/12</f>
        <v>3.4677466007177394E-15</v>
      </c>
      <c r="BS136" s="22">
        <f t="shared" si="117"/>
        <v>1.8216909577629057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2.0572770154103635E-13</v>
      </c>
      <c r="P137" s="13">
        <f t="shared" si="141"/>
        <v>2.8416956338469711E-12</v>
      </c>
      <c r="Q137" s="20">
        <f t="shared" si="108"/>
        <v>5.3075956424674458E-12</v>
      </c>
      <c r="R137" s="59">
        <f t="shared" si="109"/>
        <v>284.54733980470957</v>
      </c>
      <c r="S137" s="59">
        <f ca="1">AVERAGE(OFFSET($R$3,0,0,'Données projet'!$E$9+1,1))-AVERAGE(OFFSET($H$3,0,0,'Données projet'!$E$9+1,1))</f>
        <v>446.05900197653546</v>
      </c>
      <c r="T137" s="59">
        <f t="shared" si="142"/>
        <v>630.54710489646106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0.41999329641180283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1.0481583496720285E-15</v>
      </c>
      <c r="AC137" s="22">
        <f t="shared" si="111"/>
        <v>0.41999329641180388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394.69391436029986</v>
      </c>
      <c r="AO137" s="59">
        <f t="shared" si="144"/>
        <v>311.37245656657353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0.95355049744202347</v>
      </c>
      <c r="AV137" s="21">
        <f>EXP(-LN(2)/25)*AV136+(1-EXP(-LN(2)/25))/(LN(2)/25)*Calculateur!AQ137*Calculateur!AS137*VLOOKUP('Données projet'!$B$10,Paramètres!$A$1:$I$89,3,0)*0.475*44/12</f>
        <v>0.37161601343988443</v>
      </c>
      <c r="AW137" s="21">
        <f>EXP(-LN(2)/2)*AW136+(1-EXP(-LN(2)/2))/(LN(2)/2)*AQ137*AT137*VLOOKUP('Données projet'!$B$10,Paramètres!$A$1:$I$89,3,0)*0.475*44/12</f>
        <v>1.7592224356546293E-15</v>
      </c>
      <c r="AX137" s="21">
        <f t="shared" si="114"/>
        <v>1.3251665108819097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349.17860987804869</v>
      </c>
      <c r="BJ137" s="59">
        <f t="shared" si="146"/>
        <v>273.69433466447049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1.1572131356342652</v>
      </c>
      <c r="BQ137" s="21">
        <f>EXP(-LN(2)/25)*BQ136+(1-EXP(-LN(2)/25))/(LN(2)/25)*Calculateur!BL137*Calculateur!BN137*VLOOKUP('Données projet'!$B$11,Paramètres!$A$1:$I$89,3,0)*0.475*44/12</f>
        <v>0.62379444799271533</v>
      </c>
      <c r="BR137" s="21">
        <f>EXP(-LN(2)/2)*BR136+(1-EXP(-LN(2)/2))/(LN(2)/2)*BL137*BO137*VLOOKUP('Données projet'!$B$11,Paramètres!$A$1:$I$89,3,0)*0.475*44/12</f>
        <v>2.4520671368041128E-15</v>
      </c>
      <c r="BS137" s="22">
        <f t="shared" si="117"/>
        <v>1.781007583626983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2.0572770154103635E-13</v>
      </c>
      <c r="P138" s="13">
        <f t="shared" si="141"/>
        <v>2.8416956338469711E-12</v>
      </c>
      <c r="Q138" s="20">
        <f t="shared" si="108"/>
        <v>5.3075956424674458E-12</v>
      </c>
      <c r="R138" s="59">
        <f t="shared" si="109"/>
        <v>284.69975714989243</v>
      </c>
      <c r="S138" s="59">
        <f ca="1">AVERAGE(OFFSET($R$3,0,0,'Données projet'!$E$9+1,1))-AVERAGE(OFFSET($H$3,0,0,'Données projet'!$E$9+1,1))</f>
        <v>446.05900197653546</v>
      </c>
      <c r="T138" s="59">
        <f t="shared" si="142"/>
        <v>630.54710489646106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0.41175748403978346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7.4115987681039182E-16</v>
      </c>
      <c r="AC138" s="22">
        <f t="shared" si="111"/>
        <v>0.41175748403978418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394.69391436029986</v>
      </c>
      <c r="AO138" s="59">
        <f t="shared" si="144"/>
        <v>311.37245656657353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0.93485195379555974</v>
      </c>
      <c r="AV138" s="21">
        <f>EXP(-LN(2)/25)*AV137+(1-EXP(-LN(2)/25))/(LN(2)/25)*Calculateur!AQ138*Calculateur!AS138*VLOOKUP('Données projet'!$B$10,Paramètres!$A$1:$I$89,3,0)*0.475*44/12</f>
        <v>0.36145415400993397</v>
      </c>
      <c r="AW138" s="21">
        <f>EXP(-LN(2)/2)*AW137+(1-EXP(-LN(2)/2))/(LN(2)/2)*AQ138*AT138*VLOOKUP('Données projet'!$B$10,Paramètres!$A$1:$I$89,3,0)*0.475*44/12</f>
        <v>1.2439581138669032E-15</v>
      </c>
      <c r="AX138" s="21">
        <f t="shared" si="114"/>
        <v>1.2963061078054952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349.17860987804869</v>
      </c>
      <c r="BJ138" s="59">
        <f t="shared" si="146"/>
        <v>273.69433466447049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1.1345208918747951</v>
      </c>
      <c r="BQ138" s="21">
        <f>EXP(-LN(2)/25)*BQ137+(1-EXP(-LN(2)/25))/(LN(2)/25)*Calculateur!BL138*Calculateur!BN138*VLOOKUP('Données projet'!$B$11,Paramètres!$A$1:$I$89,3,0)*0.475*44/12</f>
        <v>0.60673675600843024</v>
      </c>
      <c r="BR138" s="21">
        <f>EXP(-LN(2)/2)*BR137+(1-EXP(-LN(2)/2))/(LN(2)/2)*BL138*BO138*VLOOKUP('Données projet'!$B$11,Paramètres!$A$1:$I$89,3,0)*0.475*44/12</f>
        <v>1.7338733003588701E-15</v>
      </c>
      <c r="BS138" s="22">
        <f t="shared" si="117"/>
        <v>1.7412576478832271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2.0572770154103635E-13</v>
      </c>
      <c r="P139" s="13">
        <f t="shared" si="141"/>
        <v>2.8416956338469711E-12</v>
      </c>
      <c r="Q139" s="20">
        <f t="shared" si="108"/>
        <v>5.3075956424674458E-12</v>
      </c>
      <c r="R139" s="59">
        <f t="shared" si="109"/>
        <v>284.84953039489051</v>
      </c>
      <c r="S139" s="59">
        <f ca="1">AVERAGE(OFFSET($R$3,0,0,'Données projet'!$E$9+1,1))-AVERAGE(OFFSET($H$3,0,0,'Données projet'!$E$9+1,1))</f>
        <v>446.05900197653546</v>
      </c>
      <c r="T139" s="59">
        <f t="shared" si="142"/>
        <v>630.54710489646106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0.40368317092502987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5.2407917483601424E-16</v>
      </c>
      <c r="AC139" s="22">
        <f t="shared" si="111"/>
        <v>0.40368317092503037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394.69391436029986</v>
      </c>
      <c r="AO139" s="59">
        <f t="shared" si="144"/>
        <v>311.37245656657353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0.91652007718501771</v>
      </c>
      <c r="AV139" s="21">
        <f>EXP(-LN(2)/25)*AV138+(1-EXP(-LN(2)/25))/(LN(2)/25)*Calculateur!AQ139*Calculateur!AS139*VLOOKUP('Données projet'!$B$10,Paramètres!$A$1:$I$89,3,0)*0.475*44/12</f>
        <v>0.3515701711604845</v>
      </c>
      <c r="AW139" s="21">
        <f>EXP(-LN(2)/2)*AW138+(1-EXP(-LN(2)/2))/(LN(2)/2)*AQ139*AT139*VLOOKUP('Données projet'!$B$10,Paramètres!$A$1:$I$89,3,0)*0.475*44/12</f>
        <v>8.7961121782731475E-16</v>
      </c>
      <c r="AX139" s="21">
        <f t="shared" si="114"/>
        <v>1.2680902483455032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349.17860987804869</v>
      </c>
      <c r="BJ139" s="59">
        <f t="shared" si="146"/>
        <v>273.69433466447049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1.1122736291745461</v>
      </c>
      <c r="BQ139" s="21">
        <f>EXP(-LN(2)/25)*BQ138+(1-EXP(-LN(2)/25))/(LN(2)/25)*Calculateur!BL139*Calculateur!BN139*VLOOKUP('Données projet'!$B$11,Paramètres!$A$1:$I$89,3,0)*0.475*44/12</f>
        <v>0.59014550750848038</v>
      </c>
      <c r="BR139" s="21">
        <f>EXP(-LN(2)/2)*BR138+(1-EXP(-LN(2)/2))/(LN(2)/2)*BL139*BO139*VLOOKUP('Données projet'!$B$11,Paramètres!$A$1:$I$89,3,0)*0.475*44/12</f>
        <v>1.2260335684020566E-15</v>
      </c>
      <c r="BS139" s="22">
        <f t="shared" si="117"/>
        <v>1.7024191366830279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2.0572770154103635E-13</v>
      </c>
      <c r="P140" s="13">
        <f t="shared" si="141"/>
        <v>2.8416956338469711E-12</v>
      </c>
      <c r="Q140" s="20">
        <f t="shared" si="108"/>
        <v>5.3075956424674458E-12</v>
      </c>
      <c r="R140" s="59">
        <f t="shared" si="109"/>
        <v>284.99670540893067</v>
      </c>
      <c r="S140" s="59">
        <f ca="1">AVERAGE(OFFSET($R$3,0,0,'Données projet'!$E$9+1,1))-AVERAGE(OFFSET($H$3,0,0,'Données projet'!$E$9+1,1))</f>
        <v>446.05900197653546</v>
      </c>
      <c r="T140" s="59">
        <f t="shared" si="142"/>
        <v>630.54710489646106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0.39576719016561185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3.7057993840519591E-16</v>
      </c>
      <c r="AC140" s="22">
        <f t="shared" si="111"/>
        <v>0.39576719016561224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394.69391436029986</v>
      </c>
      <c r="AO140" s="59">
        <f t="shared" si="144"/>
        <v>311.37245656657353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0.89854767749346776</v>
      </c>
      <c r="AV140" s="21">
        <f>EXP(-LN(2)/25)*AV139+(1-EXP(-LN(2)/25))/(LN(2)/25)*Calculateur!AQ140*Calculateur!AS140*VLOOKUP('Données projet'!$B$10,Paramètres!$A$1:$I$89,3,0)*0.475*44/12</f>
        <v>0.3419564663418293</v>
      </c>
      <c r="AW140" s="21">
        <f>EXP(-LN(2)/2)*AW139+(1-EXP(-LN(2)/2))/(LN(2)/2)*AQ140*AT140*VLOOKUP('Données projet'!$B$10,Paramètres!$A$1:$I$89,3,0)*0.475*44/12</f>
        <v>6.2197905693345171E-16</v>
      </c>
      <c r="AX140" s="21">
        <f t="shared" si="114"/>
        <v>1.2405041438352977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349.17860987804869</v>
      </c>
      <c r="BJ140" s="59">
        <f t="shared" si="146"/>
        <v>273.69433466447049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1.0904626217263587</v>
      </c>
      <c r="BQ140" s="21">
        <f>EXP(-LN(2)/25)*BQ139+(1-EXP(-LN(2)/25))/(LN(2)/25)*Calculateur!BL140*Calculateur!BN140*VLOOKUP('Données projet'!$B$11,Paramètres!$A$1:$I$89,3,0)*0.475*44/12</f>
        <v>0.5740079475712575</v>
      </c>
      <c r="BR140" s="21">
        <f>EXP(-LN(2)/2)*BR139+(1-EXP(-LN(2)/2))/(LN(2)/2)*BL140*BO140*VLOOKUP('Données projet'!$B$11,Paramètres!$A$1:$I$89,3,0)*0.475*44/12</f>
        <v>8.6693665017943514E-16</v>
      </c>
      <c r="BS140" s="22">
        <f t="shared" si="117"/>
        <v>1.6644705692976172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2.0572770154103635E-13</v>
      </c>
      <c r="P141" s="13">
        <f t="shared" si="141"/>
        <v>2.8416956338469711E-12</v>
      </c>
      <c r="Q141" s="20">
        <f t="shared" si="108"/>
        <v>5.3075956424674458E-12</v>
      </c>
      <c r="R141" s="59">
        <f t="shared" si="109"/>
        <v>285.14132726551122</v>
      </c>
      <c r="S141" s="59">
        <f ca="1">AVERAGE(OFFSET($R$3,0,0,'Données projet'!$E$9+1,1))-AVERAGE(OFFSET($H$3,0,0,'Données projet'!$E$9+1,1))</f>
        <v>446.05900197653546</v>
      </c>
      <c r="T141" s="59">
        <f t="shared" si="142"/>
        <v>630.54710489646106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0.38800643696061449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2.6203958741800712E-16</v>
      </c>
      <c r="AC141" s="22">
        <f t="shared" si="111"/>
        <v>0.38800643696061476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394.69391436029986</v>
      </c>
      <c r="AO141" s="59">
        <f t="shared" si="144"/>
        <v>311.37245656657353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0.88092770559778766</v>
      </c>
      <c r="AV141" s="21">
        <f>EXP(-LN(2)/25)*AV140+(1-EXP(-LN(2)/25))/(LN(2)/25)*Calculateur!AQ141*Calculateur!AS141*VLOOKUP('Données projet'!$B$10,Paramètres!$A$1:$I$89,3,0)*0.475*44/12</f>
        <v>0.33260564878700294</v>
      </c>
      <c r="AW141" s="21">
        <f>EXP(-LN(2)/2)*AW140+(1-EXP(-LN(2)/2))/(LN(2)/2)*AQ141*AT141*VLOOKUP('Données projet'!$B$10,Paramètres!$A$1:$I$89,3,0)*0.475*44/12</f>
        <v>4.3980560891365747E-16</v>
      </c>
      <c r="AX141" s="21">
        <f t="shared" si="114"/>
        <v>1.213533354384791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349.17860987804869</v>
      </c>
      <c r="BJ141" s="59">
        <f t="shared" si="146"/>
        <v>273.69433466447049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1.0690793148308293</v>
      </c>
      <c r="BQ141" s="21">
        <f>EXP(-LN(2)/25)*BQ140+(1-EXP(-LN(2)/25))/(LN(2)/25)*Calculateur!BL141*Calculateur!BN141*VLOOKUP('Données projet'!$B$11,Paramètres!$A$1:$I$89,3,0)*0.475*44/12</f>
        <v>0.55831167005915538</v>
      </c>
      <c r="BR141" s="21">
        <f>EXP(-LN(2)/2)*BR140+(1-EXP(-LN(2)/2))/(LN(2)/2)*BL141*BO141*VLOOKUP('Données projet'!$B$11,Paramètres!$A$1:$I$89,3,0)*0.475*44/12</f>
        <v>6.130167842010284E-16</v>
      </c>
      <c r="BS141" s="22">
        <f t="shared" si="117"/>
        <v>1.6273909848899855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2.0572770154103635E-13</v>
      </c>
      <c r="P142" s="13">
        <f t="shared" si="141"/>
        <v>2.8416956338469711E-12</v>
      </c>
      <c r="Q142" s="20">
        <f t="shared" si="108"/>
        <v>5.3075956424674458E-12</v>
      </c>
      <c r="R142" s="59">
        <f t="shared" si="109"/>
        <v>285.28344025620618</v>
      </c>
      <c r="S142" s="59">
        <f ca="1">AVERAGE(OFFSET($R$3,0,0,'Données projet'!$E$9+1,1))-AVERAGE(OFFSET($H$3,0,0,'Données projet'!$E$9+1,1))</f>
        <v>446.05900197653546</v>
      </c>
      <c r="T142" s="59">
        <f t="shared" si="142"/>
        <v>630.54710489646106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0.38039786739237508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1.8528996920259795E-16</v>
      </c>
      <c r="AC142" s="22">
        <f t="shared" si="111"/>
        <v>0.38039786739237524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394.69391436029986</v>
      </c>
      <c r="AO142" s="59">
        <f t="shared" si="144"/>
        <v>311.37245656657353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0.86365325060386022</v>
      </c>
      <c r="AV142" s="21">
        <f>EXP(-LN(2)/25)*AV141+(1-EXP(-LN(2)/25))/(LN(2)/25)*Calculateur!AQ142*Calculateur!AS142*VLOOKUP('Données projet'!$B$10,Paramètres!$A$1:$I$89,3,0)*0.475*44/12</f>
        <v>0.32351052982995143</v>
      </c>
      <c r="AW142" s="21">
        <f>EXP(-LN(2)/2)*AW141+(1-EXP(-LN(2)/2))/(LN(2)/2)*AQ142*AT142*VLOOKUP('Données projet'!$B$10,Paramètres!$A$1:$I$89,3,0)*0.475*44/12</f>
        <v>3.109895284667259E-16</v>
      </c>
      <c r="AX142" s="21">
        <f t="shared" si="114"/>
        <v>1.187163780433812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349.17860987804869</v>
      </c>
      <c r="BJ142" s="59">
        <f t="shared" si="146"/>
        <v>273.69433466447049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1.0481153215409917</v>
      </c>
      <c r="BQ142" s="21">
        <f>EXP(-LN(2)/25)*BQ141+(1-EXP(-LN(2)/25))/(LN(2)/25)*Calculateur!BL142*Calculateur!BN142*VLOOKUP('Données projet'!$B$11,Paramètres!$A$1:$I$89,3,0)*0.475*44/12</f>
        <v>0.54304460808105304</v>
      </c>
      <c r="BR142" s="21">
        <f>EXP(-LN(2)/2)*BR141+(1-EXP(-LN(2)/2))/(LN(2)/2)*BL142*BO142*VLOOKUP('Données projet'!$B$11,Paramètres!$A$1:$I$89,3,0)*0.475*44/12</f>
        <v>4.3346832508971762E-16</v>
      </c>
      <c r="BS142" s="22">
        <f t="shared" si="117"/>
        <v>1.5911599296220453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2.0572770154103635E-13</v>
      </c>
      <c r="P143" s="13">
        <f t="shared" si="141"/>
        <v>2.8416956338469711E-12</v>
      </c>
      <c r="Q143" s="20">
        <f t="shared" si="108"/>
        <v>5.3075956424674458E-12</v>
      </c>
      <c r="R143" s="59">
        <f t="shared" si="109"/>
        <v>285.42308790422965</v>
      </c>
      <c r="S143" s="59">
        <f ca="1">AVERAGE(OFFSET($R$3,0,0,'Données projet'!$E$9+1,1))-AVERAGE(OFFSET($H$3,0,0,'Données projet'!$E$9+1,1))</f>
        <v>446.05900197653546</v>
      </c>
      <c r="T143" s="59">
        <f t="shared" si="142"/>
        <v>630.54710489646106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0.37293849723259964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1.3101979370900356E-16</v>
      </c>
      <c r="AC143" s="22">
        <f t="shared" si="111"/>
        <v>0.37293849723259975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394.69391436029986</v>
      </c>
      <c r="AO143" s="59">
        <f t="shared" si="144"/>
        <v>311.37245656657353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0.84671753713598652</v>
      </c>
      <c r="AV143" s="21">
        <f>EXP(-LN(2)/25)*AV142+(1-EXP(-LN(2)/25))/(LN(2)/25)*Calculateur!AQ143*Calculateur!AS143*VLOOKUP('Données projet'!$B$10,Paramètres!$A$1:$I$89,3,0)*0.475*44/12</f>
        <v>0.31466411737907202</v>
      </c>
      <c r="AW143" s="21">
        <f>EXP(-LN(2)/2)*AW142+(1-EXP(-LN(2)/2))/(LN(2)/2)*AQ143*AT143*VLOOKUP('Données projet'!$B$10,Paramètres!$A$1:$I$89,3,0)*0.475*44/12</f>
        <v>2.1990280445682876E-16</v>
      </c>
      <c r="AX143" s="21">
        <f t="shared" si="114"/>
        <v>1.1613816545150588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349.17860987804869</v>
      </c>
      <c r="BJ143" s="59">
        <f t="shared" si="146"/>
        <v>273.69433466447049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1.0275624193727946</v>
      </c>
      <c r="BQ143" s="21">
        <f>EXP(-LN(2)/25)*BQ142+(1-EXP(-LN(2)/25))/(LN(2)/25)*Calculateur!BL143*Calculateur!BN143*VLOOKUP('Données projet'!$B$11,Paramètres!$A$1:$I$89,3,0)*0.475*44/12</f>
        <v>0.52819502471560187</v>
      </c>
      <c r="BR143" s="21">
        <f>EXP(-LN(2)/2)*BR142+(1-EXP(-LN(2)/2))/(LN(2)/2)*BL143*BO143*VLOOKUP('Données projet'!$B$11,Paramètres!$A$1:$I$89,3,0)*0.475*44/12</f>
        <v>3.0650839210051425E-16</v>
      </c>
      <c r="BS143" s="22">
        <f t="shared" si="117"/>
        <v>1.5557574440883968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2.0572770154103635E-13</v>
      </c>
      <c r="P144" s="13">
        <f t="shared" si="141"/>
        <v>2.8416956338469711E-12</v>
      </c>
      <c r="Q144" s="20">
        <f t="shared" si="108"/>
        <v>5.3075956424674458E-12</v>
      </c>
      <c r="R144" s="59">
        <f t="shared" si="109"/>
        <v>285.56031297776531</v>
      </c>
      <c r="S144" s="59">
        <f ca="1">AVERAGE(OFFSET($R$3,0,0,'Données projet'!$E$9+1,1))-AVERAGE(OFFSET($H$3,0,0,'Données projet'!$E$9+1,1))</f>
        <v>446.05900197653546</v>
      </c>
      <c r="T144" s="59">
        <f t="shared" si="142"/>
        <v>630.54710489646106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0.36562540077189087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9.2644984601298977E-17</v>
      </c>
      <c r="AC144" s="22">
        <f t="shared" si="111"/>
        <v>0.36562540077189098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394.69391436029986</v>
      </c>
      <c r="AO144" s="59">
        <f t="shared" si="144"/>
        <v>311.37245656657353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0.83011392267945261</v>
      </c>
      <c r="AV144" s="21">
        <f>EXP(-LN(2)/25)*AV143+(1-EXP(-LN(2)/25))/(LN(2)/25)*Calculateur!AQ144*Calculateur!AS144*VLOOKUP('Données projet'!$B$10,Paramètres!$A$1:$I$89,3,0)*0.475*44/12</f>
        <v>0.30605961054187453</v>
      </c>
      <c r="AW144" s="21">
        <f>EXP(-LN(2)/2)*AW143+(1-EXP(-LN(2)/2))/(LN(2)/2)*AQ144*AT144*VLOOKUP('Données projet'!$B$10,Paramètres!$A$1:$I$89,3,0)*0.475*44/12</f>
        <v>1.5549476423336298E-16</v>
      </c>
      <c r="AX144" s="21">
        <f t="shared" si="114"/>
        <v>1.1361735332213274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349.17860987804869</v>
      </c>
      <c r="BJ144" s="59">
        <f t="shared" si="146"/>
        <v>273.69433466447049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1.0074125470800834</v>
      </c>
      <c r="BQ144" s="21">
        <f>EXP(-LN(2)/25)*BQ143+(1-EXP(-LN(2)/25))/(LN(2)/25)*Calculateur!BL144*Calculateur!BN144*VLOOKUP('Données projet'!$B$11,Paramètres!$A$1:$I$89,3,0)*0.475*44/12</f>
        <v>0.51375150398818459</v>
      </c>
      <c r="BR144" s="21">
        <f>EXP(-LN(2)/2)*BR143+(1-EXP(-LN(2)/2))/(LN(2)/2)*BL144*BO144*VLOOKUP('Données projet'!$B$11,Paramètres!$A$1:$I$89,3,0)*0.475*44/12</f>
        <v>2.1673416254485886E-16</v>
      </c>
      <c r="BS144" s="22">
        <f t="shared" si="117"/>
        <v>1.5211640510682682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2.0572770154103635E-13</v>
      </c>
      <c r="P145" s="13">
        <f t="shared" si="141"/>
        <v>2.8416956338469711E-12</v>
      </c>
      <c r="Q145" s="20">
        <f t="shared" si="108"/>
        <v>5.3075956424674458E-12</v>
      </c>
      <c r="R145" s="59">
        <f t="shared" si="109"/>
        <v>285.69515750306437</v>
      </c>
      <c r="S145" s="59">
        <f ca="1">AVERAGE(OFFSET($R$3,0,0,'Données projet'!$E$9+1,1))-AVERAGE(OFFSET($H$3,0,0,'Données projet'!$E$9+1,1))</f>
        <v>446.05900197653546</v>
      </c>
      <c r="T145" s="59">
        <f t="shared" si="142"/>
        <v>630.54710489646106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0.35845570967222823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6.550989685450178E-17</v>
      </c>
      <c r="AC145" s="22">
        <f t="shared" si="111"/>
        <v>0.35845570967222828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394.69391436029986</v>
      </c>
      <c r="AO145" s="59">
        <f t="shared" si="144"/>
        <v>311.37245656657353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0.81383589497520648</v>
      </c>
      <c r="AV145" s="21">
        <f>EXP(-LN(2)/25)*AV144+(1-EXP(-LN(2)/25))/(LN(2)/25)*Calculateur!AQ145*Calculateur!AS145*VLOOKUP('Données projet'!$B$10,Paramètres!$A$1:$I$89,3,0)*0.475*44/12</f>
        <v>0.29769039439663159</v>
      </c>
      <c r="AW145" s="21">
        <f>EXP(-LN(2)/2)*AW144+(1-EXP(-LN(2)/2))/(LN(2)/2)*AQ145*AT145*VLOOKUP('Données projet'!$B$10,Paramètres!$A$1:$I$89,3,0)*0.475*44/12</f>
        <v>1.0995140222841439E-16</v>
      </c>
      <c r="AX145" s="21">
        <f t="shared" si="114"/>
        <v>1.1115262893718381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349.17860987804869</v>
      </c>
      <c r="BJ145" s="59">
        <f t="shared" si="146"/>
        <v>273.69433466447049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0.98765780149282378</v>
      </c>
      <c r="BQ145" s="21">
        <f>EXP(-LN(2)/25)*BQ144+(1-EXP(-LN(2)/25))/(LN(2)/25)*Calculateur!BL145*Calculateur!BN145*VLOOKUP('Données projet'!$B$11,Paramètres!$A$1:$I$89,3,0)*0.475*44/12</f>
        <v>0.4997029420946103</v>
      </c>
      <c r="BR145" s="21">
        <f>EXP(-LN(2)/2)*BR144+(1-EXP(-LN(2)/2))/(LN(2)/2)*BL145*BO145*VLOOKUP('Données projet'!$B$11,Paramètres!$A$1:$I$89,3,0)*0.475*44/12</f>
        <v>1.5325419605025715E-16</v>
      </c>
      <c r="BS145" s="22">
        <f t="shared" si="117"/>
        <v>1.4873607435874343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2.0572770154103635E-13</v>
      </c>
      <c r="P146" s="13">
        <f t="shared" si="141"/>
        <v>2.8416956338469711E-12</v>
      </c>
      <c r="Q146" s="20">
        <f t="shared" si="108"/>
        <v>5.3075956424674458E-12</v>
      </c>
      <c r="R146" s="59">
        <f t="shared" si="109"/>
        <v>285.82766277731673</v>
      </c>
      <c r="S146" s="59">
        <f ca="1">AVERAGE(OFFSET($R$3,0,0,'Données projet'!$E$9+1,1))-AVERAGE(OFFSET($H$3,0,0,'Données projet'!$E$9+1,1))</f>
        <v>446.05900197653546</v>
      </c>
      <c r="T146" s="59">
        <f t="shared" si="142"/>
        <v>630.54710489646106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0.35142661184195018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4.6322492300649489E-17</v>
      </c>
      <c r="AC146" s="22">
        <f t="shared" si="111"/>
        <v>0.35142661184195023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394.69391436029986</v>
      </c>
      <c r="AO146" s="59">
        <f t="shared" si="144"/>
        <v>311.37245656657353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0.79787706946562409</v>
      </c>
      <c r="AV146" s="21">
        <f>EXP(-LN(2)/25)*AV145+(1-EXP(-LN(2)/25))/(LN(2)/25)*Calculateur!AQ146*Calculateur!AS146*VLOOKUP('Données projet'!$B$10,Paramètres!$A$1:$I$89,3,0)*0.475*44/12</f>
        <v>0.28955003490699821</v>
      </c>
      <c r="AW146" s="21">
        <f>EXP(-LN(2)/2)*AW145+(1-EXP(-LN(2)/2))/(LN(2)/2)*AQ146*AT146*VLOOKUP('Données projet'!$B$10,Paramètres!$A$1:$I$89,3,0)*0.475*44/12</f>
        <v>7.77473821166815E-17</v>
      </c>
      <c r="AX146" s="21">
        <f t="shared" si="114"/>
        <v>1.0874271043726222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349.17860987804869</v>
      </c>
      <c r="BJ146" s="59">
        <f t="shared" si="146"/>
        <v>273.69433466447049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0.96829043441732521</v>
      </c>
      <c r="BQ146" s="21">
        <f>EXP(-LN(2)/25)*BQ145+(1-EXP(-LN(2)/25))/(LN(2)/25)*Calculateur!BL146*Calculateur!BN146*VLOOKUP('Données projet'!$B$11,Paramètres!$A$1:$I$89,3,0)*0.475*44/12</f>
        <v>0.48603853886479753</v>
      </c>
      <c r="BR146" s="21">
        <f>EXP(-LN(2)/2)*BR145+(1-EXP(-LN(2)/2))/(LN(2)/2)*BL146*BO146*VLOOKUP('Données projet'!$B$11,Paramètres!$A$1:$I$89,3,0)*0.475*44/12</f>
        <v>1.0836708127242944E-16</v>
      </c>
      <c r="BS146" s="22">
        <f t="shared" si="117"/>
        <v>1.4543289732821227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2.0572770154103635E-13</v>
      </c>
      <c r="P147" s="13">
        <f t="shared" si="141"/>
        <v>2.8416956338469711E-12</v>
      </c>
      <c r="Q147" s="20">
        <f t="shared" si="108"/>
        <v>5.3075956424674458E-12</v>
      </c>
      <c r="R147" s="59">
        <f t="shared" si="109"/>
        <v>285.95786938129817</v>
      </c>
      <c r="S147" s="59">
        <f ca="1">AVERAGE(OFFSET($R$3,0,0,'Données projet'!$E$9+1,1))-AVERAGE(OFFSET($H$3,0,0,'Données projet'!$E$9+1,1))</f>
        <v>446.05900197653546</v>
      </c>
      <c r="T147" s="59">
        <f t="shared" si="142"/>
        <v>630.54710489646106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0.34453535033279753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3.275494842725089E-17</v>
      </c>
      <c r="AC147" s="22">
        <f t="shared" si="111"/>
        <v>0.34453535033279759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394.69391436029986</v>
      </c>
      <c r="AO147" s="59">
        <f t="shared" si="144"/>
        <v>311.37245656657353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0.78223118679036219</v>
      </c>
      <c r="AV147" s="21">
        <f>EXP(-LN(2)/25)*AV146+(1-EXP(-LN(2)/25))/(LN(2)/25)*Calculateur!AQ147*Calculateur!AS147*VLOOKUP('Données projet'!$B$10,Paramètres!$A$1:$I$89,3,0)*0.475*44/12</f>
        <v>0.28163227397569179</v>
      </c>
      <c r="AW147" s="21">
        <f>EXP(-LN(2)/2)*AW146+(1-EXP(-LN(2)/2))/(LN(2)/2)*AQ147*AT147*VLOOKUP('Données projet'!$B$10,Paramètres!$A$1:$I$89,3,0)*0.475*44/12</f>
        <v>5.4975701114207209E-17</v>
      </c>
      <c r="AX147" s="21">
        <f t="shared" si="114"/>
        <v>1.063863460766054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349.17860987804869</v>
      </c>
      <c r="BJ147" s="59">
        <f t="shared" si="146"/>
        <v>273.69433466447049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0.94930284959724964</v>
      </c>
      <c r="BQ147" s="21">
        <f>EXP(-LN(2)/25)*BQ146+(1-EXP(-LN(2)/25))/(LN(2)/25)*Calculateur!BL147*Calculateur!BN147*VLOOKUP('Données projet'!$B$11,Paramètres!$A$1:$I$89,3,0)*0.475*44/12</f>
        <v>0.47274778945988372</v>
      </c>
      <c r="BR147" s="21">
        <f>EXP(-LN(2)/2)*BR146+(1-EXP(-LN(2)/2))/(LN(2)/2)*BL147*BO147*VLOOKUP('Données projet'!$B$11,Paramètres!$A$1:$I$89,3,0)*0.475*44/12</f>
        <v>7.6627098025128587E-17</v>
      </c>
      <c r="BS147" s="22">
        <f t="shared" si="117"/>
        <v>1.4220506390571335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2.0572770154103635E-13</v>
      </c>
      <c r="P148" s="13">
        <f t="shared" si="141"/>
        <v>2.8416956338469711E-12</v>
      </c>
      <c r="Q148" s="20">
        <f t="shared" si="108"/>
        <v>5.3075956424674458E-12</v>
      </c>
      <c r="R148" s="59">
        <f t="shared" si="109"/>
        <v>286.08581719179887</v>
      </c>
      <c r="S148" s="59">
        <f ca="1">AVERAGE(OFFSET($R$3,0,0,'Données projet'!$E$9+1,1))-AVERAGE(OFFSET($H$3,0,0,'Données projet'!$E$9+1,1))</f>
        <v>446.05900197653546</v>
      </c>
      <c r="T148" s="59">
        <f t="shared" si="142"/>
        <v>630.54710489646106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0.33777922225858492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2.3161246150324744E-17</v>
      </c>
      <c r="AC148" s="22">
        <f t="shared" si="111"/>
        <v>0.33777922225858492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394.69391436029986</v>
      </c>
      <c r="AO148" s="59">
        <f t="shared" si="144"/>
        <v>311.37245656657353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0.76689211033131599</v>
      </c>
      <c r="AV148" s="21">
        <f>EXP(-LN(2)/25)*AV147+(1-EXP(-LN(2)/25))/(LN(2)/25)*Calculateur!AQ148*Calculateur!AS148*VLOOKUP('Données projet'!$B$10,Paramètres!$A$1:$I$89,3,0)*0.475*44/12</f>
        <v>0.27393102463342889</v>
      </c>
      <c r="AW148" s="21">
        <f>EXP(-LN(2)/2)*AW147+(1-EXP(-LN(2)/2))/(LN(2)/2)*AQ148*AT148*VLOOKUP('Données projet'!$B$10,Paramètres!$A$1:$I$89,3,0)*0.475*44/12</f>
        <v>3.8873691058340756E-17</v>
      </c>
      <c r="AX148" s="21">
        <f t="shared" si="114"/>
        <v>1.0408231349647448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349.17860987804869</v>
      </c>
      <c r="BJ148" s="59">
        <f t="shared" si="146"/>
        <v>273.69433466447049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0.93068759973421256</v>
      </c>
      <c r="BQ148" s="21">
        <f>EXP(-LN(2)/25)*BQ147+(1-EXP(-LN(2)/25))/(LN(2)/25)*Calculateur!BL148*Calculateur!BN148*VLOOKUP('Données projet'!$B$11,Paramètres!$A$1:$I$89,3,0)*0.475*44/12</f>
        <v>0.4598204762963774</v>
      </c>
      <c r="BR148" s="21">
        <f>EXP(-LN(2)/2)*BR147+(1-EXP(-LN(2)/2))/(LN(2)/2)*BL148*BO148*VLOOKUP('Données projet'!$B$11,Paramètres!$A$1:$I$89,3,0)*0.475*44/12</f>
        <v>5.4183540636214733E-17</v>
      </c>
      <c r="BS148" s="22">
        <f t="shared" si="117"/>
        <v>1.3905080760305899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2.0572770154103635E-13</v>
      </c>
      <c r="P149" s="13">
        <f t="shared" si="141"/>
        <v>2.8416956338469711E-12</v>
      </c>
      <c r="Q149" s="20">
        <f t="shared" si="108"/>
        <v>5.3075956424674458E-12</v>
      </c>
      <c r="R149" s="59">
        <f t="shared" si="109"/>
        <v>286.21154539383593</v>
      </c>
      <c r="S149" s="59">
        <f ca="1">AVERAGE(OFFSET($R$3,0,0,'Données projet'!$E$9+1,1))-AVERAGE(OFFSET($H$3,0,0,'Données projet'!$E$9+1,1))</f>
        <v>446.05900197653546</v>
      </c>
      <c r="T149" s="59">
        <f t="shared" si="142"/>
        <v>630.54710489646106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0.33115557773507637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1.6377474213625445E-17</v>
      </c>
      <c r="AC149" s="22">
        <f t="shared" si="111"/>
        <v>0.33115557773507637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394.69391436029986</v>
      </c>
      <c r="AO149" s="59">
        <f t="shared" si="144"/>
        <v>311.37245656657353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0.75185382380571897</v>
      </c>
      <c r="AV149" s="21">
        <f>EXP(-LN(2)/25)*AV148+(1-EXP(-LN(2)/25))/(LN(2)/25)*Calculateur!AQ149*Calculateur!AS149*VLOOKUP('Données projet'!$B$10,Paramètres!$A$1:$I$89,3,0)*0.475*44/12</f>
        <v>0.26644036635942125</v>
      </c>
      <c r="AW149" s="21">
        <f>EXP(-LN(2)/2)*AW148+(1-EXP(-LN(2)/2))/(LN(2)/2)*AQ149*AT149*VLOOKUP('Données projet'!$B$10,Paramètres!$A$1:$I$89,3,0)*0.475*44/12</f>
        <v>2.7487850557103607E-17</v>
      </c>
      <c r="AX149" s="21">
        <f t="shared" si="114"/>
        <v>1.0182941901651401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349.17860987804869</v>
      </c>
      <c r="BJ149" s="59">
        <f t="shared" si="146"/>
        <v>273.69433466447049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0.91243738356680837</v>
      </c>
      <c r="BQ149" s="21">
        <f>EXP(-LN(2)/25)*BQ148+(1-EXP(-LN(2)/25))/(LN(2)/25)*Calculateur!BL149*Calculateur!BN149*VLOOKUP('Données projet'!$B$11,Paramètres!$A$1:$I$89,3,0)*0.475*44/12</f>
        <v>0.44724666119114503</v>
      </c>
      <c r="BR149" s="21">
        <f>EXP(-LN(2)/2)*BR148+(1-EXP(-LN(2)/2))/(LN(2)/2)*BL149*BO149*VLOOKUP('Données projet'!$B$11,Paramètres!$A$1:$I$89,3,0)*0.475*44/12</f>
        <v>3.83135490125643E-17</v>
      </c>
      <c r="BS149" s="22">
        <f t="shared" si="117"/>
        <v>1.3596840447579535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2.0572770154103635E-13</v>
      </c>
      <c r="P150" s="13">
        <f t="shared" si="141"/>
        <v>2.8416956338469711E-12</v>
      </c>
      <c r="Q150" s="20">
        <f t="shared" si="108"/>
        <v>5.3075956424674458E-12</v>
      </c>
      <c r="R150" s="59">
        <f t="shared" si="109"/>
        <v>286.3350924926537</v>
      </c>
      <c r="S150" s="59">
        <f ca="1">AVERAGE(OFFSET($R$3,0,0,'Données projet'!$E$9+1,1))-AVERAGE(OFFSET($H$3,0,0,'Données projet'!$E$9+1,1))</f>
        <v>446.05900197653546</v>
      </c>
      <c r="T150" s="59">
        <f t="shared" si="142"/>
        <v>630.54710489646106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0.3246618188406496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1.1580623075162372E-17</v>
      </c>
      <c r="AC150" s="22">
        <f t="shared" si="111"/>
        <v>0.3246618188406496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394.69391436029986</v>
      </c>
      <c r="AO150" s="59">
        <f t="shared" si="144"/>
        <v>311.37245656657353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0.73711042890643974</v>
      </c>
      <c r="AV150" s="21">
        <f>EXP(-LN(2)/25)*AV149+(1-EXP(-LN(2)/25))/(LN(2)/25)*Calculateur!AQ150*Calculateur!AS150*VLOOKUP('Données projet'!$B$10,Paramètres!$A$1:$I$89,3,0)*0.475*44/12</f>
        <v>0.25915454052983294</v>
      </c>
      <c r="AW150" s="21">
        <f>EXP(-LN(2)/2)*AW149+(1-EXP(-LN(2)/2))/(LN(2)/2)*AQ150*AT150*VLOOKUP('Données projet'!$B$10,Paramètres!$A$1:$I$89,3,0)*0.475*44/12</f>
        <v>1.9436845529170381E-17</v>
      </c>
      <c r="AX150" s="21">
        <f t="shared" si="114"/>
        <v>0.99626496943627263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349.17860987804869</v>
      </c>
      <c r="BJ150" s="59">
        <f t="shared" si="146"/>
        <v>273.69433466447049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0.89454504300691429</v>
      </c>
      <c r="BQ150" s="21">
        <f>EXP(-LN(2)/25)*BQ149+(1-EXP(-LN(2)/25))/(LN(2)/25)*Calculateur!BL150*Calculateur!BN150*VLOOKUP('Données projet'!$B$11,Paramètres!$A$1:$I$89,3,0)*0.475*44/12</f>
        <v>0.43501667772119346</v>
      </c>
      <c r="BR150" s="21">
        <f>EXP(-LN(2)/2)*BR149+(1-EXP(-LN(2)/2))/(LN(2)/2)*BL150*BO150*VLOOKUP('Données projet'!$B$11,Paramètres!$A$1:$I$89,3,0)*0.475*44/12</f>
        <v>2.709177031810737E-17</v>
      </c>
      <c r="BS150" s="22">
        <f t="shared" si="117"/>
        <v>1.3295617207281079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2.0572770154103635E-13</v>
      </c>
      <c r="P151" s="13">
        <f t="shared" si="141"/>
        <v>2.8416956338469711E-12</v>
      </c>
      <c r="Q151" s="20">
        <f t="shared" si="108"/>
        <v>5.3075956424674458E-12</v>
      </c>
      <c r="R151" s="59">
        <f t="shared" si="109"/>
        <v>286.45649632551698</v>
      </c>
      <c r="S151" s="59">
        <f ca="1">AVERAGE(OFFSET($R$3,0,0,'Données projet'!$E$9+1,1))-AVERAGE(OFFSET($H$3,0,0,'Données projet'!$E$9+1,1))</f>
        <v>446.05900197653546</v>
      </c>
      <c r="T151" s="59">
        <f t="shared" si="142"/>
        <v>630.54710489646106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0.31829539859734068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8.1887371068127224E-18</v>
      </c>
      <c r="AC151" s="22">
        <f t="shared" si="111"/>
        <v>0.31829539859734068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394.69391436029986</v>
      </c>
      <c r="AO151" s="59">
        <f t="shared" si="144"/>
        <v>311.37245656657353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0.72265614298855252</v>
      </c>
      <c r="AV151" s="21">
        <f>EXP(-LN(2)/25)*AV150+(1-EXP(-LN(2)/25))/(LN(2)/25)*Calculateur!AQ151*Calculateur!AS151*VLOOKUP('Données projet'!$B$10,Paramètres!$A$1:$I$89,3,0)*0.475*44/12</f>
        <v>0.2520679459906997</v>
      </c>
      <c r="AW151" s="21">
        <f>EXP(-LN(2)/2)*AW150+(1-EXP(-LN(2)/2))/(LN(2)/2)*AQ151*AT151*VLOOKUP('Données projet'!$B$10,Paramètres!$A$1:$I$89,3,0)*0.475*44/12</f>
        <v>1.3743925278551807E-17</v>
      </c>
      <c r="AX151" s="21">
        <f t="shared" si="114"/>
        <v>0.97472408897925222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349.17860987804869</v>
      </c>
      <c r="BJ151" s="59">
        <f t="shared" si="146"/>
        <v>273.69433466447049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0.87700356033214955</v>
      </c>
      <c r="BQ151" s="21">
        <f>EXP(-LN(2)/25)*BQ150+(1-EXP(-LN(2)/25))/(LN(2)/25)*Calculateur!BL151*Calculateur!BN151*VLOOKUP('Données projet'!$B$11,Paramètres!$A$1:$I$89,3,0)*0.475*44/12</f>
        <v>0.4231211237923746</v>
      </c>
      <c r="BR151" s="21">
        <f>EXP(-LN(2)/2)*BR150+(1-EXP(-LN(2)/2))/(LN(2)/2)*BL151*BO151*VLOOKUP('Données projet'!$B$11,Paramètres!$A$1:$I$89,3,0)*0.475*44/12</f>
        <v>1.9156774506282153E-17</v>
      </c>
      <c r="BS151" s="22">
        <f t="shared" si="117"/>
        <v>1.3001246841245242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2.0572770154103635E-13</v>
      </c>
      <c r="P152" s="13">
        <f t="shared" si="141"/>
        <v>2.8416956338469711E-12</v>
      </c>
      <c r="Q152" s="20">
        <f t="shared" si="108"/>
        <v>5.3075956424674458E-12</v>
      </c>
      <c r="R152" s="59">
        <f t="shared" si="109"/>
        <v>286.57579407329837</v>
      </c>
      <c r="S152" s="59">
        <f ca="1">AVERAGE(OFFSET($R$3,0,0,'Données projet'!$E$9+1,1))-AVERAGE(OFFSET($H$3,0,0,'Données projet'!$E$9+1,1))</f>
        <v>446.05900197653546</v>
      </c>
      <c r="T152" s="59">
        <f t="shared" si="142"/>
        <v>630.54710489646106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0.31205381997187015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5.7903115375811861E-18</v>
      </c>
      <c r="AC152" s="22">
        <f t="shared" si="111"/>
        <v>0.31205381997187015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394.69391436029986</v>
      </c>
      <c r="AO152" s="59">
        <f t="shared" si="144"/>
        <v>311.37245656657353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0.70848529680127115</v>
      </c>
      <c r="AV152" s="21">
        <f>EXP(-LN(2)/25)*AV151+(1-EXP(-LN(2)/25))/(LN(2)/25)*Calculateur!AQ152*Calculateur!AS152*VLOOKUP('Données projet'!$B$10,Paramètres!$A$1:$I$89,3,0)*0.475*44/12</f>
        <v>0.24517513475190686</v>
      </c>
      <c r="AW152" s="21">
        <f>EXP(-LN(2)/2)*AW151+(1-EXP(-LN(2)/2))/(LN(2)/2)*AQ152*AT152*VLOOKUP('Données projet'!$B$10,Paramètres!$A$1:$I$89,3,0)*0.475*44/12</f>
        <v>9.7184227645851922E-18</v>
      </c>
      <c r="AX152" s="21">
        <f t="shared" si="114"/>
        <v>0.95366043155317803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349.17860987804869</v>
      </c>
      <c r="BJ152" s="59">
        <f t="shared" si="146"/>
        <v>273.69433466447049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0.85980605543338895</v>
      </c>
      <c r="BQ152" s="21">
        <f>EXP(-LN(2)/25)*BQ151+(1-EXP(-LN(2)/25))/(LN(2)/25)*Calculateur!BL152*Calculateur!BN152*VLOOKUP('Données projet'!$B$11,Paramètres!$A$1:$I$89,3,0)*0.475*44/12</f>
        <v>0.41155085441129929</v>
      </c>
      <c r="BR152" s="21">
        <f>EXP(-LN(2)/2)*BR151+(1-EXP(-LN(2)/2))/(LN(2)/2)*BL152*BO152*VLOOKUP('Données projet'!$B$11,Paramètres!$A$1:$I$89,3,0)*0.475*44/12</f>
        <v>1.3545885159053686E-17</v>
      </c>
      <c r="BS152" s="22">
        <f t="shared" si="117"/>
        <v>1.2713569098446882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2.0572770154103635E-13</v>
      </c>
      <c r="P153" s="13">
        <f t="shared" si="141"/>
        <v>2.8416956338469711E-12</v>
      </c>
      <c r="Q153" s="20">
        <f t="shared" si="108"/>
        <v>5.3075956424674458E-12</v>
      </c>
      <c r="R153" s="59">
        <f t="shared" si="109"/>
        <v>286.69302227186563</v>
      </c>
      <c r="S153" s="59">
        <f ca="1">AVERAGE(OFFSET($R$3,0,0,'Données projet'!$E$9+1,1))-AVERAGE(OFFSET($H$3,0,0,'Données projet'!$E$9+1,1))</f>
        <v>446.05900197653546</v>
      </c>
      <c r="T153" s="59">
        <f t="shared" si="142"/>
        <v>630.54710489646106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0.30593463489625805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4.0943685534063612E-18</v>
      </c>
      <c r="AC153" s="22">
        <f t="shared" si="111"/>
        <v>0.30593463489625805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394.69391436029986</v>
      </c>
      <c r="AO153" s="59">
        <f t="shared" si="144"/>
        <v>311.37245656657353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0.69459233226435968</v>
      </c>
      <c r="AV153" s="21">
        <f>EXP(-LN(2)/25)*AV152+(1-EXP(-LN(2)/25))/(LN(2)/25)*Calculateur!AQ153*Calculateur!AS153*VLOOKUP('Données projet'!$B$10,Paramètres!$A$1:$I$89,3,0)*0.475*44/12</f>
        <v>0.238470807798916</v>
      </c>
      <c r="AW153" s="21">
        <f>EXP(-LN(2)/2)*AW152+(1-EXP(-LN(2)/2))/(LN(2)/2)*AQ153*AT153*VLOOKUP('Données projet'!$B$10,Paramètres!$A$1:$I$89,3,0)*0.475*44/12</f>
        <v>6.8719626392759042E-18</v>
      </c>
      <c r="AX153" s="21">
        <f t="shared" si="114"/>
        <v>0.93306314006327562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349.17860987804869</v>
      </c>
      <c r="BJ153" s="59">
        <f t="shared" si="146"/>
        <v>273.69433466447049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0.8429457831162509</v>
      </c>
      <c r="BQ153" s="21">
        <f>EXP(-LN(2)/25)*BQ152+(1-EXP(-LN(2)/25))/(LN(2)/25)*Calculateur!BL153*Calculateur!BN153*VLOOKUP('Données projet'!$B$11,Paramètres!$A$1:$I$89,3,0)*0.475*44/12</f>
        <v>0.40029697465490349</v>
      </c>
      <c r="BR153" s="21">
        <f>EXP(-LN(2)/2)*BR152+(1-EXP(-LN(2)/2))/(LN(2)/2)*BL153*BO153*VLOOKUP('Données projet'!$B$11,Paramètres!$A$1:$I$89,3,0)*0.475*44/12</f>
        <v>9.578387253141078E-18</v>
      </c>
      <c r="BS153" s="22">
        <f t="shared" si="117"/>
        <v>1.2432427577711544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2.0572770154103635E-13</v>
      </c>
      <c r="P154" s="13">
        <f t="shared" si="141"/>
        <v>2.8416956338469711E-12</v>
      </c>
      <c r="Q154" s="20">
        <f t="shared" ref="Q154:Q203" si="162">(O154+P154)*0.475*44/12</f>
        <v>5.3075956424674458E-12</v>
      </c>
      <c r="R154" s="59">
        <f t="shared" si="109"/>
        <v>286.80821682327064</v>
      </c>
      <c r="S154" s="59">
        <f ca="1">AVERAGE(OFFSET($R$3,0,0,'Données projet'!$E$9+1,1))-AVERAGE(OFFSET($H$3,0,0,'Données projet'!$E$9+1,1))</f>
        <v>446.05900197653546</v>
      </c>
      <c r="T154" s="59">
        <f t="shared" si="142"/>
        <v>630.54710489646106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0.29993544330764432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2.895155768790593E-18</v>
      </c>
      <c r="AC154" s="22">
        <f t="shared" ref="AC154:AC203" si="163">SUM(Z154:AB154)</f>
        <v>0.29993544330764432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394.69391436029986</v>
      </c>
      <c r="AO154" s="59">
        <f t="shared" si="144"/>
        <v>311.37245656657353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0.68097180028814541</v>
      </c>
      <c r="AV154" s="21">
        <f>EXP(-LN(2)/25)*AV153+(1-EXP(-LN(2)/25))/(LN(2)/25)*Calculateur!AQ154*Calculateur!AS154*VLOOKUP('Données projet'!$B$10,Paramètres!$A$1:$I$89,3,0)*0.475*44/12</f>
        <v>0.23194981101901987</v>
      </c>
      <c r="AW154" s="21">
        <f>EXP(-LN(2)/2)*AW153+(1-EXP(-LN(2)/2))/(LN(2)/2)*AQ154*AT154*VLOOKUP('Données projet'!$B$10,Paramètres!$A$1:$I$89,3,0)*0.475*44/12</f>
        <v>4.8592113822925969E-18</v>
      </c>
      <c r="AX154" s="21">
        <f t="shared" ref="AX154:AX203" si="166">SUM(AU154:AW154)</f>
        <v>0.91292161130716531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349.17860987804869</v>
      </c>
      <c r="BJ154" s="59">
        <f t="shared" si="146"/>
        <v>273.69433466447049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0.82641613045550122</v>
      </c>
      <c r="BQ154" s="21">
        <f>EXP(-LN(2)/25)*BQ153+(1-EXP(-LN(2)/25))/(LN(2)/25)*Calculateur!BL154*Calculateur!BN154*VLOOKUP('Données projet'!$B$11,Paramètres!$A$1:$I$89,3,0)*0.475*44/12</f>
        <v>0.38935083283226213</v>
      </c>
      <c r="BR154" s="21">
        <f>EXP(-LN(2)/2)*BR153+(1-EXP(-LN(2)/2))/(LN(2)/2)*BL154*BO154*VLOOKUP('Données projet'!$B$11,Paramètres!$A$1:$I$89,3,0)*0.475*44/12</f>
        <v>6.7729425795268448E-18</v>
      </c>
      <c r="BS154" s="22">
        <f t="shared" ref="BS154:BS203" si="169">SUM(BP154:BR154)</f>
        <v>1.2157669632877632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2.0572770154103635E-13</v>
      </c>
      <c r="P155" s="13">
        <f t="shared" si="141"/>
        <v>2.8416956338469711E-12</v>
      </c>
      <c r="Q155" s="20">
        <f t="shared" si="162"/>
        <v>5.3075956424674458E-12</v>
      </c>
      <c r="R155" s="59">
        <f t="shared" si="109"/>
        <v>286.92141300674518</v>
      </c>
      <c r="S155" s="59">
        <f ca="1">AVERAGE(OFFSET($R$3,0,0,'Données projet'!$E$9+1,1))-AVERAGE(OFFSET($H$3,0,0,'Données projet'!$E$9+1,1))</f>
        <v>446.05900197653546</v>
      </c>
      <c r="T155" s="59">
        <f t="shared" si="142"/>
        <v>630.54710489646106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0.29405389220693778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2.0471842767031806E-18</v>
      </c>
      <c r="AC155" s="22">
        <f t="shared" si="163"/>
        <v>0.29405389220693778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394.69391436029986</v>
      </c>
      <c r="AO155" s="59">
        <f t="shared" si="144"/>
        <v>311.37245656657353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0.6676183586362805</v>
      </c>
      <c r="AV155" s="21">
        <f>EXP(-LN(2)/25)*AV154+(1-EXP(-LN(2)/25))/(LN(2)/25)*Calculateur!AQ155*Calculateur!AS155*VLOOKUP('Données projet'!$B$10,Paramètres!$A$1:$I$89,3,0)*0.475*44/12</f>
        <v>0.22560713123899434</v>
      </c>
      <c r="AW155" s="21">
        <f>EXP(-LN(2)/2)*AW154+(1-EXP(-LN(2)/2))/(LN(2)/2)*AQ155*AT155*VLOOKUP('Données projet'!$B$10,Paramètres!$A$1:$I$89,3,0)*0.475*44/12</f>
        <v>3.4359813196379525E-18</v>
      </c>
      <c r="AX155" s="21">
        <f t="shared" si="166"/>
        <v>0.89322548987527484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349.17860987804869</v>
      </c>
      <c r="BJ155" s="59">
        <f t="shared" si="146"/>
        <v>273.69433466447049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0.81021061420133622</v>
      </c>
      <c r="BQ155" s="21">
        <f>EXP(-LN(2)/25)*BQ154+(1-EXP(-LN(2)/25))/(LN(2)/25)*Calculateur!BL155*Calculateur!BN155*VLOOKUP('Données projet'!$B$11,Paramètres!$A$1:$I$89,3,0)*0.475*44/12</f>
        <v>0.37870401383339347</v>
      </c>
      <c r="BR155" s="21">
        <f>EXP(-LN(2)/2)*BR154+(1-EXP(-LN(2)/2))/(LN(2)/2)*BL155*BO155*VLOOKUP('Données projet'!$B$11,Paramètres!$A$1:$I$89,3,0)*0.475*44/12</f>
        <v>4.7891936265705398E-18</v>
      </c>
      <c r="BS155" s="22">
        <f t="shared" si="169"/>
        <v>1.1889146280347296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2.0572770154103635E-13</v>
      </c>
      <c r="P156" s="13">
        <f t="shared" si="141"/>
        <v>2.8416956338469711E-12</v>
      </c>
      <c r="Q156" s="20">
        <f t="shared" si="162"/>
        <v>5.3075956424674458E-12</v>
      </c>
      <c r="R156" s="59">
        <f t="shared" si="109"/>
        <v>287.03264548950528</v>
      </c>
      <c r="S156" s="59">
        <f ca="1">AVERAGE(OFFSET($R$3,0,0,'Données projet'!$E$9+1,1))-AVERAGE(OFFSET($H$3,0,0,'Données projet'!$E$9+1,1))</f>
        <v>446.05900197653546</v>
      </c>
      <c r="T156" s="59">
        <f t="shared" si="142"/>
        <v>630.54710489646106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0.28828767473592415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1.4475778843952965E-18</v>
      </c>
      <c r="AC156" s="22">
        <f t="shared" si="163"/>
        <v>0.28828767473592415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394.69391436029986</v>
      </c>
      <c r="AO156" s="59">
        <f t="shared" si="144"/>
        <v>311.37245656657353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0.65452676983041347</v>
      </c>
      <c r="AV156" s="21">
        <f>EXP(-LN(2)/25)*AV155+(1-EXP(-LN(2)/25))/(LN(2)/25)*Calculateur!AQ156*Calculateur!AS156*VLOOKUP('Données projet'!$B$10,Paramètres!$A$1:$I$89,3,0)*0.475*44/12</f>
        <v>0.21943789237110065</v>
      </c>
      <c r="AW156" s="21">
        <f>EXP(-LN(2)/2)*AW155+(1-EXP(-LN(2)/2))/(LN(2)/2)*AQ156*AT156*VLOOKUP('Données projet'!$B$10,Paramètres!$A$1:$I$89,3,0)*0.475*44/12</f>
        <v>2.4296056911462988E-18</v>
      </c>
      <c r="AX156" s="21">
        <f t="shared" si="166"/>
        <v>0.87396466220151414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349.17860987804869</v>
      </c>
      <c r="BJ156" s="59">
        <f t="shared" si="146"/>
        <v>273.69433466447049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0.79432287823652648</v>
      </c>
      <c r="BQ156" s="21">
        <f>EXP(-LN(2)/25)*BQ155+(1-EXP(-LN(2)/25))/(LN(2)/25)*Calculateur!BL156*Calculateur!BN156*VLOOKUP('Données projet'!$B$11,Paramètres!$A$1:$I$89,3,0)*0.475*44/12</f>
        <v>0.36834833265994077</v>
      </c>
      <c r="BR156" s="21">
        <f>EXP(-LN(2)/2)*BR155+(1-EXP(-LN(2)/2))/(LN(2)/2)*BL156*BO156*VLOOKUP('Données projet'!$B$11,Paramètres!$A$1:$I$89,3,0)*0.475*44/12</f>
        <v>3.3864712897634228E-18</v>
      </c>
      <c r="BS156" s="22">
        <f t="shared" si="169"/>
        <v>1.1626712108964672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2.0572770154103635E-13</v>
      </c>
      <c r="P157" s="13">
        <f t="shared" si="141"/>
        <v>2.8416956338469711E-12</v>
      </c>
      <c r="Q157" s="20">
        <f t="shared" si="162"/>
        <v>5.3075956424674458E-12</v>
      </c>
      <c r="R157" s="59">
        <f t="shared" si="109"/>
        <v>287.14194833736804</v>
      </c>
      <c r="S157" s="59">
        <f ca="1">AVERAGE(OFFSET($R$3,0,0,'Données projet'!$E$9+1,1))-AVERAGE(OFFSET($H$3,0,0,'Données projet'!$E$9+1,1))</f>
        <v>446.05900197653546</v>
      </c>
      <c r="T157" s="59">
        <f t="shared" si="142"/>
        <v>630.54710489646106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0.28263452927247168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1.0235921383515903E-18</v>
      </c>
      <c r="AC157" s="22">
        <f t="shared" si="163"/>
        <v>0.28263452927247168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394.69391436029986</v>
      </c>
      <c r="AO157" s="59">
        <f t="shared" si="144"/>
        <v>311.37245656657353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0.64169189909594881</v>
      </c>
      <c r="AV157" s="21">
        <f>EXP(-LN(2)/25)*AV156+(1-EXP(-LN(2)/25))/(LN(2)/25)*Calculateur!AQ157*Calculateur!AS157*VLOOKUP('Données projet'!$B$10,Paramètres!$A$1:$I$89,3,0)*0.475*44/12</f>
        <v>0.21343735166447567</v>
      </c>
      <c r="AW157" s="21">
        <f>EXP(-LN(2)/2)*AW156+(1-EXP(-LN(2)/2))/(LN(2)/2)*AQ157*AT157*VLOOKUP('Données projet'!$B$10,Paramètres!$A$1:$I$89,3,0)*0.475*44/12</f>
        <v>1.7179906598189766E-18</v>
      </c>
      <c r="AX157" s="21">
        <f t="shared" si="166"/>
        <v>0.85512925076042445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349.17860987804869</v>
      </c>
      <c r="BJ157" s="59">
        <f t="shared" si="146"/>
        <v>273.69433466447049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0.77874669108342454</v>
      </c>
      <c r="BQ157" s="21">
        <f>EXP(-LN(2)/25)*BQ156+(1-EXP(-LN(2)/25))/(LN(2)/25)*Calculateur!BL157*Calculateur!BN157*VLOOKUP('Données projet'!$B$11,Paramètres!$A$1:$I$89,3,0)*0.475*44/12</f>
        <v>0.35827582813275777</v>
      </c>
      <c r="BR157" s="21">
        <f>EXP(-LN(2)/2)*BR156+(1-EXP(-LN(2)/2))/(LN(2)/2)*BL157*BO157*VLOOKUP('Données projet'!$B$11,Paramètres!$A$1:$I$89,3,0)*0.475*44/12</f>
        <v>2.3945968132852703E-18</v>
      </c>
      <c r="BS157" s="22">
        <f t="shared" si="169"/>
        <v>1.1370225192161822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2.0572770154103635E-13</v>
      </c>
      <c r="P158" s="13">
        <f t="shared" si="141"/>
        <v>2.8416956338469711E-12</v>
      </c>
      <c r="Q158" s="20">
        <f t="shared" si="162"/>
        <v>5.3075956424674458E-12</v>
      </c>
      <c r="R158" s="59">
        <f t="shared" si="109"/>
        <v>287.24935502518497</v>
      </c>
      <c r="S158" s="59">
        <f ca="1">AVERAGE(OFFSET($R$3,0,0,'Données projet'!$E$9+1,1))-AVERAGE(OFFSET($H$3,0,0,'Données projet'!$E$9+1,1))</f>
        <v>446.05900197653546</v>
      </c>
      <c r="T158" s="59">
        <f t="shared" si="142"/>
        <v>630.54710489646106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0.27709223854347925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7.2378894219764826E-19</v>
      </c>
      <c r="AC158" s="22">
        <f t="shared" si="163"/>
        <v>0.27709223854347925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394.69391436029986</v>
      </c>
      <c r="AO158" s="59">
        <f t="shared" si="144"/>
        <v>311.37245656657353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0.62910871234808885</v>
      </c>
      <c r="AV158" s="21">
        <f>EXP(-LN(2)/25)*AV157+(1-EXP(-LN(2)/25))/(LN(2)/25)*Calculateur!AQ158*Calculateur!AS158*VLOOKUP('Données projet'!$B$10,Paramètres!$A$1:$I$89,3,0)*0.475*44/12</f>
        <v>0.20760089605902807</v>
      </c>
      <c r="AW158" s="21">
        <f>EXP(-LN(2)/2)*AW157+(1-EXP(-LN(2)/2))/(LN(2)/2)*AQ158*AT158*VLOOKUP('Données projet'!$B$10,Paramètres!$A$1:$I$89,3,0)*0.475*44/12</f>
        <v>1.2148028455731496E-18</v>
      </c>
      <c r="AX158" s="21">
        <f t="shared" si="166"/>
        <v>0.83670960840711694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349.17860987804869</v>
      </c>
      <c r="BJ158" s="59">
        <f t="shared" si="146"/>
        <v>273.69433466447049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0.76347594345985892</v>
      </c>
      <c r="BQ158" s="21">
        <f>EXP(-LN(2)/25)*BQ157+(1-EXP(-LN(2)/25))/(LN(2)/25)*Calculateur!BL158*Calculateur!BN158*VLOOKUP('Données projet'!$B$11,Paramètres!$A$1:$I$89,3,0)*0.475*44/12</f>
        <v>0.34847875677156054</v>
      </c>
      <c r="BR158" s="21">
        <f>EXP(-LN(2)/2)*BR157+(1-EXP(-LN(2)/2))/(LN(2)/2)*BL158*BO158*VLOOKUP('Données projet'!$B$11,Paramètres!$A$1:$I$89,3,0)*0.475*44/12</f>
        <v>1.6932356448817118E-18</v>
      </c>
      <c r="BS158" s="22">
        <f t="shared" si="169"/>
        <v>1.1119547002314194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2.0572770154103635E-13</v>
      </c>
      <c r="P159" s="13">
        <f t="shared" si="141"/>
        <v>2.8416956338469711E-12</v>
      </c>
      <c r="Q159" s="20">
        <f t="shared" si="162"/>
        <v>5.3075956424674458E-12</v>
      </c>
      <c r="R159" s="59">
        <f t="shared" si="109"/>
        <v>287.3548984470936</v>
      </c>
      <c r="S159" s="59">
        <f ca="1">AVERAGE(OFFSET($R$3,0,0,'Données projet'!$E$9+1,1))-AVERAGE(OFFSET($H$3,0,0,'Données projet'!$E$9+1,1))</f>
        <v>446.05900197653546</v>
      </c>
      <c r="T159" s="59">
        <f t="shared" si="142"/>
        <v>630.54710489646106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0.27165862875521885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5.1179606917579515E-19</v>
      </c>
      <c r="AC159" s="22">
        <f t="shared" si="163"/>
        <v>0.27165862875521885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394.69391436029986</v>
      </c>
      <c r="AO159" s="59">
        <f t="shared" si="144"/>
        <v>311.37245656657353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0.61677227421736835</v>
      </c>
      <c r="AV159" s="21">
        <f>EXP(-LN(2)/25)*AV158+(1-EXP(-LN(2)/25))/(LN(2)/25)*Calculateur!AQ159*Calculateur!AS159*VLOOKUP('Données projet'!$B$10,Paramètres!$A$1:$I$89,3,0)*0.475*44/12</f>
        <v>0.2019240386390373</v>
      </c>
      <c r="AW159" s="21">
        <f>EXP(-LN(2)/2)*AW158+(1-EXP(-LN(2)/2))/(LN(2)/2)*AQ159*AT159*VLOOKUP('Données projet'!$B$10,Paramètres!$A$1:$I$89,3,0)*0.475*44/12</f>
        <v>8.589953299094884E-19</v>
      </c>
      <c r="AX159" s="21">
        <f t="shared" si="166"/>
        <v>0.81869631285640565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349.17860987804869</v>
      </c>
      <c r="BJ159" s="59">
        <f t="shared" si="146"/>
        <v>273.69433466447049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0.74850464588295507</v>
      </c>
      <c r="BQ159" s="21">
        <f>EXP(-LN(2)/25)*BQ158+(1-EXP(-LN(2)/25))/(LN(2)/25)*Calculateur!BL159*Calculateur!BN159*VLOOKUP('Données projet'!$B$11,Paramètres!$A$1:$I$89,3,0)*0.475*44/12</f>
        <v>0.33894958684194088</v>
      </c>
      <c r="BR159" s="21">
        <f>EXP(-LN(2)/2)*BR158+(1-EXP(-LN(2)/2))/(LN(2)/2)*BL159*BO159*VLOOKUP('Données projet'!$B$11,Paramètres!$A$1:$I$89,3,0)*0.475*44/12</f>
        <v>1.1972984066426353E-18</v>
      </c>
      <c r="BS159" s="22">
        <f t="shared" si="169"/>
        <v>1.0874542327248959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2.0572770154103635E-13</v>
      </c>
      <c r="P160" s="13">
        <f t="shared" si="141"/>
        <v>2.8416956338469711E-12</v>
      </c>
      <c r="Q160" s="20">
        <f t="shared" si="162"/>
        <v>5.3075956424674458E-12</v>
      </c>
      <c r="R160" s="59">
        <f t="shared" si="109"/>
        <v>287.45861092659186</v>
      </c>
      <c r="S160" s="59">
        <f ca="1">AVERAGE(OFFSET($R$3,0,0,'Données projet'!$E$9+1,1))-AVERAGE(OFFSET($H$3,0,0,'Données projet'!$E$9+1,1))</f>
        <v>446.05900197653546</v>
      </c>
      <c r="T160" s="59">
        <f t="shared" si="142"/>
        <v>630.54710489646106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0.26633156874073149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3.6189447109882413E-19</v>
      </c>
      <c r="AC160" s="22">
        <f t="shared" si="163"/>
        <v>0.26633156874073149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394.69391436029986</v>
      </c>
      <c r="AO160" s="59">
        <f t="shared" si="144"/>
        <v>311.37245656657353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0.60467774611390701</v>
      </c>
      <c r="AV160" s="21">
        <f>EXP(-LN(2)/25)*AV159+(1-EXP(-LN(2)/25))/(LN(2)/25)*Calculateur!AQ160*Calculateur!AS160*VLOOKUP('Données projet'!$B$10,Paramètres!$A$1:$I$89,3,0)*0.475*44/12</f>
        <v>0.19640241518372914</v>
      </c>
      <c r="AW160" s="21">
        <f>EXP(-LN(2)/2)*AW159+(1-EXP(-LN(2)/2))/(LN(2)/2)*AQ160*AT160*VLOOKUP('Données projet'!$B$10,Paramètres!$A$1:$I$89,3,0)*0.475*44/12</f>
        <v>6.074014227865749E-19</v>
      </c>
      <c r="AX160" s="21">
        <f t="shared" si="166"/>
        <v>0.80108016129763615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349.17860987804869</v>
      </c>
      <c r="BJ160" s="59">
        <f t="shared" si="146"/>
        <v>273.69433466447049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0.73382692631994451</v>
      </c>
      <c r="BQ160" s="21">
        <f>EXP(-LN(2)/25)*BQ159+(1-EXP(-LN(2)/25))/(LN(2)/25)*Calculateur!BL160*Calculateur!BN160*VLOOKUP('Données projet'!$B$11,Paramètres!$A$1:$I$89,3,0)*0.475*44/12</f>
        <v>0.32968099256516392</v>
      </c>
      <c r="BR160" s="21">
        <f>EXP(-LN(2)/2)*BR159+(1-EXP(-LN(2)/2))/(LN(2)/2)*BL160*BO160*VLOOKUP('Données projet'!$B$11,Paramètres!$A$1:$I$89,3,0)*0.475*44/12</f>
        <v>8.4661782244085598E-19</v>
      </c>
      <c r="BS160" s="22">
        <f t="shared" si="169"/>
        <v>1.0635079188851084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2.0572770154103635E-13</v>
      </c>
      <c r="P161" s="13">
        <f t="shared" si="141"/>
        <v>2.8416956338469711E-12</v>
      </c>
      <c r="Q161" s="20">
        <f t="shared" si="162"/>
        <v>5.3075956424674458E-12</v>
      </c>
      <c r="R161" s="59">
        <f t="shared" si="109"/>
        <v>287.56052422643728</v>
      </c>
      <c r="S161" s="59">
        <f ca="1">AVERAGE(OFFSET($R$3,0,0,'Données projet'!$E$9+1,1))-AVERAGE(OFFSET($H$3,0,0,'Données projet'!$E$9+1,1))</f>
        <v>446.05900197653546</v>
      </c>
      <c r="T161" s="59">
        <f t="shared" si="142"/>
        <v>630.54710489646106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0.26110896912394244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2.5589803458789758E-19</v>
      </c>
      <c r="AC161" s="22">
        <f t="shared" si="163"/>
        <v>0.26110896912394244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394.69391436029986</v>
      </c>
      <c r="AO161" s="59">
        <f t="shared" si="144"/>
        <v>311.37245656657353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0.59282038432962081</v>
      </c>
      <c r="AV161" s="21">
        <f>EXP(-LN(2)/25)*AV160+(1-EXP(-LN(2)/25))/(LN(2)/25)*Calculateur!AQ161*Calculateur!AS161*VLOOKUP('Données projet'!$B$10,Paramètres!$A$1:$I$89,3,0)*0.475*44/12</f>
        <v>0.19103178081217592</v>
      </c>
      <c r="AW161" s="21">
        <f>EXP(-LN(2)/2)*AW160+(1-EXP(-LN(2)/2))/(LN(2)/2)*AQ161*AT161*VLOOKUP('Données projet'!$B$10,Paramètres!$A$1:$I$89,3,0)*0.475*44/12</f>
        <v>4.294976649547443E-19</v>
      </c>
      <c r="AX161" s="21">
        <f t="shared" si="166"/>
        <v>0.78385216514179668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349.17860987804869</v>
      </c>
      <c r="BJ161" s="59">
        <f t="shared" si="146"/>
        <v>273.69433466447049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0.7194370278850396</v>
      </c>
      <c r="BQ161" s="21">
        <f>EXP(-LN(2)/25)*BQ160+(1-EXP(-LN(2)/25))/(LN(2)/25)*Calculateur!BL161*Calculateur!BN161*VLOOKUP('Données projet'!$B$11,Paramètres!$A$1:$I$89,3,0)*0.475*44/12</f>
        <v>0.32066584848629959</v>
      </c>
      <c r="BR161" s="21">
        <f>EXP(-LN(2)/2)*BR160+(1-EXP(-LN(2)/2))/(LN(2)/2)*BL161*BO161*VLOOKUP('Données projet'!$B$11,Paramètres!$A$1:$I$89,3,0)*0.475*44/12</f>
        <v>5.9864920332131776E-19</v>
      </c>
      <c r="BS161" s="22">
        <f t="shared" si="169"/>
        <v>1.0401028763713391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2.0572770154103635E-13</v>
      </c>
      <c r="P162" s="13">
        <f t="shared" si="141"/>
        <v>2.8416956338469711E-12</v>
      </c>
      <c r="Q162" s="20">
        <f t="shared" si="162"/>
        <v>5.3075956424674458E-12</v>
      </c>
      <c r="R162" s="59">
        <f t="shared" si="109"/>
        <v>287.66066955837425</v>
      </c>
      <c r="S162" s="59">
        <f ca="1">AVERAGE(OFFSET($R$3,0,0,'Données projet'!$E$9+1,1))-AVERAGE(OFFSET($H$3,0,0,'Données projet'!$E$9+1,1))</f>
        <v>446.05900197653546</v>
      </c>
      <c r="T162" s="59">
        <f t="shared" si="142"/>
        <v>630.54710489646106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0.25598878150016741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1.8094723554941207E-19</v>
      </c>
      <c r="AC162" s="22">
        <f t="shared" si="163"/>
        <v>0.25598878150016741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394.69391436029986</v>
      </c>
      <c r="AO162" s="59">
        <f t="shared" si="144"/>
        <v>311.37245656657353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0.58119553817764791</v>
      </c>
      <c r="AV162" s="21">
        <f>EXP(-LN(2)/25)*AV161+(1-EXP(-LN(2)/25))/(LN(2)/25)*Calculateur!AQ162*Calculateur!AS162*VLOOKUP('Données projet'!$B$10,Paramètres!$A$1:$I$89,3,0)*0.475*44/12</f>
        <v>0.18580800671994221</v>
      </c>
      <c r="AW162" s="21">
        <f>EXP(-LN(2)/2)*AW161+(1-EXP(-LN(2)/2))/(LN(2)/2)*AQ162*AT162*VLOOKUP('Données projet'!$B$10,Paramètres!$A$1:$I$89,3,0)*0.475*44/12</f>
        <v>3.037007113932875E-19</v>
      </c>
      <c r="AX162" s="21">
        <f t="shared" si="166"/>
        <v>0.76700354489759015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349.17860987804869</v>
      </c>
      <c r="BJ162" s="59">
        <f t="shared" si="146"/>
        <v>273.69433466447049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0.70532930658147175</v>
      </c>
      <c r="BQ162" s="21">
        <f>EXP(-LN(2)/25)*BQ161+(1-EXP(-LN(2)/25))/(LN(2)/25)*Calculateur!BL162*Calculateur!BN162*VLOOKUP('Données projet'!$B$11,Paramètres!$A$1:$I$89,3,0)*0.475*44/12</f>
        <v>0.31189722399635766</v>
      </c>
      <c r="BR162" s="21">
        <f>EXP(-LN(2)/2)*BR161+(1-EXP(-LN(2)/2))/(LN(2)/2)*BL162*BO162*VLOOKUP('Données projet'!$B$11,Paramètres!$A$1:$I$89,3,0)*0.475*44/12</f>
        <v>4.2330891122042809E-19</v>
      </c>
      <c r="BS162" s="22">
        <f t="shared" si="169"/>
        <v>1.0172265305778294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2.0572770154103635E-13</v>
      </c>
      <c r="P163" s="13">
        <f t="shared" si="141"/>
        <v>2.8416956338469711E-12</v>
      </c>
      <c r="Q163" s="20">
        <f t="shared" si="162"/>
        <v>5.3075956424674458E-12</v>
      </c>
      <c r="R163" s="59">
        <f t="shared" si="109"/>
        <v>287.75907759269364</v>
      </c>
      <c r="S163" s="59">
        <f ca="1">AVERAGE(OFFSET($R$3,0,0,'Données projet'!$E$9+1,1))-AVERAGE(OFFSET($H$3,0,0,'Données projet'!$E$9+1,1))</f>
        <v>446.05900197653546</v>
      </c>
      <c r="T163" s="59">
        <f t="shared" si="142"/>
        <v>630.54710489646106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0.25096899763268854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1.2794901729394879E-19</v>
      </c>
      <c r="AC163" s="22">
        <f t="shared" si="163"/>
        <v>0.25096899763268854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394.69391436029986</v>
      </c>
      <c r="AO163" s="59">
        <f t="shared" si="144"/>
        <v>311.37245656657353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0.56979864816825909</v>
      </c>
      <c r="AV163" s="21">
        <f>EXP(-LN(2)/25)*AV162+(1-EXP(-LN(2)/25))/(LN(2)/25)*Calculateur!AQ163*Calculateur!AS163*VLOOKUP('Données projet'!$B$10,Paramètres!$A$1:$I$89,3,0)*0.475*44/12</f>
        <v>0.18072707700496699</v>
      </c>
      <c r="AW163" s="21">
        <f>EXP(-LN(2)/2)*AW162+(1-EXP(-LN(2)/2))/(LN(2)/2)*AQ163*AT163*VLOOKUP('Données projet'!$B$10,Paramètres!$A$1:$I$89,3,0)*0.475*44/12</f>
        <v>2.1474883247737217E-19</v>
      </c>
      <c r="AX163" s="21">
        <f t="shared" si="166"/>
        <v>0.75052572517322602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349.17860987804869</v>
      </c>
      <c r="BJ163" s="59">
        <f t="shared" si="146"/>
        <v>273.69433466447049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0.69149822908780656</v>
      </c>
      <c r="BQ163" s="21">
        <f>EXP(-LN(2)/25)*BQ162+(1-EXP(-LN(2)/25))/(LN(2)/25)*Calculateur!BL163*Calculateur!BN163*VLOOKUP('Données projet'!$B$11,Paramètres!$A$1:$I$89,3,0)*0.475*44/12</f>
        <v>0.30336837800421512</v>
      </c>
      <c r="BR163" s="21">
        <f>EXP(-LN(2)/2)*BR162+(1-EXP(-LN(2)/2))/(LN(2)/2)*BL163*BO163*VLOOKUP('Données projet'!$B$11,Paramètres!$A$1:$I$89,3,0)*0.475*44/12</f>
        <v>2.9932460166065893E-19</v>
      </c>
      <c r="BS163" s="22">
        <f t="shared" si="169"/>
        <v>0.99486660709202168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2.0572770154103635E-13</v>
      </c>
      <c r="P164" s="13">
        <f t="shared" si="141"/>
        <v>2.8416956338469711E-12</v>
      </c>
      <c r="Q164" s="20">
        <f t="shared" si="162"/>
        <v>5.3075956424674458E-12</v>
      </c>
      <c r="R164" s="59">
        <f t="shared" si="109"/>
        <v>287.85577846762499</v>
      </c>
      <c r="S164" s="59">
        <f ca="1">AVERAGE(OFFSET($R$3,0,0,'Données projet'!$E$9+1,1))-AVERAGE(OFFSET($H$3,0,0,'Données projet'!$E$9+1,1))</f>
        <v>446.05900197653546</v>
      </c>
      <c r="T164" s="59">
        <f t="shared" si="142"/>
        <v>630.54710489646106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0.24604764866508508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9.0473617774706033E-20</v>
      </c>
      <c r="AC164" s="22">
        <f t="shared" si="163"/>
        <v>0.24604764866508508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394.69391436029986</v>
      </c>
      <c r="AO164" s="59">
        <f t="shared" si="144"/>
        <v>311.37245656657353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0.55862524422053794</v>
      </c>
      <c r="AV164" s="21">
        <f>EXP(-LN(2)/25)*AV163+(1-EXP(-LN(2)/25))/(LN(2)/25)*Calculateur!AQ164*Calculateur!AS164*VLOOKUP('Données projet'!$B$10,Paramètres!$A$1:$I$89,3,0)*0.475*44/12</f>
        <v>0.17578508558024225</v>
      </c>
      <c r="AW164" s="21">
        <f>EXP(-LN(2)/2)*AW163+(1-EXP(-LN(2)/2))/(LN(2)/2)*AQ164*AT164*VLOOKUP('Données projet'!$B$10,Paramètres!$A$1:$I$89,3,0)*0.475*44/12</f>
        <v>1.5185035569664377E-19</v>
      </c>
      <c r="AX164" s="21">
        <f t="shared" si="166"/>
        <v>0.73441032980078025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349.17860987804869</v>
      </c>
      <c r="BJ164" s="59">
        <f t="shared" si="146"/>
        <v>273.69433466447049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0.67793837058766782</v>
      </c>
      <c r="BQ164" s="21">
        <f>EXP(-LN(2)/25)*BQ163+(1-EXP(-LN(2)/25))/(LN(2)/25)*Calculateur!BL164*Calculateur!BN164*VLOOKUP('Données projet'!$B$11,Paramètres!$A$1:$I$89,3,0)*0.475*44/12</f>
        <v>0.29507275375424019</v>
      </c>
      <c r="BR164" s="21">
        <f>EXP(-LN(2)/2)*BR163+(1-EXP(-LN(2)/2))/(LN(2)/2)*BL164*BO164*VLOOKUP('Données projet'!$B$11,Paramètres!$A$1:$I$89,3,0)*0.475*44/12</f>
        <v>2.1165445561021407E-19</v>
      </c>
      <c r="BS164" s="22">
        <f t="shared" si="169"/>
        <v>0.97301112434190795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2.0572770154103635E-13</v>
      </c>
      <c r="P165" s="13">
        <f t="shared" si="141"/>
        <v>2.8416956338469711E-12</v>
      </c>
      <c r="Q165" s="20">
        <f t="shared" si="162"/>
        <v>5.3075956424674458E-12</v>
      </c>
      <c r="R165" s="59">
        <f t="shared" si="109"/>
        <v>287.950801798567</v>
      </c>
      <c r="S165" s="59">
        <f ca="1">AVERAGE(OFFSET($R$3,0,0,'Données projet'!$E$9+1,1))-AVERAGE(OFFSET($H$3,0,0,'Données projet'!$E$9+1,1))</f>
        <v>446.05900197653546</v>
      </c>
      <c r="T165" s="59">
        <f t="shared" si="142"/>
        <v>630.54710489646106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0.24122280434900983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6.3974508646974394E-20</v>
      </c>
      <c r="AC165" s="22">
        <f t="shared" si="163"/>
        <v>0.24122280434900983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394.69391436029986</v>
      </c>
      <c r="AO165" s="59">
        <f t="shared" si="144"/>
        <v>311.37245656657353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0.54767094390912807</v>
      </c>
      <c r="AV165" s="21">
        <f>EXP(-LN(2)/25)*AV164+(1-EXP(-LN(2)/25))/(LN(2)/25)*Calculateur!AQ165*Calculateur!AS165*VLOOKUP('Données projet'!$B$10,Paramètres!$A$1:$I$89,3,0)*0.475*44/12</f>
        <v>0.17097823317091465</v>
      </c>
      <c r="AW165" s="21">
        <f>EXP(-LN(2)/2)*AW164+(1-EXP(-LN(2)/2))/(LN(2)/2)*AQ165*AT165*VLOOKUP('Données projet'!$B$10,Paramètres!$A$1:$I$89,3,0)*0.475*44/12</f>
        <v>1.0737441623868611E-19</v>
      </c>
      <c r="AX165" s="21">
        <f t="shared" si="166"/>
        <v>0.71864917708004272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349.17860987804869</v>
      </c>
      <c r="BJ165" s="59">
        <f t="shared" si="146"/>
        <v>273.69433466447049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0.66464441264201979</v>
      </c>
      <c r="BQ165" s="21">
        <f>EXP(-LN(2)/25)*BQ164+(1-EXP(-LN(2)/25))/(LN(2)/25)*Calculateur!BL165*Calculateur!BN165*VLOOKUP('Données projet'!$B$11,Paramètres!$A$1:$I$89,3,0)*0.475*44/12</f>
        <v>0.28700397378562875</v>
      </c>
      <c r="BR165" s="21">
        <f>EXP(-LN(2)/2)*BR164+(1-EXP(-LN(2)/2))/(LN(2)/2)*BL165*BO165*VLOOKUP('Données projet'!$B$11,Paramètres!$A$1:$I$89,3,0)*0.475*44/12</f>
        <v>1.4966230083032949E-19</v>
      </c>
      <c r="BS165" s="22">
        <f t="shared" si="169"/>
        <v>0.9516483864276486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2.0572770154103635E-13</v>
      </c>
      <c r="P166" s="13">
        <f t="shared" si="141"/>
        <v>2.8416956338469711E-12</v>
      </c>
      <c r="Q166" s="20">
        <f t="shared" si="162"/>
        <v>5.3075956424674458E-12</v>
      </c>
      <c r="R166" s="59">
        <f t="shared" si="109"/>
        <v>288.04417668715752</v>
      </c>
      <c r="S166" s="59">
        <f ca="1">AVERAGE(OFFSET($R$3,0,0,'Données projet'!$E$9+1,1))-AVERAGE(OFFSET($H$3,0,0,'Données projet'!$E$9+1,1))</f>
        <v>446.05900197653546</v>
      </c>
      <c r="T166" s="59">
        <f t="shared" si="142"/>
        <v>630.54710489646106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0.23649257228710838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4.5236808887353016E-20</v>
      </c>
      <c r="AC166" s="22">
        <f t="shared" si="163"/>
        <v>0.23649257228710838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394.69391436029986</v>
      </c>
      <c r="AO166" s="59">
        <f t="shared" si="144"/>
        <v>311.37245656657353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0.53693145074536153</v>
      </c>
      <c r="AV166" s="21">
        <f>EXP(-LN(2)/25)*AV165+(1-EXP(-LN(2)/25))/(LN(2)/25)*Calculateur!AQ166*Calculateur!AS166*VLOOKUP('Données projet'!$B$10,Paramètres!$A$1:$I$89,3,0)*0.475*44/12</f>
        <v>0.16630282439350147</v>
      </c>
      <c r="AW166" s="21">
        <f>EXP(-LN(2)/2)*AW165+(1-EXP(-LN(2)/2))/(LN(2)/2)*AQ166*AT166*VLOOKUP('Données projet'!$B$10,Paramètres!$A$1:$I$89,3,0)*0.475*44/12</f>
        <v>7.5925177848321898E-20</v>
      </c>
      <c r="AX166" s="21">
        <f t="shared" si="166"/>
        <v>0.70323427513886294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349.17860987804869</v>
      </c>
      <c r="BJ166" s="59">
        <f t="shared" si="146"/>
        <v>273.69433466447049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0.6516111411031722</v>
      </c>
      <c r="BQ166" s="21">
        <f>EXP(-LN(2)/25)*BQ165+(1-EXP(-LN(2)/25))/(LN(2)/25)*Calculateur!BL166*Calculateur!BN166*VLOOKUP('Données projet'!$B$11,Paramètres!$A$1:$I$89,3,0)*0.475*44/12</f>
        <v>0.27915583502957769</v>
      </c>
      <c r="BR166" s="21">
        <f>EXP(-LN(2)/2)*BR165+(1-EXP(-LN(2)/2))/(LN(2)/2)*BL166*BO166*VLOOKUP('Données projet'!$B$11,Paramètres!$A$1:$I$89,3,0)*0.475*44/12</f>
        <v>1.0582722780510705E-19</v>
      </c>
      <c r="BS166" s="22">
        <f t="shared" si="169"/>
        <v>0.93076697613274995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2.0572770154103635E-13</v>
      </c>
      <c r="P167" s="13">
        <f t="shared" si="141"/>
        <v>2.8416956338469711E-12</v>
      </c>
      <c r="Q167" s="20">
        <f t="shared" si="162"/>
        <v>5.3075956424674458E-12</v>
      </c>
      <c r="R167" s="59">
        <f t="shared" si="109"/>
        <v>288.13593173018597</v>
      </c>
      <c r="S167" s="59">
        <f ca="1">AVERAGE(OFFSET($R$3,0,0,'Données projet'!$E$9+1,1))-AVERAGE(OFFSET($H$3,0,0,'Données projet'!$E$9+1,1))</f>
        <v>446.05900197653546</v>
      </c>
      <c r="T167" s="59">
        <f t="shared" si="142"/>
        <v>630.54710489646106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0.23185509719078415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3.1987254323487197E-20</v>
      </c>
      <c r="AC167" s="22">
        <f t="shared" si="163"/>
        <v>0.23185509719078415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394.69391436029986</v>
      </c>
      <c r="AO167" s="59">
        <f t="shared" si="144"/>
        <v>311.37245656657353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0.52640255249209245</v>
      </c>
      <c r="AV167" s="21">
        <f>EXP(-LN(2)/25)*AV166+(1-EXP(-LN(2)/25))/(LN(2)/25)*Calculateur!AQ167*Calculateur!AS167*VLOOKUP('Données projet'!$B$10,Paramètres!$A$1:$I$89,3,0)*0.475*44/12</f>
        <v>0.16175526491497572</v>
      </c>
      <c r="AW167" s="21">
        <f>EXP(-LN(2)/2)*AW166+(1-EXP(-LN(2)/2))/(LN(2)/2)*AQ167*AT167*VLOOKUP('Données projet'!$B$10,Paramètres!$A$1:$I$89,3,0)*0.475*44/12</f>
        <v>5.3687208119343061E-20</v>
      </c>
      <c r="AX167" s="21">
        <f t="shared" si="166"/>
        <v>0.68815781740706816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349.17860987804869</v>
      </c>
      <c r="BJ167" s="59">
        <f t="shared" si="146"/>
        <v>273.69433466447049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0.63883344406969078</v>
      </c>
      <c r="BQ167" s="21">
        <f>EXP(-LN(2)/25)*BQ166+(1-EXP(-LN(2)/25))/(LN(2)/25)*Calculateur!BL167*Calculateur!BN167*VLOOKUP('Données projet'!$B$11,Paramètres!$A$1:$I$89,3,0)*0.475*44/12</f>
        <v>0.27152230404052652</v>
      </c>
      <c r="BR167" s="21">
        <f>EXP(-LN(2)/2)*BR166+(1-EXP(-LN(2)/2))/(LN(2)/2)*BL167*BO167*VLOOKUP('Données projet'!$B$11,Paramètres!$A$1:$I$89,3,0)*0.475*44/12</f>
        <v>7.4831150415164756E-20</v>
      </c>
      <c r="BS167" s="22">
        <f t="shared" si="169"/>
        <v>0.91035574811021736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2.0572770154103635E-13</v>
      </c>
      <c r="P168" s="13">
        <f t="shared" si="141"/>
        <v>2.8416956338469711E-12</v>
      </c>
      <c r="Q168" s="20">
        <f t="shared" si="162"/>
        <v>5.3075956424674458E-12</v>
      </c>
      <c r="R168" s="59">
        <f t="shared" si="109"/>
        <v>288.22609502835144</v>
      </c>
      <c r="S168" s="59">
        <f ca="1">AVERAGE(OFFSET($R$3,0,0,'Données projet'!$E$9+1,1))-AVERAGE(OFFSET($H$3,0,0,'Données projet'!$E$9+1,1))</f>
        <v>446.05900197653546</v>
      </c>
      <c r="T168" s="59">
        <f t="shared" si="142"/>
        <v>630.54710489646106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0.22730856015251832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2.2618404443676508E-20</v>
      </c>
      <c r="AC168" s="22">
        <f t="shared" si="163"/>
        <v>0.22730856015251832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394.69391436029986</v>
      </c>
      <c r="AO168" s="59">
        <f t="shared" si="144"/>
        <v>311.37245656657353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0.51608011951157617</v>
      </c>
      <c r="AV168" s="21">
        <f>EXP(-LN(2)/25)*AV167+(1-EXP(-LN(2)/25))/(LN(2)/25)*Calculateur!AQ168*Calculateur!AS168*VLOOKUP('Données projet'!$B$10,Paramètres!$A$1:$I$89,3,0)*0.475*44/12</f>
        <v>0.15733205868953601</v>
      </c>
      <c r="AW168" s="21">
        <f>EXP(-LN(2)/2)*AW167+(1-EXP(-LN(2)/2))/(LN(2)/2)*AQ168*AT168*VLOOKUP('Données projet'!$B$10,Paramètres!$A$1:$I$89,3,0)*0.475*44/12</f>
        <v>3.7962588924160955E-20</v>
      </c>
      <c r="AX168" s="21">
        <f t="shared" si="166"/>
        <v>0.67341217820111221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349.17860987804869</v>
      </c>
      <c r="BJ168" s="59">
        <f t="shared" si="146"/>
        <v>273.69433466447049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0.62630630988141034</v>
      </c>
      <c r="BQ168" s="21">
        <f>EXP(-LN(2)/25)*BQ167+(1-EXP(-LN(2)/25))/(LN(2)/25)*Calculateur!BL168*Calculateur!BN168*VLOOKUP('Données projet'!$B$11,Paramètres!$A$1:$I$89,3,0)*0.475*44/12</f>
        <v>0.26409751235780093</v>
      </c>
      <c r="BR168" s="21">
        <f>EXP(-LN(2)/2)*BR167+(1-EXP(-LN(2)/2))/(LN(2)/2)*BL168*BO168*VLOOKUP('Données projet'!$B$11,Paramètres!$A$1:$I$89,3,0)*0.475*44/12</f>
        <v>5.2913613902553535E-20</v>
      </c>
      <c r="BS168" s="22">
        <f t="shared" si="169"/>
        <v>0.89040382223921122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2.0572770154103635E-13</v>
      </c>
      <c r="P169" s="13">
        <f t="shared" si="141"/>
        <v>2.8416956338469711E-12</v>
      </c>
      <c r="Q169" s="20">
        <f t="shared" si="162"/>
        <v>5.3075956424674458E-12</v>
      </c>
      <c r="R169" s="59">
        <f t="shared" si="109"/>
        <v>288.31469419486871</v>
      </c>
      <c r="S169" s="59">
        <f ca="1">AVERAGE(OFFSET($R$3,0,0,'Données projet'!$E$9+1,1))-AVERAGE(OFFSET($H$3,0,0,'Données projet'!$E$9+1,1))</f>
        <v>446.05900197653546</v>
      </c>
      <c r="T169" s="59">
        <f t="shared" si="142"/>
        <v>630.54710489646106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0.22285117793245912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1.5993627161743599E-20</v>
      </c>
      <c r="AC169" s="22">
        <f t="shared" si="163"/>
        <v>0.22285117793245912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394.69391436029986</v>
      </c>
      <c r="AO169" s="59">
        <f t="shared" si="144"/>
        <v>311.37245656657353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0.50596010314574535</v>
      </c>
      <c r="AV169" s="21">
        <f>EXP(-LN(2)/25)*AV168+(1-EXP(-LN(2)/25))/(LN(2)/25)*Calculateur!AQ169*Calculateur!AS169*VLOOKUP('Données projet'!$B$10,Paramètres!$A$1:$I$89,3,0)*0.475*44/12</f>
        <v>0.15302980527093726</v>
      </c>
      <c r="AW169" s="21">
        <f>EXP(-LN(2)/2)*AW168+(1-EXP(-LN(2)/2))/(LN(2)/2)*AQ169*AT169*VLOOKUP('Données projet'!$B$10,Paramètres!$A$1:$I$89,3,0)*0.475*44/12</f>
        <v>2.6843604059671534E-20</v>
      </c>
      <c r="AX169" s="21">
        <f t="shared" si="166"/>
        <v>0.65898990841668259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349.17860987804869</v>
      </c>
      <c r="BJ169" s="59">
        <f t="shared" si="146"/>
        <v>273.69433466447049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0.61402482515376466</v>
      </c>
      <c r="BQ169" s="21">
        <f>EXP(-LN(2)/25)*BQ168+(1-EXP(-LN(2)/25))/(LN(2)/25)*Calculateur!BL169*Calculateur!BN169*VLOOKUP('Données projet'!$B$11,Paramètres!$A$1:$I$89,3,0)*0.475*44/12</f>
        <v>0.25687575199409229</v>
      </c>
      <c r="BR169" s="21">
        <f>EXP(-LN(2)/2)*BR168+(1-EXP(-LN(2)/2))/(LN(2)/2)*BL169*BO169*VLOOKUP('Données projet'!$B$11,Paramètres!$A$1:$I$89,3,0)*0.475*44/12</f>
        <v>3.7415575207582384E-20</v>
      </c>
      <c r="BS169" s="22">
        <f t="shared" si="169"/>
        <v>0.87090057714785696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2.0572770154103635E-13</v>
      </c>
      <c r="P170" s="13">
        <f t="shared" si="141"/>
        <v>2.8416956338469711E-12</v>
      </c>
      <c r="Q170" s="20">
        <f t="shared" si="162"/>
        <v>5.3075956424674458E-12</v>
      </c>
      <c r="R170" s="59">
        <f t="shared" si="109"/>
        <v>288.4017563639249</v>
      </c>
      <c r="S170" s="59">
        <f ca="1">AVERAGE(OFFSET($R$3,0,0,'Données projet'!$E$9+1,1))-AVERAGE(OFFSET($H$3,0,0,'Données projet'!$E$9+1,1))</f>
        <v>446.05900197653546</v>
      </c>
      <c r="T170" s="59">
        <f t="shared" si="142"/>
        <v>630.54710489646106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0.21848120225900058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1.1309202221838254E-20</v>
      </c>
      <c r="AC170" s="22">
        <f t="shared" si="163"/>
        <v>0.21848120225900058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394.69391436029986</v>
      </c>
      <c r="AO170" s="59">
        <f t="shared" si="144"/>
        <v>311.37245656657353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0.496038534128248</v>
      </c>
      <c r="AV170" s="21">
        <f>EXP(-LN(2)/25)*AV169+(1-EXP(-LN(2)/25))/(LN(2)/25)*Calculateur!AQ170*Calculateur!AS170*VLOOKUP('Données projet'!$B$10,Paramètres!$A$1:$I$89,3,0)*0.475*44/12</f>
        <v>0.14884519719831579</v>
      </c>
      <c r="AW170" s="21">
        <f>EXP(-LN(2)/2)*AW169+(1-EXP(-LN(2)/2))/(LN(2)/2)*AQ170*AT170*VLOOKUP('Données projet'!$B$10,Paramètres!$A$1:$I$89,3,0)*0.475*44/12</f>
        <v>1.8981294462080481E-20</v>
      </c>
      <c r="AX170" s="21">
        <f t="shared" si="166"/>
        <v>0.64488373132656385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349.17860987804869</v>
      </c>
      <c r="BJ170" s="59">
        <f t="shared" si="146"/>
        <v>273.69433466447049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0.60198417285066208</v>
      </c>
      <c r="BQ170" s="21">
        <f>EXP(-LN(2)/25)*BQ169+(1-EXP(-LN(2)/25))/(LN(2)/25)*Calculateur!BL170*Calculateur!BN170*VLOOKUP('Données projet'!$B$11,Paramètres!$A$1:$I$89,3,0)*0.475*44/12</f>
        <v>0.24985147104730515</v>
      </c>
      <c r="BR170" s="21">
        <f>EXP(-LN(2)/2)*BR169+(1-EXP(-LN(2)/2))/(LN(2)/2)*BL170*BO170*VLOOKUP('Données projet'!$B$11,Paramètres!$A$1:$I$89,3,0)*0.475*44/12</f>
        <v>2.645680695127677E-20</v>
      </c>
      <c r="BS170" s="22">
        <f t="shared" si="169"/>
        <v>0.85183564389796729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2.0572770154103635E-13</v>
      </c>
      <c r="P171" s="13">
        <f t="shared" si="141"/>
        <v>2.8416956338469711E-12</v>
      </c>
      <c r="Q171" s="20">
        <f t="shared" si="162"/>
        <v>5.3075956424674458E-12</v>
      </c>
      <c r="R171" s="59">
        <f t="shared" si="109"/>
        <v>288.48730819898981</v>
      </c>
      <c r="S171" s="59">
        <f ca="1">AVERAGE(OFFSET($R$3,0,0,'Données projet'!$E$9+1,1))-AVERAGE(OFFSET($H$3,0,0,'Données projet'!$E$9+1,1))</f>
        <v>446.05900197653546</v>
      </c>
      <c r="T171" s="59">
        <f t="shared" si="142"/>
        <v>630.54710489646106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0.21419691914307659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7.9968135808717993E-21</v>
      </c>
      <c r="AC171" s="22">
        <f t="shared" si="163"/>
        <v>0.21419691914307659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394.69391436029986</v>
      </c>
      <c r="AO171" s="59">
        <f t="shared" si="144"/>
        <v>311.37245656657353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0.48631152102762421</v>
      </c>
      <c r="AV171" s="21">
        <f>EXP(-LN(2)/25)*AV170+(1-EXP(-LN(2)/25))/(LN(2)/25)*Calculateur!AQ171*Calculateur!AS171*VLOOKUP('Données projet'!$B$10,Paramètres!$A$1:$I$89,3,0)*0.475*44/12</f>
        <v>0.14477501745349911</v>
      </c>
      <c r="AW171" s="21">
        <f>EXP(-LN(2)/2)*AW170+(1-EXP(-LN(2)/2))/(LN(2)/2)*AQ171*AT171*VLOOKUP('Données projet'!$B$10,Paramètres!$A$1:$I$89,3,0)*0.475*44/12</f>
        <v>1.342180202983577E-20</v>
      </c>
      <c r="AX171" s="21">
        <f t="shared" si="166"/>
        <v>0.63108653848112328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349.17860987804869</v>
      </c>
      <c r="BJ171" s="59">
        <f t="shared" si="146"/>
        <v>273.69433466447049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0.59017963039515065</v>
      </c>
      <c r="BQ171" s="21">
        <f>EXP(-LN(2)/25)*BQ170+(1-EXP(-LN(2)/25))/(LN(2)/25)*Calculateur!BL171*Calculateur!BN171*VLOOKUP('Données projet'!$B$11,Paramètres!$A$1:$I$89,3,0)*0.475*44/12</f>
        <v>0.24301926943239877</v>
      </c>
      <c r="BR171" s="21">
        <f>EXP(-LN(2)/2)*BR170+(1-EXP(-LN(2)/2))/(LN(2)/2)*BL171*BO171*VLOOKUP('Données projet'!$B$11,Paramètres!$A$1:$I$89,3,0)*0.475*44/12</f>
        <v>1.8707787603791195E-20</v>
      </c>
      <c r="BS171" s="22">
        <f t="shared" si="169"/>
        <v>0.83319889982754947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2.0572770154103635E-13</v>
      </c>
      <c r="P172" s="13">
        <f t="shared" si="141"/>
        <v>2.8416956338469711E-12</v>
      </c>
      <c r="Q172" s="20">
        <f t="shared" si="162"/>
        <v>5.3075956424674458E-12</v>
      </c>
      <c r="R172" s="59">
        <f t="shared" si="109"/>
        <v>288.57137590098171</v>
      </c>
      <c r="S172" s="59">
        <f ca="1">AVERAGE(OFFSET($R$3,0,0,'Données projet'!$E$9+1,1))-AVERAGE(OFFSET($H$3,0,0,'Données projet'!$E$9+1,1))</f>
        <v>446.05900197653546</v>
      </c>
      <c r="T172" s="59">
        <f t="shared" si="142"/>
        <v>630.54710489646106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0.20999664820590119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5.654601110919127E-21</v>
      </c>
      <c r="AC172" s="22">
        <f t="shared" si="163"/>
        <v>0.20999664820590119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394.69391436029986</v>
      </c>
      <c r="AO172" s="59">
        <f t="shared" si="144"/>
        <v>311.37245656657353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0.47677524872101146</v>
      </c>
      <c r="AV172" s="21">
        <f>EXP(-LN(2)/25)*AV171+(1-EXP(-LN(2)/25))/(LN(2)/25)*Calculateur!AQ172*Calculateur!AS172*VLOOKUP('Données projet'!$B$10,Paramètres!$A$1:$I$89,3,0)*0.475*44/12</f>
        <v>0.1408161369878459</v>
      </c>
      <c r="AW172" s="21">
        <f>EXP(-LN(2)/2)*AW171+(1-EXP(-LN(2)/2))/(LN(2)/2)*AQ172*AT172*VLOOKUP('Données projet'!$B$10,Paramètres!$A$1:$I$89,3,0)*0.475*44/12</f>
        <v>9.4906472310402418E-21</v>
      </c>
      <c r="AX172" s="21">
        <f t="shared" si="166"/>
        <v>0.6175913857088573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349.17860987804869</v>
      </c>
      <c r="BJ172" s="59">
        <f t="shared" si="146"/>
        <v>273.69433466447049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0.57860656781713182</v>
      </c>
      <c r="BQ172" s="21">
        <f>EXP(-LN(2)/25)*BQ171+(1-EXP(-LN(2)/25))/(LN(2)/25)*Calculateur!BL172*Calculateur!BN172*VLOOKUP('Données projet'!$B$11,Paramètres!$A$1:$I$89,3,0)*0.475*44/12</f>
        <v>0.23637389472994186</v>
      </c>
      <c r="BR172" s="21">
        <f>EXP(-LN(2)/2)*BR171+(1-EXP(-LN(2)/2))/(LN(2)/2)*BL172*BO172*VLOOKUP('Données projet'!$B$11,Paramètres!$A$1:$I$89,3,0)*0.475*44/12</f>
        <v>1.3228403475638388E-20</v>
      </c>
      <c r="BS172" s="22">
        <f t="shared" si="169"/>
        <v>0.81498046254707368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2.0572770154103635E-13</v>
      </c>
      <c r="P173" s="13">
        <f t="shared" si="141"/>
        <v>2.8416956338469711E-12</v>
      </c>
      <c r="Q173" s="20">
        <f t="shared" si="162"/>
        <v>5.3075956424674458E-12</v>
      </c>
      <c r="R173" s="59">
        <f t="shared" si="109"/>
        <v>288.65398521629118</v>
      </c>
      <c r="S173" s="59">
        <f ca="1">AVERAGE(OFFSET($R$3,0,0,'Données projet'!$E$9+1,1))-AVERAGE(OFFSET($H$3,0,0,'Données projet'!$E$9+1,1))</f>
        <v>446.05900197653546</v>
      </c>
      <c r="T173" s="59">
        <f t="shared" si="142"/>
        <v>630.54710489646106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0.20587874201989151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3.9984067904358996E-21</v>
      </c>
      <c r="AC173" s="22">
        <f t="shared" si="163"/>
        <v>0.20587874201989151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394.69391436029986</v>
      </c>
      <c r="AO173" s="59">
        <f t="shared" si="144"/>
        <v>311.37245656657353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0.46742597689777959</v>
      </c>
      <c r="AV173" s="21">
        <f>EXP(-LN(2)/25)*AV172+(1-EXP(-LN(2)/25))/(LN(2)/25)*Calculateur!AQ173*Calculateur!AS173*VLOOKUP('Données projet'!$B$10,Paramètres!$A$1:$I$89,3,0)*0.475*44/12</f>
        <v>0.13696551231671444</v>
      </c>
      <c r="AW173" s="21">
        <f>EXP(-LN(2)/2)*AW172+(1-EXP(-LN(2)/2))/(LN(2)/2)*AQ173*AT173*VLOOKUP('Données projet'!$B$10,Paramètres!$A$1:$I$89,3,0)*0.475*44/12</f>
        <v>6.7109010149178857E-21</v>
      </c>
      <c r="AX173" s="21">
        <f t="shared" si="166"/>
        <v>0.60439148921449404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349.17860987804869</v>
      </c>
      <c r="BJ173" s="59">
        <f t="shared" si="146"/>
        <v>273.69433466447049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0.56726044593739677</v>
      </c>
      <c r="BQ173" s="21">
        <f>EXP(-LN(2)/25)*BQ172+(1-EXP(-LN(2)/25))/(LN(2)/25)*Calculateur!BL173*Calculateur!BN173*VLOOKUP('Données projet'!$B$11,Paramètres!$A$1:$I$89,3,0)*0.475*44/12</f>
        <v>0.2299102381481887</v>
      </c>
      <c r="BR173" s="21">
        <f>EXP(-LN(2)/2)*BR172+(1-EXP(-LN(2)/2))/(LN(2)/2)*BL173*BO173*VLOOKUP('Données projet'!$B$11,Paramètres!$A$1:$I$89,3,0)*0.475*44/12</f>
        <v>9.353893801895599E-21</v>
      </c>
      <c r="BS173" s="22">
        <f t="shared" si="169"/>
        <v>0.79717068408558545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2.0572770154103635E-13</v>
      </c>
      <c r="P174" s="13">
        <f t="shared" si="141"/>
        <v>2.8416956338469711E-12</v>
      </c>
      <c r="Q174" s="20">
        <f t="shared" si="162"/>
        <v>5.3075956424674458E-12</v>
      </c>
      <c r="R174" s="59">
        <f t="shared" si="109"/>
        <v>288.7351614446668</v>
      </c>
      <c r="S174" s="59">
        <f ca="1">AVERAGE(OFFSET($R$3,0,0,'Données projet'!$E$9+1,1))-AVERAGE(OFFSET($H$3,0,0,'Données projet'!$E$9+1,1))</f>
        <v>446.05900197653546</v>
      </c>
      <c r="T174" s="59">
        <f t="shared" si="142"/>
        <v>630.54710489646106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0.20184158546251471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2.8273005554595635E-21</v>
      </c>
      <c r="AC174" s="22">
        <f t="shared" si="163"/>
        <v>0.20184158546251471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394.69391436029986</v>
      </c>
      <c r="AO174" s="59">
        <f t="shared" si="144"/>
        <v>311.37245656657353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0.45826003859250858</v>
      </c>
      <c r="AV174" s="21">
        <f>EXP(-LN(2)/25)*AV173+(1-EXP(-LN(2)/25))/(LN(2)/25)*Calculateur!AQ174*Calculateur!AS174*VLOOKUP('Données projet'!$B$10,Paramètres!$A$1:$I$89,3,0)*0.475*44/12</f>
        <v>0.13322018317971063</v>
      </c>
      <c r="AW174" s="21">
        <f>EXP(-LN(2)/2)*AW173+(1-EXP(-LN(2)/2))/(LN(2)/2)*AQ174*AT174*VLOOKUP('Données projet'!$B$10,Paramètres!$A$1:$I$89,3,0)*0.475*44/12</f>
        <v>4.7453236155201216E-21</v>
      </c>
      <c r="AX174" s="21">
        <f t="shared" si="166"/>
        <v>0.59148022177221926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349.17860987804869</v>
      </c>
      <c r="BJ174" s="59">
        <f t="shared" si="146"/>
        <v>273.69433466447049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0.55613681458727227</v>
      </c>
      <c r="BQ174" s="21">
        <f>EXP(-LN(2)/25)*BQ173+(1-EXP(-LN(2)/25))/(LN(2)/25)*Calculateur!BL174*Calculateur!BN174*VLOOKUP('Données projet'!$B$11,Paramètres!$A$1:$I$89,3,0)*0.475*44/12</f>
        <v>0.22362333059557252</v>
      </c>
      <c r="BR174" s="21">
        <f>EXP(-LN(2)/2)*BR173+(1-EXP(-LN(2)/2))/(LN(2)/2)*BL174*BO174*VLOOKUP('Données projet'!$B$11,Paramètres!$A$1:$I$89,3,0)*0.475*44/12</f>
        <v>6.6142017378191949E-21</v>
      </c>
      <c r="BS174" s="22">
        <f t="shared" si="169"/>
        <v>0.77976014518284475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2.0572770154103635E-13</v>
      </c>
      <c r="P175" s="13">
        <f t="shared" si="141"/>
        <v>2.8416956338469711E-12</v>
      </c>
      <c r="Q175" s="20">
        <f t="shared" si="162"/>
        <v>5.3075956424674458E-12</v>
      </c>
      <c r="R175" s="59">
        <f t="shared" si="109"/>
        <v>288.81492944696294</v>
      </c>
      <c r="S175" s="59">
        <f ca="1">AVERAGE(OFFSET($R$3,0,0,'Données projet'!$E$9+1,1))-AVERAGE(OFFSET($H$3,0,0,'Données projet'!$E$9+1,1))</f>
        <v>446.05900197653546</v>
      </c>
      <c r="T175" s="59">
        <f t="shared" si="142"/>
        <v>630.54710489646106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0.1978835950828057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1.9992033952179498E-21</v>
      </c>
      <c r="AC175" s="22">
        <f t="shared" si="163"/>
        <v>0.1978835950828057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394.69391436029986</v>
      </c>
      <c r="AO175" s="59">
        <f t="shared" si="144"/>
        <v>311.37245656657353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0.4492738387467336</v>
      </c>
      <c r="AV175" s="21">
        <f>EXP(-LN(2)/25)*AV174+(1-EXP(-LN(2)/25))/(LN(2)/25)*Calculateur!AQ175*Calculateur!AS175*VLOOKUP('Données projet'!$B$10,Paramètres!$A$1:$I$89,3,0)*0.475*44/12</f>
        <v>0.12957727026491647</v>
      </c>
      <c r="AW175" s="21">
        <f>EXP(-LN(2)/2)*AW174+(1-EXP(-LN(2)/2))/(LN(2)/2)*AQ175*AT175*VLOOKUP('Données projet'!$B$10,Paramètres!$A$1:$I$89,3,0)*0.475*44/12</f>
        <v>3.3554505074589436E-21</v>
      </c>
      <c r="AX175" s="21">
        <f t="shared" si="166"/>
        <v>0.57885110901165004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349.17860987804869</v>
      </c>
      <c r="BJ175" s="59">
        <f t="shared" si="146"/>
        <v>273.69433466447049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0.54523131086317855</v>
      </c>
      <c r="BQ175" s="21">
        <f>EXP(-LN(2)/25)*BQ174+(1-EXP(-LN(2)/25))/(LN(2)/25)*Calculateur!BL175*Calculateur!BN175*VLOOKUP('Données projet'!$B$11,Paramètres!$A$1:$I$89,3,0)*0.475*44/12</f>
        <v>0.21750833886059673</v>
      </c>
      <c r="BR175" s="21">
        <f>EXP(-LN(2)/2)*BR174+(1-EXP(-LN(2)/2))/(LN(2)/2)*BL175*BO175*VLOOKUP('Données projet'!$B$11,Paramètres!$A$1:$I$89,3,0)*0.475*44/12</f>
        <v>4.6769469009478003E-21</v>
      </c>
      <c r="BS175" s="22">
        <f t="shared" si="169"/>
        <v>0.76273964972377528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2.0572770154103635E-13</v>
      </c>
      <c r="P176" s="13">
        <f t="shared" si="141"/>
        <v>2.8416956338469711E-12</v>
      </c>
      <c r="Q176" s="20">
        <f t="shared" si="162"/>
        <v>5.3075956424674458E-12</v>
      </c>
      <c r="R176" s="59">
        <f t="shared" si="109"/>
        <v>288.89331365275376</v>
      </c>
      <c r="S176" s="59">
        <f ca="1">AVERAGE(OFFSET($R$3,0,0,'Données projet'!$E$9+1,1))-AVERAGE(OFFSET($H$3,0,0,'Données projet'!$E$9+1,1))</f>
        <v>446.05900197653546</v>
      </c>
      <c r="T176" s="59">
        <f t="shared" si="142"/>
        <v>630.54710489646106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0.19400321848030705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1.4136502777297818E-21</v>
      </c>
      <c r="AC176" s="22">
        <f t="shared" si="163"/>
        <v>0.19400321848030705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394.69391436029986</v>
      </c>
      <c r="AO176" s="59">
        <f t="shared" si="144"/>
        <v>311.37245656657353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0.44046385279889355</v>
      </c>
      <c r="AV176" s="21">
        <f>EXP(-LN(2)/25)*AV175+(1-EXP(-LN(2)/25))/(LN(2)/25)*Calculateur!AQ176*Calculateur!AS176*VLOOKUP('Données projet'!$B$10,Paramètres!$A$1:$I$89,3,0)*0.475*44/12</f>
        <v>0.12603397299534985</v>
      </c>
      <c r="AW176" s="21">
        <f>EXP(-LN(2)/2)*AW175+(1-EXP(-LN(2)/2))/(LN(2)/2)*AQ176*AT176*VLOOKUP('Données projet'!$B$10,Paramètres!$A$1:$I$89,3,0)*0.475*44/12</f>
        <v>2.3726618077600612E-21</v>
      </c>
      <c r="AX176" s="21">
        <f t="shared" si="166"/>
        <v>0.56649782579424346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349.17860987804869</v>
      </c>
      <c r="BJ176" s="59">
        <f t="shared" si="146"/>
        <v>273.69433466447049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0.53453965741541387</v>
      </c>
      <c r="BQ176" s="21">
        <f>EXP(-LN(2)/25)*BQ175+(1-EXP(-LN(2)/25))/(LN(2)/25)*Calculateur!BL176*Calculateur!BN176*VLOOKUP('Données projet'!$B$11,Paramètres!$A$1:$I$89,3,0)*0.475*44/12</f>
        <v>0.2115605618961873</v>
      </c>
      <c r="BR176" s="21">
        <f>EXP(-LN(2)/2)*BR175+(1-EXP(-LN(2)/2))/(LN(2)/2)*BL176*BO176*VLOOKUP('Données projet'!$B$11,Paramètres!$A$1:$I$89,3,0)*0.475*44/12</f>
        <v>3.3071008689095978E-21</v>
      </c>
      <c r="BS176" s="22">
        <f t="shared" si="169"/>
        <v>0.7461002193116012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2.0572770154103635E-13</v>
      </c>
      <c r="P177" s="13">
        <f t="shared" si="141"/>
        <v>2.8416956338469711E-12</v>
      </c>
      <c r="Q177" s="20">
        <f t="shared" si="162"/>
        <v>5.3075956424674458E-12</v>
      </c>
      <c r="R177" s="59">
        <f t="shared" si="109"/>
        <v>288.97033806781502</v>
      </c>
      <c r="S177" s="59">
        <f ca="1">AVERAGE(OFFSET($R$3,0,0,'Données projet'!$E$9+1,1))-AVERAGE(OFFSET($H$3,0,0,'Données projet'!$E$9+1,1))</f>
        <v>446.05900197653546</v>
      </c>
      <c r="T177" s="59">
        <f t="shared" si="142"/>
        <v>630.54710489646106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0.19019893369618734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9.9960169760897491E-22</v>
      </c>
      <c r="AC177" s="22">
        <f t="shared" si="163"/>
        <v>0.19019893369618734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394.69391436029986</v>
      </c>
      <c r="AO177" s="59">
        <f t="shared" si="144"/>
        <v>311.37245656657353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0.43182662530192983</v>
      </c>
      <c r="AV177" s="21">
        <f>EXP(-LN(2)/25)*AV176+(1-EXP(-LN(2)/25))/(LN(2)/25)*Calculateur!AQ177*Calculateur!AS177*VLOOKUP('Données projet'!$B$10,Paramètres!$A$1:$I$89,3,0)*0.475*44/12</f>
        <v>0.12258756737595343</v>
      </c>
      <c r="AW177" s="21">
        <f>EXP(-LN(2)/2)*AW176+(1-EXP(-LN(2)/2))/(LN(2)/2)*AQ177*AT177*VLOOKUP('Données projet'!$B$10,Paramètres!$A$1:$I$89,3,0)*0.475*44/12</f>
        <v>1.677725253729472E-21</v>
      </c>
      <c r="AX177" s="21">
        <f t="shared" si="166"/>
        <v>0.55441419267788328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349.17860987804869</v>
      </c>
      <c r="BJ177" s="59">
        <f t="shared" si="146"/>
        <v>273.69433466447049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0.5240576607704952</v>
      </c>
      <c r="BQ177" s="21">
        <f>EXP(-LN(2)/25)*BQ176+(1-EXP(-LN(2)/25))/(LN(2)/25)*Calculateur!BL177*Calculateur!BN177*VLOOKUP('Données projet'!$B$11,Paramètres!$A$1:$I$89,3,0)*0.475*44/12</f>
        <v>0.20577542720564965</v>
      </c>
      <c r="BR177" s="21">
        <f>EXP(-LN(2)/2)*BR176+(1-EXP(-LN(2)/2))/(LN(2)/2)*BL177*BO177*VLOOKUP('Données projet'!$B$11,Paramètres!$A$1:$I$89,3,0)*0.475*44/12</f>
        <v>2.3384734504739005E-21</v>
      </c>
      <c r="BS177" s="22">
        <f t="shared" si="169"/>
        <v>0.72983308797614488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2.0572770154103635E-13</v>
      </c>
      <c r="P178" s="13">
        <f t="shared" si="141"/>
        <v>2.8416956338469711E-12</v>
      </c>
      <c r="Q178" s="20">
        <f t="shared" si="162"/>
        <v>5.3075956424674458E-12</v>
      </c>
      <c r="R178" s="59">
        <f t="shared" si="109"/>
        <v>289.04602628147569</v>
      </c>
      <c r="S178" s="59">
        <f ca="1">AVERAGE(OFFSET($R$3,0,0,'Données projet'!$E$9+1,1))-AVERAGE(OFFSET($H$3,0,0,'Données projet'!$E$9+1,1))</f>
        <v>446.05900197653546</v>
      </c>
      <c r="T178" s="59">
        <f t="shared" si="142"/>
        <v>630.54710489646106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0.18646924861629963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7.0682513886489088E-22</v>
      </c>
      <c r="AC178" s="22">
        <f t="shared" si="163"/>
        <v>0.18646924861629963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394.69391436029986</v>
      </c>
      <c r="AO178" s="59">
        <f t="shared" si="144"/>
        <v>311.37245656657353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0.42335876856799298</v>
      </c>
      <c r="AV178" s="21">
        <f>EXP(-LN(2)/25)*AV177+(1-EXP(-LN(2)/25))/(LN(2)/25)*Calculateur!AQ178*Calculateur!AS178*VLOOKUP('Données projet'!$B$10,Paramètres!$A$1:$I$89,3,0)*0.475*44/12</f>
        <v>0.119235403899458</v>
      </c>
      <c r="AW178" s="21">
        <f>EXP(-LN(2)/2)*AW177+(1-EXP(-LN(2)/2))/(LN(2)/2)*AQ178*AT178*VLOOKUP('Données projet'!$B$10,Paramètres!$A$1:$I$89,3,0)*0.475*44/12</f>
        <v>1.1863309038800308E-21</v>
      </c>
      <c r="AX178" s="21">
        <f t="shared" si="166"/>
        <v>0.54259417246745101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349.17860987804869</v>
      </c>
      <c r="BJ178" s="59">
        <f t="shared" si="146"/>
        <v>273.69433466447049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0.51378120968639662</v>
      </c>
      <c r="BQ178" s="21">
        <f>EXP(-LN(2)/25)*BQ177+(1-EXP(-LN(2)/25))/(LN(2)/25)*Calculateur!BL178*Calculateur!BN178*VLOOKUP('Données projet'!$B$11,Paramètres!$A$1:$I$89,3,0)*0.475*44/12</f>
        <v>0.20014848732745175</v>
      </c>
      <c r="BR178" s="21">
        <f>EXP(-LN(2)/2)*BR177+(1-EXP(-LN(2)/2))/(LN(2)/2)*BL178*BO178*VLOOKUP('Données projet'!$B$11,Paramètres!$A$1:$I$89,3,0)*0.475*44/12</f>
        <v>1.6535504344547993E-21</v>
      </c>
      <c r="BS178" s="22">
        <f t="shared" si="169"/>
        <v>0.71392969701384834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2.0572770154103635E-13</v>
      </c>
      <c r="P179" s="13">
        <f t="shared" si="141"/>
        <v>2.8416956338469711E-12</v>
      </c>
      <c r="Q179" s="20">
        <f t="shared" si="162"/>
        <v>5.3075956424674458E-12</v>
      </c>
      <c r="R179" s="59">
        <f t="shared" si="109"/>
        <v>289.12040147384289</v>
      </c>
      <c r="S179" s="59">
        <f ca="1">AVERAGE(OFFSET($R$3,0,0,'Données projet'!$E$9+1,1))-AVERAGE(OFFSET($H$3,0,0,'Données projet'!$E$9+1,1))</f>
        <v>446.05900197653546</v>
      </c>
      <c r="T179" s="59">
        <f t="shared" si="142"/>
        <v>630.54710489646106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0.18281270038594524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4.9980084880448745E-22</v>
      </c>
      <c r="AC179" s="22">
        <f t="shared" si="163"/>
        <v>0.18281270038594524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394.69391436029986</v>
      </c>
      <c r="AO179" s="59">
        <f t="shared" si="144"/>
        <v>311.37245656657353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0.41505696133972603</v>
      </c>
      <c r="AV179" s="21">
        <f>EXP(-LN(2)/25)*AV178+(1-EXP(-LN(2)/25))/(LN(2)/25)*Calculateur!AQ179*Calculateur!AS179*VLOOKUP('Données projet'!$B$10,Paramètres!$A$1:$I$89,3,0)*0.475*44/12</f>
        <v>0.11597490550950994</v>
      </c>
      <c r="AW179" s="21">
        <f>EXP(-LN(2)/2)*AW178+(1-EXP(-LN(2)/2))/(LN(2)/2)*AQ179*AT179*VLOOKUP('Données projet'!$B$10,Paramètres!$A$1:$I$89,3,0)*0.475*44/12</f>
        <v>8.3886262686473609E-22</v>
      </c>
      <c r="AX179" s="21">
        <f t="shared" si="166"/>
        <v>0.53103186684923598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349.17860987804869</v>
      </c>
      <c r="BJ179" s="59">
        <f t="shared" si="146"/>
        <v>273.69433466447049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0.50370627354004105</v>
      </c>
      <c r="BQ179" s="21">
        <f>EXP(-LN(2)/25)*BQ178+(1-EXP(-LN(2)/25))/(LN(2)/25)*Calculateur!BL179*Calculateur!BN179*VLOOKUP('Données projet'!$B$11,Paramètres!$A$1:$I$89,3,0)*0.475*44/12</f>
        <v>0.19467541641613106</v>
      </c>
      <c r="BR179" s="21">
        <f>EXP(-LN(2)/2)*BR178+(1-EXP(-LN(2)/2))/(LN(2)/2)*BL179*BO179*VLOOKUP('Données projet'!$B$11,Paramètres!$A$1:$I$89,3,0)*0.475*44/12</f>
        <v>1.1692367252369504E-21</v>
      </c>
      <c r="BS179" s="22">
        <f t="shared" si="169"/>
        <v>0.69838168995617211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2.0572770154103635E-13</v>
      </c>
      <c r="P180" s="13">
        <f t="shared" si="141"/>
        <v>2.8416956338469711E-12</v>
      </c>
      <c r="Q180" s="20">
        <f t="shared" si="162"/>
        <v>5.3075956424674458E-12</v>
      </c>
      <c r="R180" s="59">
        <f t="shared" si="109"/>
        <v>289.19348642290055</v>
      </c>
      <c r="S180" s="59">
        <f ca="1">AVERAGE(OFFSET($R$3,0,0,'Données projet'!$E$9+1,1))-AVERAGE(OFFSET($H$3,0,0,'Données projet'!$E$9+1,1))</f>
        <v>446.05900197653546</v>
      </c>
      <c r="T180" s="59">
        <f t="shared" si="142"/>
        <v>630.54710489646106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0.17922785483611392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3.5341256943244544E-22</v>
      </c>
      <c r="AC180" s="22">
        <f t="shared" si="163"/>
        <v>0.17922785483611392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394.69391436029986</v>
      </c>
      <c r="AO180" s="59">
        <f t="shared" si="144"/>
        <v>311.37245656657353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0.40691794748760296</v>
      </c>
      <c r="AV180" s="21">
        <f>EXP(-LN(2)/25)*AV179+(1-EXP(-LN(2)/25))/(LN(2)/25)*Calculateur!AQ180*Calculateur!AS180*VLOOKUP('Données projet'!$B$10,Paramètres!$A$1:$I$89,3,0)*0.475*44/12</f>
        <v>0.11280356561949717</v>
      </c>
      <c r="AW180" s="21">
        <f>EXP(-LN(2)/2)*AW179+(1-EXP(-LN(2)/2))/(LN(2)/2)*AQ180*AT180*VLOOKUP('Données projet'!$B$10,Paramètres!$A$1:$I$89,3,0)*0.475*44/12</f>
        <v>5.9316545194001549E-22</v>
      </c>
      <c r="AX180" s="21">
        <f t="shared" si="166"/>
        <v>0.51972151310710013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349.17860987804869</v>
      </c>
      <c r="BJ180" s="59">
        <f t="shared" si="146"/>
        <v>273.69433466447049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0.49382890074641123</v>
      </c>
      <c r="BQ180" s="21">
        <f>EXP(-LN(2)/25)*BQ179+(1-EXP(-LN(2)/25))/(LN(2)/25)*Calculateur!BL180*Calculateur!BN180*VLOOKUP('Données projet'!$B$11,Paramètres!$A$1:$I$89,3,0)*0.475*44/12</f>
        <v>0.18935200691669674</v>
      </c>
      <c r="BR180" s="21">
        <f>EXP(-LN(2)/2)*BR179+(1-EXP(-LN(2)/2))/(LN(2)/2)*BL180*BO180*VLOOKUP('Données projet'!$B$11,Paramètres!$A$1:$I$89,3,0)*0.475*44/12</f>
        <v>8.2677521722739973E-22</v>
      </c>
      <c r="BS180" s="22">
        <f t="shared" si="169"/>
        <v>0.68318090766310791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2.0572770154103635E-13</v>
      </c>
      <c r="P181" s="13">
        <f t="shared" si="141"/>
        <v>2.8416956338469711E-12</v>
      </c>
      <c r="Q181" s="20">
        <f t="shared" si="162"/>
        <v>5.3075956424674458E-12</v>
      </c>
      <c r="R181" s="59">
        <f t="shared" si="109"/>
        <v>289.26530351148546</v>
      </c>
      <c r="S181" s="59">
        <f ca="1">AVERAGE(OFFSET($R$3,0,0,'Données projet'!$E$9+1,1))-AVERAGE(OFFSET($H$3,0,0,'Données projet'!$E$9+1,1))</f>
        <v>446.05900197653546</v>
      </c>
      <c r="T181" s="59">
        <f t="shared" si="142"/>
        <v>630.54710489646106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0.17571330592097489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2.4990042440224373E-22</v>
      </c>
      <c r="AC181" s="22">
        <f t="shared" si="163"/>
        <v>0.17571330592097489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394.69391436029986</v>
      </c>
      <c r="AO181" s="59">
        <f t="shared" si="144"/>
        <v>311.37245656657353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0.39893853473281177</v>
      </c>
      <c r="AV181" s="21">
        <f>EXP(-LN(2)/25)*AV180+(1-EXP(-LN(2)/25))/(LN(2)/25)*Calculateur!AQ181*Calculateur!AS181*VLOOKUP('Données projet'!$B$10,Paramètres!$A$1:$I$89,3,0)*0.475*44/12</f>
        <v>0.10971894618555032</v>
      </c>
      <c r="AW181" s="21">
        <f>EXP(-LN(2)/2)*AW180+(1-EXP(-LN(2)/2))/(LN(2)/2)*AQ181*AT181*VLOOKUP('Données projet'!$B$10,Paramètres!$A$1:$I$89,3,0)*0.475*44/12</f>
        <v>4.1943131343236814E-22</v>
      </c>
      <c r="AX181" s="21">
        <f t="shared" si="166"/>
        <v>0.50865748091836205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349.17860987804869</v>
      </c>
      <c r="BJ181" s="59">
        <f t="shared" si="146"/>
        <v>273.69433466447049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0.48414521720866194</v>
      </c>
      <c r="BQ181" s="21">
        <f>EXP(-LN(2)/25)*BQ180+(1-EXP(-LN(2)/25))/(LN(2)/25)*Calculateur!BL181*Calculateur!BN181*VLOOKUP('Données projet'!$B$11,Paramètres!$A$1:$I$89,3,0)*0.475*44/12</f>
        <v>0.18417416632997038</v>
      </c>
      <c r="BR181" s="21">
        <f>EXP(-LN(2)/2)*BR180+(1-EXP(-LN(2)/2))/(LN(2)/2)*BL181*BO181*VLOOKUP('Données projet'!$B$11,Paramètres!$A$1:$I$89,3,0)*0.475*44/12</f>
        <v>5.8461836261847531E-22</v>
      </c>
      <c r="BS181" s="22">
        <f t="shared" si="169"/>
        <v>0.66831938353863229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2.0572770154103635E-13</v>
      </c>
      <c r="P182" s="13">
        <f t="shared" si="141"/>
        <v>2.8416956338469711E-12</v>
      </c>
      <c r="Q182" s="20">
        <f t="shared" si="162"/>
        <v>5.3075956424674458E-12</v>
      </c>
      <c r="R182" s="59">
        <f t="shared" si="109"/>
        <v>289.33587473414241</v>
      </c>
      <c r="S182" s="59">
        <f ca="1">AVERAGE(OFFSET($R$3,0,0,'Données projet'!$E$9+1,1))-AVERAGE(OFFSET($H$3,0,0,'Données projet'!$E$9+1,1))</f>
        <v>446.05900197653546</v>
      </c>
      <c r="T182" s="59">
        <f t="shared" si="142"/>
        <v>630.54710489646106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0.17226767516639857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1.7670628471622272E-22</v>
      </c>
      <c r="AC182" s="22">
        <f t="shared" si="163"/>
        <v>0.17226767516639857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394.69391436029986</v>
      </c>
      <c r="AO182" s="59">
        <f t="shared" si="144"/>
        <v>311.37245656657353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0.39111559339518082</v>
      </c>
      <c r="AV182" s="21">
        <f>EXP(-LN(2)/25)*AV181+(1-EXP(-LN(2)/25))/(LN(2)/25)*Calculateur!AQ182*Calculateur!AS182*VLOOKUP('Données projet'!$B$10,Paramètres!$A$1:$I$89,3,0)*0.475*44/12</f>
        <v>0.10671867583223783</v>
      </c>
      <c r="AW182" s="21">
        <f>EXP(-LN(2)/2)*AW181+(1-EXP(-LN(2)/2))/(LN(2)/2)*AQ182*AT182*VLOOKUP('Données projet'!$B$10,Paramètres!$A$1:$I$89,3,0)*0.475*44/12</f>
        <v>2.9658272597000779E-22</v>
      </c>
      <c r="AX182" s="21">
        <f t="shared" si="166"/>
        <v>0.49783426922741864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349.17860987804869</v>
      </c>
      <c r="BJ182" s="59">
        <f t="shared" si="146"/>
        <v>273.69433466447049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0.47465142479862416</v>
      </c>
      <c r="BQ182" s="21">
        <f>EXP(-LN(2)/25)*BQ181+(1-EXP(-LN(2)/25))/(LN(2)/25)*Calculateur!BL182*Calculateur!BN182*VLOOKUP('Données projet'!$B$11,Paramètres!$A$1:$I$89,3,0)*0.475*44/12</f>
        <v>0.17913791406637888</v>
      </c>
      <c r="BR182" s="21">
        <f>EXP(-LN(2)/2)*BR181+(1-EXP(-LN(2)/2))/(LN(2)/2)*BL182*BO182*VLOOKUP('Données projet'!$B$11,Paramètres!$A$1:$I$89,3,0)*0.475*44/12</f>
        <v>4.1338760861369996E-22</v>
      </c>
      <c r="BS182" s="22">
        <f t="shared" si="169"/>
        <v>0.65378933886500301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2.0572770154103635E-13</v>
      </c>
      <c r="P183" s="13">
        <f t="shared" si="141"/>
        <v>2.8416956338469711E-12</v>
      </c>
      <c r="Q183" s="20">
        <f t="shared" si="162"/>
        <v>5.3075956424674458E-12</v>
      </c>
      <c r="R183" s="59">
        <f t="shared" si="109"/>
        <v>289.40522170385992</v>
      </c>
      <c r="S183" s="59">
        <f ca="1">AVERAGE(OFFSET($R$3,0,0,'Données projet'!$E$9+1,1))-AVERAGE(OFFSET($H$3,0,0,'Données projet'!$E$9+1,1))</f>
        <v>446.05900197653546</v>
      </c>
      <c r="T183" s="59">
        <f t="shared" si="142"/>
        <v>630.54710489646106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0.16888961112929227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1.2495021220112186E-22</v>
      </c>
      <c r="AC183" s="22">
        <f t="shared" si="163"/>
        <v>0.16888961112929227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394.69391436029986</v>
      </c>
      <c r="AO183" s="59">
        <f t="shared" si="144"/>
        <v>311.37245656657353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0.38344605516565777</v>
      </c>
      <c r="AV183" s="21">
        <f>EXP(-LN(2)/25)*AV182+(1-EXP(-LN(2)/25))/(LN(2)/25)*Calculateur!AQ183*Calculateur!AS183*VLOOKUP('Données projet'!$B$10,Paramètres!$A$1:$I$89,3,0)*0.475*44/12</f>
        <v>0.10380044802951403</v>
      </c>
      <c r="AW183" s="21">
        <f>EXP(-LN(2)/2)*AW182+(1-EXP(-LN(2)/2))/(LN(2)/2)*AQ183*AT183*VLOOKUP('Données projet'!$B$10,Paramètres!$A$1:$I$89,3,0)*0.475*44/12</f>
        <v>2.0971565671618409E-22</v>
      </c>
      <c r="AX183" s="21">
        <f t="shared" si="166"/>
        <v>0.48724650319517182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349.17860987804869</v>
      </c>
      <c r="BJ183" s="59">
        <f t="shared" si="146"/>
        <v>273.69433466447049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0.46534379986710567</v>
      </c>
      <c r="BQ183" s="21">
        <f>EXP(-LN(2)/25)*BQ182+(1-EXP(-LN(2)/25))/(LN(2)/25)*Calculateur!BL183*Calculateur!BN183*VLOOKUP('Données projet'!$B$11,Paramètres!$A$1:$I$89,3,0)*0.475*44/12</f>
        <v>0.17423937838578027</v>
      </c>
      <c r="BR183" s="21">
        <f>EXP(-LN(2)/2)*BR182+(1-EXP(-LN(2)/2))/(LN(2)/2)*BL183*BO183*VLOOKUP('Données projet'!$B$11,Paramètres!$A$1:$I$89,3,0)*0.475*44/12</f>
        <v>2.923091813092377E-22</v>
      </c>
      <c r="BS183" s="22">
        <f t="shared" si="169"/>
        <v>0.63958317825288591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2.0572770154103635E-13</v>
      </c>
      <c r="P184" s="13">
        <f t="shared" si="141"/>
        <v>2.8416956338469711E-12</v>
      </c>
      <c r="Q184" s="20">
        <f t="shared" si="162"/>
        <v>5.3075956424674458E-12</v>
      </c>
      <c r="R184" s="59">
        <f t="shared" si="109"/>
        <v>289.47336565868937</v>
      </c>
      <c r="S184" s="59">
        <f ca="1">AVERAGE(OFFSET($R$3,0,0,'Données projet'!$E$9+1,1))-AVERAGE(OFFSET($H$3,0,0,'Données projet'!$E$9+1,1))</f>
        <v>446.05900197653546</v>
      </c>
      <c r="T184" s="59">
        <f t="shared" si="142"/>
        <v>630.54710489646106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0.16557778886753799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8.835314235811136E-23</v>
      </c>
      <c r="AC184" s="22">
        <f t="shared" si="163"/>
        <v>0.16557778886753799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394.69391436029986</v>
      </c>
      <c r="AO184" s="59">
        <f t="shared" si="144"/>
        <v>311.37245656657353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0.37592691190285926</v>
      </c>
      <c r="AV184" s="21">
        <f>EXP(-LN(2)/25)*AV183+(1-EXP(-LN(2)/25))/(LN(2)/25)*Calculateur!AQ184*Calculateur!AS184*VLOOKUP('Données projet'!$B$10,Paramètres!$A$1:$I$89,3,0)*0.475*44/12</f>
        <v>0.10096201931951865</v>
      </c>
      <c r="AW184" s="21">
        <f>EXP(-LN(2)/2)*AW183+(1-EXP(-LN(2)/2))/(LN(2)/2)*AQ184*AT184*VLOOKUP('Données projet'!$B$10,Paramètres!$A$1:$I$89,3,0)*0.475*44/12</f>
        <v>1.4829136298500392E-22</v>
      </c>
      <c r="AX184" s="21">
        <f t="shared" si="166"/>
        <v>0.47688893122237791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349.17860987804869</v>
      </c>
      <c r="BJ184" s="59">
        <f t="shared" si="146"/>
        <v>273.69433466447049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0.45621869178340357</v>
      </c>
      <c r="BQ184" s="21">
        <f>EXP(-LN(2)/25)*BQ183+(1-EXP(-LN(2)/25))/(LN(2)/25)*Calculateur!BL184*Calculateur!BN184*VLOOKUP('Données projet'!$B$11,Paramètres!$A$1:$I$89,3,0)*0.475*44/12</f>
        <v>0.16947479342097044</v>
      </c>
      <c r="BR184" s="21">
        <f>EXP(-LN(2)/2)*BR183+(1-EXP(-LN(2)/2))/(LN(2)/2)*BL184*BO184*VLOOKUP('Données projet'!$B$11,Paramètres!$A$1:$I$89,3,0)*0.475*44/12</f>
        <v>2.0669380430685E-22</v>
      </c>
      <c r="BS184" s="22">
        <f t="shared" si="169"/>
        <v>0.62569348520437407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2.0572770154103635E-13</v>
      </c>
      <c r="P185" s="13">
        <f t="shared" si="141"/>
        <v>2.8416956338469711E-12</v>
      </c>
      <c r="Q185" s="20">
        <f t="shared" si="162"/>
        <v>5.3075956424674458E-12</v>
      </c>
      <c r="R185" s="59">
        <f t="shared" si="109"/>
        <v>289.5403274682497</v>
      </c>
      <c r="S185" s="59">
        <f ca="1">AVERAGE(OFFSET($R$3,0,0,'Données projet'!$E$9+1,1))-AVERAGE(OFFSET($H$3,0,0,'Données projet'!$E$9+1,1))</f>
        <v>446.05900197653546</v>
      </c>
      <c r="T185" s="59">
        <f t="shared" si="142"/>
        <v>630.54710489646106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0.1623309094203246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6.2475106100560932E-23</v>
      </c>
      <c r="AC185" s="22">
        <f t="shared" si="163"/>
        <v>0.1623309094203246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394.69391436029986</v>
      </c>
      <c r="AO185" s="59">
        <f t="shared" si="144"/>
        <v>311.37245656657353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0.36855521445321965</v>
      </c>
      <c r="AV185" s="21">
        <f>EXP(-LN(2)/25)*AV184+(1-EXP(-LN(2)/25))/(LN(2)/25)*Calculateur!AQ185*Calculateur!AS185*VLOOKUP('Données projet'!$B$10,Paramètres!$A$1:$I$89,3,0)*0.475*44/12</f>
        <v>9.820120759186457E-2</v>
      </c>
      <c r="AW185" s="21">
        <f>EXP(-LN(2)/2)*AW184+(1-EXP(-LN(2)/2))/(LN(2)/2)*AQ185*AT185*VLOOKUP('Données projet'!$B$10,Paramètres!$A$1:$I$89,3,0)*0.475*44/12</f>
        <v>1.0485782835809207E-22</v>
      </c>
      <c r="AX185" s="21">
        <f t="shared" si="166"/>
        <v>0.46675642204508422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349.17860987804869</v>
      </c>
      <c r="BJ185" s="59">
        <f t="shared" si="146"/>
        <v>273.69433466447049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0.44727252150345653</v>
      </c>
      <c r="BQ185" s="21">
        <f>EXP(-LN(2)/25)*BQ184+(1-EXP(-LN(2)/25))/(LN(2)/25)*Calculateur!BL185*Calculateur!BN185*VLOOKUP('Données projet'!$B$11,Paramètres!$A$1:$I$89,3,0)*0.475*44/12</f>
        <v>0.16484049628258196</v>
      </c>
      <c r="BR185" s="21">
        <f>EXP(-LN(2)/2)*BR184+(1-EXP(-LN(2)/2))/(LN(2)/2)*BL185*BO185*VLOOKUP('Données projet'!$B$11,Paramètres!$A$1:$I$89,3,0)*0.475*44/12</f>
        <v>1.4615459065461888E-22</v>
      </c>
      <c r="BS185" s="22">
        <f t="shared" si="169"/>
        <v>0.61211301778603855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2.0572770154103635E-13</v>
      </c>
      <c r="P186" s="13">
        <f t="shared" si="141"/>
        <v>2.8416956338469711E-12</v>
      </c>
      <c r="Q186" s="20">
        <f t="shared" si="162"/>
        <v>5.3075956424674458E-12</v>
      </c>
      <c r="R186" s="59">
        <f t="shared" si="109"/>
        <v>289.60612764011825</v>
      </c>
      <c r="S186" s="59">
        <f ca="1">AVERAGE(OFFSET($R$3,0,0,'Données projet'!$E$9+1,1))-AVERAGE(OFFSET($H$3,0,0,'Données projet'!$E$9+1,1))</f>
        <v>446.05900197653546</v>
      </c>
      <c r="T186" s="59">
        <f t="shared" si="142"/>
        <v>630.54710489646106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0.15914769929867015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4.417657117905568E-23</v>
      </c>
      <c r="AC186" s="22">
        <f t="shared" si="163"/>
        <v>0.15914769929867015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394.69391436029986</v>
      </c>
      <c r="AO186" s="59">
        <f t="shared" si="144"/>
        <v>311.37245656657353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0.36132807149427604</v>
      </c>
      <c r="AV186" s="21">
        <f>EXP(-LN(2)/25)*AV185+(1-EXP(-LN(2)/25))/(LN(2)/25)*Calculateur!AQ186*Calculateur!AS186*VLOOKUP('Données projet'!$B$10,Paramètres!$A$1:$I$89,3,0)*0.475*44/12</f>
        <v>9.5515890406087961E-2</v>
      </c>
      <c r="AW186" s="21">
        <f>EXP(-LN(2)/2)*AW185+(1-EXP(-LN(2)/2))/(LN(2)/2)*AQ186*AT186*VLOOKUP('Données projet'!$B$10,Paramètres!$A$1:$I$89,3,0)*0.475*44/12</f>
        <v>7.4145681492501971E-23</v>
      </c>
      <c r="AX186" s="21">
        <f t="shared" si="166"/>
        <v>0.45684396190036403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349.17860987804869</v>
      </c>
      <c r="BJ186" s="59">
        <f t="shared" si="146"/>
        <v>273.69433466447049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0.43850178016607416</v>
      </c>
      <c r="BQ186" s="21">
        <f>EXP(-LN(2)/25)*BQ185+(1-EXP(-LN(2)/25))/(LN(2)/25)*Calculateur!BL186*Calculateur!BN186*VLOOKUP('Données projet'!$B$11,Paramètres!$A$1:$I$89,3,0)*0.475*44/12</f>
        <v>0.16033292424314979</v>
      </c>
      <c r="BR186" s="21">
        <f>EXP(-LN(2)/2)*BR185+(1-EXP(-LN(2)/2))/(LN(2)/2)*BL186*BO186*VLOOKUP('Données projet'!$B$11,Paramètres!$A$1:$I$89,3,0)*0.475*44/12</f>
        <v>1.0334690215342503E-22</v>
      </c>
      <c r="BS186" s="22">
        <f t="shared" si="169"/>
        <v>0.59883470440922393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2.0572770154103635E-13</v>
      </c>
      <c r="P187" s="13">
        <f t="shared" si="141"/>
        <v>2.8416956338469711E-12</v>
      </c>
      <c r="Q187" s="20">
        <f t="shared" si="162"/>
        <v>5.3075956424674458E-12</v>
      </c>
      <c r="R187" s="59">
        <f t="shared" si="109"/>
        <v>289.67078632611202</v>
      </c>
      <c r="S187" s="59">
        <f ca="1">AVERAGE(OFFSET($R$3,0,0,'Données projet'!$E$9+1,1))-AVERAGE(OFFSET($H$3,0,0,'Données projet'!$E$9+1,1))</f>
        <v>446.05900197653546</v>
      </c>
      <c r="T187" s="59">
        <f t="shared" si="142"/>
        <v>630.54710489646106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0.15602690998593488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3.1237553050280466E-23</v>
      </c>
      <c r="AC187" s="22">
        <f t="shared" si="163"/>
        <v>0.15602690998593488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394.69391436029986</v>
      </c>
      <c r="AO187" s="59">
        <f t="shared" si="144"/>
        <v>311.37245656657353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0.35424264840063535</v>
      </c>
      <c r="AV187" s="21">
        <f>EXP(-LN(2)/25)*AV186+(1-EXP(-LN(2)/25))/(LN(2)/25)*Calculateur!AQ187*Calculateur!AS187*VLOOKUP('Données projet'!$B$10,Paramètres!$A$1:$I$89,3,0)*0.475*44/12</f>
        <v>9.2904003359971107E-2</v>
      </c>
      <c r="AW187" s="21">
        <f>EXP(-LN(2)/2)*AW186+(1-EXP(-LN(2)/2))/(LN(2)/2)*AQ187*AT187*VLOOKUP('Données projet'!$B$10,Paramètres!$A$1:$I$89,3,0)*0.475*44/12</f>
        <v>5.2428914179046041E-23</v>
      </c>
      <c r="AX187" s="21">
        <f t="shared" si="166"/>
        <v>0.44714665176060647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349.17860987804869</v>
      </c>
      <c r="BJ187" s="59">
        <f t="shared" si="146"/>
        <v>273.69433466447049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0.42990302771669392</v>
      </c>
      <c r="BQ187" s="21">
        <f>EXP(-LN(2)/25)*BQ186+(1-EXP(-LN(2)/25))/(LN(2)/25)*Calculateur!BL187*Calculateur!BN187*VLOOKUP('Données projet'!$B$11,Paramètres!$A$1:$I$89,3,0)*0.475*44/12</f>
        <v>0.15594861199817883</v>
      </c>
      <c r="BR187" s="21">
        <f>EXP(-LN(2)/2)*BR186+(1-EXP(-LN(2)/2))/(LN(2)/2)*BL187*BO187*VLOOKUP('Données projet'!$B$11,Paramètres!$A$1:$I$89,3,0)*0.475*44/12</f>
        <v>7.307729532730945E-23</v>
      </c>
      <c r="BS187" s="22">
        <f t="shared" si="169"/>
        <v>0.58585163971487275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2.0572770154103635E-13</v>
      </c>
      <c r="P188" s="13">
        <f t="shared" si="141"/>
        <v>2.8416956338469711E-12</v>
      </c>
      <c r="Q188" s="20">
        <f t="shared" si="162"/>
        <v>5.3075956424674458E-12</v>
      </c>
      <c r="R188" s="59">
        <f t="shared" si="109"/>
        <v>289.73432332845903</v>
      </c>
      <c r="S188" s="59">
        <f ca="1">AVERAGE(OFFSET($R$3,0,0,'Données projet'!$E$9+1,1))-AVERAGE(OFFSET($H$3,0,0,'Données projet'!$E$9+1,1))</f>
        <v>446.05900197653546</v>
      </c>
      <c r="T188" s="59">
        <f t="shared" si="142"/>
        <v>630.54710489646106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0.15296731744812883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2.208828558952784E-23</v>
      </c>
      <c r="AC188" s="22">
        <f t="shared" si="163"/>
        <v>0.15296731744812883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394.69391436029986</v>
      </c>
      <c r="AO188" s="59">
        <f t="shared" si="144"/>
        <v>311.37245656657353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0.34729616613217962</v>
      </c>
      <c r="AV188" s="21">
        <f>EXP(-LN(2)/25)*AV187+(1-EXP(-LN(2)/25))/(LN(2)/25)*Calculateur!AQ188*Calculateur!AS188*VLOOKUP('Données projet'!$B$10,Paramètres!$A$1:$I$89,3,0)*0.475*44/12</f>
        <v>9.0363538502483493E-2</v>
      </c>
      <c r="AW188" s="21">
        <f>EXP(-LN(2)/2)*AW187+(1-EXP(-LN(2)/2))/(LN(2)/2)*AQ188*AT188*VLOOKUP('Données projet'!$B$10,Paramètres!$A$1:$I$89,3,0)*0.475*44/12</f>
        <v>3.7072840746250991E-23</v>
      </c>
      <c r="AX188" s="21">
        <f t="shared" si="166"/>
        <v>0.43765970463466308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349.17860987804869</v>
      </c>
      <c r="BJ188" s="59">
        <f t="shared" si="146"/>
        <v>273.69433466447049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0.4214728915581249</v>
      </c>
      <c r="BQ188" s="21">
        <f>EXP(-LN(2)/25)*BQ187+(1-EXP(-LN(2)/25))/(LN(2)/25)*Calculateur!BL188*Calculateur!BN188*VLOOKUP('Données projet'!$B$11,Paramètres!$A$1:$I$89,3,0)*0.475*44/12</f>
        <v>0.15168418900210756</v>
      </c>
      <c r="BR188" s="21">
        <f>EXP(-LN(2)/2)*BR187+(1-EXP(-LN(2)/2))/(LN(2)/2)*BL188*BO188*VLOOKUP('Données projet'!$B$11,Paramètres!$A$1:$I$89,3,0)*0.475*44/12</f>
        <v>5.1673451076712519E-23</v>
      </c>
      <c r="BS188" s="22">
        <f t="shared" si="169"/>
        <v>0.5731570805602324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2.0572770154103635E-13</v>
      </c>
      <c r="P189" s="13">
        <f t="shared" si="141"/>
        <v>2.8416956338469711E-12</v>
      </c>
      <c r="Q189" s="20">
        <f t="shared" si="162"/>
        <v>5.3075956424674458E-12</v>
      </c>
      <c r="R189" s="59">
        <f t="shared" si="109"/>
        <v>289.79675810586269</v>
      </c>
      <c r="S189" s="59">
        <f ca="1">AVERAGE(OFFSET($R$3,0,0,'Données projet'!$E$9+1,1))-AVERAGE(OFFSET($H$3,0,0,'Données projet'!$E$9+1,1))</f>
        <v>446.05900197653546</v>
      </c>
      <c r="T189" s="59">
        <f t="shared" si="142"/>
        <v>630.54710489646106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0.14996772165382197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1.5618776525140233E-23</v>
      </c>
      <c r="AC189" s="22">
        <f t="shared" si="163"/>
        <v>0.14996772165382197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394.69391436029986</v>
      </c>
      <c r="AO189" s="59">
        <f t="shared" si="144"/>
        <v>311.37245656657353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0.34048590014407248</v>
      </c>
      <c r="AV189" s="21">
        <f>EXP(-LN(2)/25)*AV188+(1-EXP(-LN(2)/25))/(LN(2)/25)*Calculateur!AQ189*Calculateur!AS189*VLOOKUP('Données projet'!$B$10,Paramètres!$A$1:$I$89,3,0)*0.475*44/12</f>
        <v>8.7892542790121125E-2</v>
      </c>
      <c r="AW189" s="21">
        <f>EXP(-LN(2)/2)*AW188+(1-EXP(-LN(2)/2))/(LN(2)/2)*AQ189*AT189*VLOOKUP('Données projet'!$B$10,Paramètres!$A$1:$I$89,3,0)*0.475*44/12</f>
        <v>2.6214457089523026E-23</v>
      </c>
      <c r="AX189" s="21">
        <f t="shared" si="166"/>
        <v>0.42837844293419358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349.17860987804869</v>
      </c>
      <c r="BJ189" s="59">
        <f t="shared" si="146"/>
        <v>273.69433466447049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0.41320806522775005</v>
      </c>
      <c r="BQ189" s="21">
        <f>EXP(-LN(2)/25)*BQ188+(1-EXP(-LN(2)/25))/(LN(2)/25)*Calculateur!BL189*Calculateur!BN189*VLOOKUP('Données projet'!$B$11,Paramètres!$A$1:$I$89,3,0)*0.475*44/12</f>
        <v>0.1475363768771201</v>
      </c>
      <c r="BR189" s="21">
        <f>EXP(-LN(2)/2)*BR188+(1-EXP(-LN(2)/2))/(LN(2)/2)*BL189*BO189*VLOOKUP('Données projet'!$B$11,Paramètres!$A$1:$I$89,3,0)*0.475*44/12</f>
        <v>3.6538647663654731E-23</v>
      </c>
      <c r="BS189" s="22">
        <f t="shared" si="169"/>
        <v>0.56074444210487018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2.0572770154103635E-13</v>
      </c>
      <c r="P190" s="13">
        <f t="shared" si="141"/>
        <v>2.8416956338469711E-12</v>
      </c>
      <c r="Q190" s="20">
        <f t="shared" si="162"/>
        <v>5.3075956424674458E-12</v>
      </c>
      <c r="R190" s="59">
        <f t="shared" si="109"/>
        <v>289.8581097794617</v>
      </c>
      <c r="S190" s="59">
        <f ca="1">AVERAGE(OFFSET($R$3,0,0,'Données projet'!$E$9+1,1))-AVERAGE(OFFSET($H$3,0,0,'Données projet'!$E$9+1,1))</f>
        <v>446.05900197653546</v>
      </c>
      <c r="T190" s="59">
        <f t="shared" si="142"/>
        <v>630.54710489646106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0.1470269461034687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1.104414279476392E-23</v>
      </c>
      <c r="AC190" s="22">
        <f t="shared" si="163"/>
        <v>0.1470269461034687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394.69391436029986</v>
      </c>
      <c r="AO190" s="59">
        <f t="shared" si="144"/>
        <v>311.37245656657353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0.33380917931814003</v>
      </c>
      <c r="AV190" s="21">
        <f>EXP(-LN(2)/25)*AV189+(1-EXP(-LN(2)/25))/(LN(2)/25)*Calculateur!AQ190*Calculateur!AS190*VLOOKUP('Données projet'!$B$10,Paramètres!$A$1:$I$89,3,0)*0.475*44/12</f>
        <v>8.5489116585457325E-2</v>
      </c>
      <c r="AW190" s="21">
        <f>EXP(-LN(2)/2)*AW189+(1-EXP(-LN(2)/2))/(LN(2)/2)*AQ190*AT190*VLOOKUP('Données projet'!$B$10,Paramètres!$A$1:$I$89,3,0)*0.475*44/12</f>
        <v>1.8536420373125499E-23</v>
      </c>
      <c r="AX190" s="21">
        <f t="shared" si="166"/>
        <v>0.41929829590359735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349.17860987804869</v>
      </c>
      <c r="BJ190" s="59">
        <f t="shared" si="146"/>
        <v>273.69433466447049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0.40510530710066756</v>
      </c>
      <c r="BQ190" s="21">
        <f>EXP(-LN(2)/25)*BQ189+(1-EXP(-LN(2)/25))/(LN(2)/25)*Calculateur!BL190*Calculateur!BN190*VLOOKUP('Données projet'!$B$11,Paramètres!$A$1:$I$89,3,0)*0.475*44/12</f>
        <v>0.14350198689281438</v>
      </c>
      <c r="BR190" s="21">
        <f>EXP(-LN(2)/2)*BR189+(1-EXP(-LN(2)/2))/(LN(2)/2)*BL190*BO190*VLOOKUP('Données projet'!$B$11,Paramètres!$A$1:$I$89,3,0)*0.475*44/12</f>
        <v>2.5836725538356262E-23</v>
      </c>
      <c r="BS190" s="22">
        <f t="shared" si="169"/>
        <v>0.54860729399348196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2.0572770154103635E-13</v>
      </c>
      <c r="P191" s="13">
        <f t="shared" si="141"/>
        <v>2.8416956338469711E-12</v>
      </c>
      <c r="Q191" s="20">
        <f t="shared" si="162"/>
        <v>5.3075956424674458E-12</v>
      </c>
      <c r="R191" s="59">
        <f t="shared" si="109"/>
        <v>289.91839713868552</v>
      </c>
      <c r="S191" s="59">
        <f ca="1">AVERAGE(OFFSET($R$3,0,0,'Données projet'!$E$9+1,1))-AVERAGE(OFFSET($H$3,0,0,'Données projet'!$E$9+1,1))</f>
        <v>446.05900197653546</v>
      </c>
      <c r="T191" s="59">
        <f t="shared" si="142"/>
        <v>630.54710489646106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0.14414383736796188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7.8093882625701165E-24</v>
      </c>
      <c r="AC191" s="22">
        <f t="shared" si="163"/>
        <v>0.14414383736796188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394.69391436029986</v>
      </c>
      <c r="AO191" s="59">
        <f t="shared" si="144"/>
        <v>311.37245656657353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0.32726338491520651</v>
      </c>
      <c r="AV191" s="21">
        <f>EXP(-LN(2)/25)*AV190+(1-EXP(-LN(2)/25))/(LN(2)/25)*Calculateur!AQ191*Calculateur!AS191*VLOOKUP('Données projet'!$B$10,Paramètres!$A$1:$I$89,3,0)*0.475*44/12</f>
        <v>8.3151412196750735E-2</v>
      </c>
      <c r="AW191" s="21">
        <f>EXP(-LN(2)/2)*AW190+(1-EXP(-LN(2)/2))/(LN(2)/2)*AQ191*AT191*VLOOKUP('Données projet'!$B$10,Paramètres!$A$1:$I$89,3,0)*0.475*44/12</f>
        <v>1.3107228544761515E-23</v>
      </c>
      <c r="AX191" s="21">
        <f t="shared" si="166"/>
        <v>0.41041479711195727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349.17860987804869</v>
      </c>
      <c r="BJ191" s="59">
        <f t="shared" si="146"/>
        <v>273.69433466447049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0.39716143911826268</v>
      </c>
      <c r="BQ191" s="21">
        <f>EXP(-LN(2)/25)*BQ190+(1-EXP(-LN(2)/25))/(LN(2)/25)*Calculateur!BL191*Calculateur!BN191*VLOOKUP('Données projet'!$B$11,Paramètres!$A$1:$I$89,3,0)*0.475*44/12</f>
        <v>0.13957791751478885</v>
      </c>
      <c r="BR191" s="21">
        <f>EXP(-LN(2)/2)*BR190+(1-EXP(-LN(2)/2))/(LN(2)/2)*BL191*BO191*VLOOKUP('Données projet'!$B$11,Paramètres!$A$1:$I$89,3,0)*0.475*44/12</f>
        <v>1.8269323831827368E-23</v>
      </c>
      <c r="BS191" s="22">
        <f t="shared" si="169"/>
        <v>0.5367393566330515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2.0572770154103635E-13</v>
      </c>
      <c r="P192" s="13">
        <f t="shared" si="141"/>
        <v>2.8416956338469711E-12</v>
      </c>
      <c r="Q192" s="20">
        <f t="shared" si="162"/>
        <v>5.3075956424674458E-12</v>
      </c>
      <c r="R192" s="59">
        <f t="shared" si="109"/>
        <v>289.97763864700914</v>
      </c>
      <c r="S192" s="59">
        <f ca="1">AVERAGE(OFFSET($R$3,0,0,'Données projet'!$E$9+1,1))-AVERAGE(OFFSET($H$3,0,0,'Données projet'!$E$9+1,1))</f>
        <v>446.05900197653546</v>
      </c>
      <c r="T192" s="59">
        <f t="shared" si="142"/>
        <v>630.54710489646106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0.14131726463623565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5.52207139738196E-24</v>
      </c>
      <c r="AC192" s="22">
        <f t="shared" si="163"/>
        <v>0.14131726463623565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394.69391436029986</v>
      </c>
      <c r="AO192" s="59">
        <f t="shared" si="144"/>
        <v>311.37245656657353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0.32084594954797419</v>
      </c>
      <c r="AV192" s="21">
        <f>EXP(-LN(2)/25)*AV191+(1-EXP(-LN(2)/25))/(LN(2)/25)*Calculateur!AQ192*Calculateur!AS192*VLOOKUP('Données projet'!$B$10,Paramètres!$A$1:$I$89,3,0)*0.475*44/12</f>
        <v>8.0877632457487858E-2</v>
      </c>
      <c r="AW192" s="21">
        <f>EXP(-LN(2)/2)*AW191+(1-EXP(-LN(2)/2))/(LN(2)/2)*AQ192*AT192*VLOOKUP('Données projet'!$B$10,Paramètres!$A$1:$I$89,3,0)*0.475*44/12</f>
        <v>9.2682101865627508E-24</v>
      </c>
      <c r="AX192" s="21">
        <f t="shared" si="166"/>
        <v>0.40172358200546204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349.17860987804869</v>
      </c>
      <c r="BJ192" s="59">
        <f t="shared" si="146"/>
        <v>273.69433466447049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0.38937334554171177</v>
      </c>
      <c r="BQ192" s="21">
        <f>EXP(-LN(2)/25)*BQ191+(1-EXP(-LN(2)/25))/(LN(2)/25)*Calculateur!BL192*Calculateur!BN192*VLOOKUP('Données projet'!$B$11,Paramètres!$A$1:$I$89,3,0)*0.475*44/12</f>
        <v>0.13576115202026326</v>
      </c>
      <c r="BR192" s="21">
        <f>EXP(-LN(2)/2)*BR191+(1-EXP(-LN(2)/2))/(LN(2)/2)*BL192*BO192*VLOOKUP('Données projet'!$B$11,Paramètres!$A$1:$I$89,3,0)*0.475*44/12</f>
        <v>1.2918362769178134E-23</v>
      </c>
      <c r="BS192" s="22">
        <f t="shared" si="169"/>
        <v>0.52513449756197506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2.0572770154103635E-13</v>
      </c>
      <c r="P193" s="13">
        <f t="shared" si="141"/>
        <v>2.8416956338469711E-12</v>
      </c>
      <c r="Q193" s="20">
        <f t="shared" si="162"/>
        <v>5.3075956424674458E-12</v>
      </c>
      <c r="R193" s="59">
        <f t="shared" si="109"/>
        <v>290.03585244760757</v>
      </c>
      <c r="S193" s="59">
        <f ca="1">AVERAGE(OFFSET($R$3,0,0,'Données projet'!$E$9+1,1))-AVERAGE(OFFSET($H$3,0,0,'Données projet'!$E$9+1,1))</f>
        <v>446.05900197653546</v>
      </c>
      <c r="T193" s="59">
        <f t="shared" si="142"/>
        <v>630.54710489646106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0.13854611927173943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3.9046941312850582E-24</v>
      </c>
      <c r="AC193" s="22">
        <f t="shared" si="163"/>
        <v>0.13854611927173943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394.69391436029986</v>
      </c>
      <c r="AO193" s="59">
        <f t="shared" si="144"/>
        <v>311.37245656657353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0.3145543561740442</v>
      </c>
      <c r="AV193" s="21">
        <f>EXP(-LN(2)/25)*AV192+(1-EXP(-LN(2)/25))/(LN(2)/25)*Calculateur!AQ193*Calculateur!AS193*VLOOKUP('Données projet'!$B$10,Paramètres!$A$1:$I$89,3,0)*0.475*44/12</f>
        <v>7.8666029344768004E-2</v>
      </c>
      <c r="AW193" s="21">
        <f>EXP(-LN(2)/2)*AW192+(1-EXP(-LN(2)/2))/(LN(2)/2)*AQ193*AT193*VLOOKUP('Données projet'!$B$10,Paramètres!$A$1:$I$89,3,0)*0.475*44/12</f>
        <v>6.553614272380758E-24</v>
      </c>
      <c r="AX193" s="21">
        <f t="shared" si="166"/>
        <v>0.39322038551881222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349.17860987804869</v>
      </c>
      <c r="BJ193" s="59">
        <f t="shared" si="146"/>
        <v>273.69433466447049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0.38173797172992896</v>
      </c>
      <c r="BQ193" s="21">
        <f>EXP(-LN(2)/25)*BQ192+(1-EXP(-LN(2)/25))/(LN(2)/25)*Calculateur!BL193*Calculateur!BN193*VLOOKUP('Données projet'!$B$11,Paramètres!$A$1:$I$89,3,0)*0.475*44/12</f>
        <v>0.13204875617890047</v>
      </c>
      <c r="BR193" s="21">
        <f>EXP(-LN(2)/2)*BR192+(1-EXP(-LN(2)/2))/(LN(2)/2)*BL193*BO193*VLOOKUP('Données projet'!$B$11,Paramètres!$A$1:$I$89,3,0)*0.475*44/12</f>
        <v>9.1346619159136856E-24</v>
      </c>
      <c r="BS193" s="22">
        <f t="shared" si="169"/>
        <v>0.5137867279088294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2.0572770154103635E-13</v>
      </c>
      <c r="P194" s="13">
        <f t="shared" si="141"/>
        <v>2.8416956338469711E-12</v>
      </c>
      <c r="Q194" s="20">
        <f t="shared" si="162"/>
        <v>5.3075956424674458E-12</v>
      </c>
      <c r="R194" s="59">
        <f t="shared" si="109"/>
        <v>290.09305636891213</v>
      </c>
      <c r="S194" s="59">
        <f ca="1">AVERAGE(OFFSET($R$3,0,0,'Données projet'!$E$9+1,1))-AVERAGE(OFFSET($H$3,0,0,'Données projet'!$E$9+1,1))</f>
        <v>446.05900197653546</v>
      </c>
      <c r="T194" s="59">
        <f t="shared" si="142"/>
        <v>630.54710489646106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0.13582931437760923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2.76103569869098E-24</v>
      </c>
      <c r="AC194" s="22">
        <f t="shared" si="163"/>
        <v>0.13582931437760923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394.69391436029986</v>
      </c>
      <c r="AO194" s="59">
        <f t="shared" si="144"/>
        <v>311.37245656657353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0.30838613710868396</v>
      </c>
      <c r="AV194" s="21">
        <f>EXP(-LN(2)/25)*AV193+(1-EXP(-LN(2)/25))/(LN(2)/25)*Calculateur!AQ194*Calculateur!AS194*VLOOKUP('Données projet'!$B$10,Paramètres!$A$1:$I$89,3,0)*0.475*44/12</f>
        <v>7.6514902635468632E-2</v>
      </c>
      <c r="AW194" s="21">
        <f>EXP(-LN(2)/2)*AW193+(1-EXP(-LN(2)/2))/(LN(2)/2)*AQ194*AT194*VLOOKUP('Données projet'!$B$10,Paramètres!$A$1:$I$89,3,0)*0.475*44/12</f>
        <v>4.6341050932813761E-24</v>
      </c>
      <c r="AX194" s="21">
        <f t="shared" si="166"/>
        <v>0.38490103974415257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349.17860987804869</v>
      </c>
      <c r="BJ194" s="59">
        <f t="shared" si="146"/>
        <v>273.69433466447049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0.37425232294147703</v>
      </c>
      <c r="BQ194" s="21">
        <f>EXP(-LN(2)/25)*BQ193+(1-EXP(-LN(2)/25))/(LN(2)/25)*Calculateur!BL194*Calculateur!BN194*VLOOKUP('Données projet'!$B$11,Paramètres!$A$1:$I$89,3,0)*0.475*44/12</f>
        <v>0.12843787599704615</v>
      </c>
      <c r="BR194" s="21">
        <f>EXP(-LN(2)/2)*BR193+(1-EXP(-LN(2)/2))/(LN(2)/2)*BL194*BO194*VLOOKUP('Données projet'!$B$11,Paramètres!$A$1:$I$89,3,0)*0.475*44/12</f>
        <v>6.4591813845890678E-24</v>
      </c>
      <c r="BS194" s="22">
        <f t="shared" si="169"/>
        <v>0.50269019893852318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2.0572770154103635E-13</v>
      </c>
      <c r="P195" s="13">
        <f t="shared" si="141"/>
        <v>2.8416956338469711E-12</v>
      </c>
      <c r="Q195" s="20">
        <f t="shared" si="162"/>
        <v>5.3075956424674458E-12</v>
      </c>
      <c r="R195" s="59">
        <f t="shared" ref="R195:R203" si="191">Q195+(I195+J195)*44/12</f>
        <v>290.14926793007095</v>
      </c>
      <c r="S195" s="59">
        <f ca="1">AVERAGE(OFFSET($R$3,0,0,'Données projet'!$E$9+1,1))-AVERAGE(OFFSET($H$3,0,0,'Données projet'!$E$9+1,1))</f>
        <v>446.05900197653546</v>
      </c>
      <c r="T195" s="59">
        <f t="shared" si="142"/>
        <v>630.54710489646106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0.13316578437036555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1.9523470656425291E-24</v>
      </c>
      <c r="AC195" s="22">
        <f t="shared" si="163"/>
        <v>0.13316578437036555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394.69391436029986</v>
      </c>
      <c r="AO195" s="59">
        <f t="shared" si="144"/>
        <v>311.37245656657353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0.30233887305695328</v>
      </c>
      <c r="AV195" s="21">
        <f>EXP(-LN(2)/25)*AV194+(1-EXP(-LN(2)/25))/(LN(2)/25)*Calculateur!AQ195*Calculateur!AS195*VLOOKUP('Données projet'!$B$10,Paramètres!$A$1:$I$89,3,0)*0.475*44/12</f>
        <v>7.4422598599157896E-2</v>
      </c>
      <c r="AW195" s="21">
        <f>EXP(-LN(2)/2)*AW194+(1-EXP(-LN(2)/2))/(LN(2)/2)*AQ195*AT195*VLOOKUP('Données projet'!$B$10,Paramètres!$A$1:$I$89,3,0)*0.475*44/12</f>
        <v>3.2768071361903797E-24</v>
      </c>
      <c r="AX195" s="21">
        <f t="shared" si="166"/>
        <v>0.37676147165611118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349.17860987804869</v>
      </c>
      <c r="BJ195" s="59">
        <f t="shared" si="146"/>
        <v>273.69433466447049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0.36691346315997175</v>
      </c>
      <c r="BQ195" s="21">
        <f>EXP(-LN(2)/25)*BQ194+(1-EXP(-LN(2)/25))/(LN(2)/25)*Calculateur!BL195*Calculateur!BN195*VLOOKUP('Données projet'!$B$11,Paramètres!$A$1:$I$89,3,0)*0.475*44/12</f>
        <v>0.12492573552365258</v>
      </c>
      <c r="BR195" s="21">
        <f>EXP(-LN(2)/2)*BR194+(1-EXP(-LN(2)/2))/(LN(2)/2)*BL195*BO195*VLOOKUP('Données projet'!$B$11,Paramètres!$A$1:$I$89,3,0)*0.475*44/12</f>
        <v>4.5673309579568435E-24</v>
      </c>
      <c r="BS195" s="22">
        <f t="shared" si="169"/>
        <v>0.49183919868362436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2.0572770154103635E-13</v>
      </c>
      <c r="P196" s="13">
        <f t="shared" si="141"/>
        <v>2.8416956338469711E-12</v>
      </c>
      <c r="Q196" s="20">
        <f t="shared" si="162"/>
        <v>5.3075956424674458E-12</v>
      </c>
      <c r="R196" s="59">
        <f t="shared" si="191"/>
        <v>290.2045043463138</v>
      </c>
      <c r="S196" s="59">
        <f ca="1">AVERAGE(OFFSET($R$3,0,0,'Données projet'!$E$9+1,1))-AVERAGE(OFFSET($H$3,0,0,'Données projet'!$E$9+1,1))</f>
        <v>446.05900197653546</v>
      </c>
      <c r="T196" s="59">
        <f t="shared" si="142"/>
        <v>630.54710489646106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0.13055448456197102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1.38051784934549E-24</v>
      </c>
      <c r="AC196" s="22">
        <f t="shared" si="163"/>
        <v>0.13055448456197102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394.69391436029986</v>
      </c>
      <c r="AO196" s="59">
        <f t="shared" si="144"/>
        <v>311.37245656657353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0.29641019216481018</v>
      </c>
      <c r="AV196" s="21">
        <f>EXP(-LN(2)/25)*AV195+(1-EXP(-LN(2)/25))/(LN(2)/25)*Calculateur!AQ196*Calculateur!AS196*VLOOKUP('Données projet'!$B$10,Paramètres!$A$1:$I$89,3,0)*0.475*44/12</f>
        <v>7.2387508726749553E-2</v>
      </c>
      <c r="AW196" s="21">
        <f>EXP(-LN(2)/2)*AW195+(1-EXP(-LN(2)/2))/(LN(2)/2)*AQ196*AT196*VLOOKUP('Données projet'!$B$10,Paramètres!$A$1:$I$89,3,0)*0.475*44/12</f>
        <v>2.3170525466406884E-24</v>
      </c>
      <c r="AX196" s="21">
        <f t="shared" si="166"/>
        <v>0.36879770089155972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349.17860987804869</v>
      </c>
      <c r="BJ196" s="59">
        <f t="shared" si="146"/>
        <v>273.69433466447049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0.3597185139425193</v>
      </c>
      <c r="BQ196" s="21">
        <f>EXP(-LN(2)/25)*BQ195+(1-EXP(-LN(2)/25))/(LN(2)/25)*Calculateur!BL196*Calculateur!BN196*VLOOKUP('Données projet'!$B$11,Paramètres!$A$1:$I$89,3,0)*0.475*44/12</f>
        <v>0.12150963471619938</v>
      </c>
      <c r="BR196" s="21">
        <f>EXP(-LN(2)/2)*BR195+(1-EXP(-LN(2)/2))/(LN(2)/2)*BL196*BO196*VLOOKUP('Données projet'!$B$11,Paramètres!$A$1:$I$89,3,0)*0.475*44/12</f>
        <v>3.2295906922945346E-24</v>
      </c>
      <c r="BS196" s="22">
        <f t="shared" si="169"/>
        <v>0.48122814865871866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2.0572770154103635E-13</v>
      </c>
      <c r="P197" s="13">
        <f t="shared" ref="P197:P203" si="203">EXP(-1.0587+0.8836*LN(O197)+0.284)</f>
        <v>2.8416956338469711E-12</v>
      </c>
      <c r="Q197" s="20">
        <f t="shared" si="162"/>
        <v>5.3075956424674458E-12</v>
      </c>
      <c r="R197" s="59">
        <f t="shared" si="191"/>
        <v>290.25878253422502</v>
      </c>
      <c r="S197" s="59">
        <f ca="1">AVERAGE(OFFSET($R$3,0,0,'Données projet'!$E$9+1,1))-AVERAGE(OFFSET($H$3,0,0,'Données projet'!$E$9+1,1))</f>
        <v>446.05900197653546</v>
      </c>
      <c r="T197" s="59">
        <f t="shared" ref="T197:T203" si="204">$T$3</f>
        <v>630.54710489646106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0.12799439075008351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9.7617353282126456E-25</v>
      </c>
      <c r="AC197" s="22">
        <f t="shared" si="163"/>
        <v>0.12799439075008351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394.69391436029986</v>
      </c>
      <c r="AO197" s="59">
        <f t="shared" ref="AO197:AO203" si="205">$AO$3</f>
        <v>311.37245656657353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0.29059776908882373</v>
      </c>
      <c r="AV197" s="21">
        <f>EXP(-LN(2)/25)*AV196+(1-EXP(-LN(2)/25))/(LN(2)/25)*Calculateur!AQ197*Calculateur!AS197*VLOOKUP('Données projet'!$B$10,Paramètres!$A$1:$I$89,3,0)*0.475*44/12</f>
        <v>7.0408068493922948E-2</v>
      </c>
      <c r="AW197" s="21">
        <f>EXP(-LN(2)/2)*AW196+(1-EXP(-LN(2)/2))/(LN(2)/2)*AQ197*AT197*VLOOKUP('Données projet'!$B$10,Paramètres!$A$1:$I$89,3,0)*0.475*44/12</f>
        <v>1.6384035680951901E-24</v>
      </c>
      <c r="AX197" s="21">
        <f t="shared" si="166"/>
        <v>0.36100583758274668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349.17860987804869</v>
      </c>
      <c r="BJ197" s="59">
        <f t="shared" ref="BJ197:BJ203" si="206">$BJ$3</f>
        <v>273.69433466447049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0.35266465329073537</v>
      </c>
      <c r="BQ197" s="21">
        <f>EXP(-LN(2)/25)*BQ196+(1-EXP(-LN(2)/25))/(LN(2)/25)*Calculateur!BL197*Calculateur!BN197*VLOOKUP('Données projet'!$B$11,Paramètres!$A$1:$I$89,3,0)*0.475*44/12</f>
        <v>0.11818694736497093</v>
      </c>
      <c r="BR197" s="21">
        <f>EXP(-LN(2)/2)*BR196+(1-EXP(-LN(2)/2))/(LN(2)/2)*BL197*BO197*VLOOKUP('Données projet'!$B$11,Paramètres!$A$1:$I$89,3,0)*0.475*44/12</f>
        <v>2.2836654789784221E-24</v>
      </c>
      <c r="BS197" s="22">
        <f t="shared" si="169"/>
        <v>0.4708516006557063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2.0572770154103635E-13</v>
      </c>
      <c r="P198" s="13">
        <f t="shared" si="203"/>
        <v>2.8416956338469711E-12</v>
      </c>
      <c r="Q198" s="20">
        <f t="shared" si="162"/>
        <v>5.3075956424674458E-12</v>
      </c>
      <c r="R198" s="59">
        <f t="shared" si="191"/>
        <v>290.31211911692378</v>
      </c>
      <c r="S198" s="59">
        <f ca="1">AVERAGE(OFFSET($R$3,0,0,'Données projet'!$E$9+1,1))-AVERAGE(OFFSET($H$3,0,0,'Données projet'!$E$9+1,1))</f>
        <v>446.05900197653546</v>
      </c>
      <c r="T198" s="59">
        <f t="shared" si="204"/>
        <v>630.54710489646106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0.12548449881634408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6.90258924672745E-25</v>
      </c>
      <c r="AC198" s="22">
        <f t="shared" si="163"/>
        <v>0.12548449881634408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394.69391436029986</v>
      </c>
      <c r="AO198" s="59">
        <f t="shared" si="205"/>
        <v>311.37245656657353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0.28489932408412932</v>
      </c>
      <c r="AV198" s="21">
        <f>EXP(-LN(2)/25)*AV197+(1-EXP(-LN(2)/25))/(LN(2)/25)*Calculateur!AQ198*Calculateur!AS198*VLOOKUP('Données projet'!$B$10,Paramètres!$A$1:$I$89,3,0)*0.475*44/12</f>
        <v>6.8482756158357222E-2</v>
      </c>
      <c r="AW198" s="21">
        <f>EXP(-LN(2)/2)*AW197+(1-EXP(-LN(2)/2))/(LN(2)/2)*AQ198*AT198*VLOOKUP('Données projet'!$B$10,Paramètres!$A$1:$I$89,3,0)*0.475*44/12</f>
        <v>1.1585262733203444E-24</v>
      </c>
      <c r="AX198" s="21">
        <f t="shared" si="166"/>
        <v>0.35338208024248652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349.17860987804869</v>
      </c>
      <c r="BJ198" s="59">
        <f t="shared" si="206"/>
        <v>273.69433466447049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0.34574911454390278</v>
      </c>
      <c r="BQ198" s="21">
        <f>EXP(-LN(2)/25)*BQ197+(1-EXP(-LN(2)/25))/(LN(2)/25)*Calculateur!BL198*Calculateur!BN198*VLOOKUP('Données projet'!$B$11,Paramètres!$A$1:$I$89,3,0)*0.475*44/12</f>
        <v>0.11495511907409435</v>
      </c>
      <c r="BR198" s="21">
        <f>EXP(-LN(2)/2)*BR197+(1-EXP(-LN(2)/2))/(LN(2)/2)*BL198*BO198*VLOOKUP('Données projet'!$B$11,Paramètres!$A$1:$I$89,3,0)*0.475*44/12</f>
        <v>1.6147953461472675E-24</v>
      </c>
      <c r="BS198" s="22">
        <f t="shared" si="169"/>
        <v>0.46070423361799712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2.0572770154103635E-13</v>
      </c>
      <c r="P199" s="13">
        <f t="shared" si="203"/>
        <v>2.8416956338469711E-12</v>
      </c>
      <c r="Q199" s="20">
        <f t="shared" si="162"/>
        <v>5.3075956424674458E-12</v>
      </c>
      <c r="R199" s="59">
        <f t="shared" si="191"/>
        <v>290.36453042915548</v>
      </c>
      <c r="S199" s="59">
        <f ca="1">AVERAGE(OFFSET($R$3,0,0,'Données projet'!$E$9+1,1))-AVERAGE(OFFSET($H$3,0,0,'Données projet'!$E$9+1,1))</f>
        <v>446.05900197653546</v>
      </c>
      <c r="T199" s="59">
        <f t="shared" si="204"/>
        <v>630.54710489646106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0.12302382433254234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4.8808676641063228E-25</v>
      </c>
      <c r="AC199" s="22">
        <f t="shared" si="163"/>
        <v>0.12302382433254234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394.69391436029986</v>
      </c>
      <c r="AO199" s="59">
        <f t="shared" si="205"/>
        <v>311.37245656657353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0.27931262211026875</v>
      </c>
      <c r="AV199" s="21">
        <f>EXP(-LN(2)/25)*AV198+(1-EXP(-LN(2)/25))/(LN(2)/25)*Calculateur!AQ199*Calculateur!AS199*VLOOKUP('Données projet'!$B$10,Paramètres!$A$1:$I$89,3,0)*0.475*44/12</f>
        <v>6.6610091589855314E-2</v>
      </c>
      <c r="AW199" s="21">
        <f>EXP(-LN(2)/2)*AW198+(1-EXP(-LN(2)/2))/(LN(2)/2)*AQ199*AT199*VLOOKUP('Données projet'!$B$10,Paramètres!$A$1:$I$89,3,0)*0.475*44/12</f>
        <v>8.1920178404759521E-25</v>
      </c>
      <c r="AX199" s="21">
        <f t="shared" si="166"/>
        <v>0.34592271370012406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349.17860987804869</v>
      </c>
      <c r="BJ199" s="59">
        <f t="shared" si="206"/>
        <v>273.69433466447049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0.33896918529383346</v>
      </c>
      <c r="BQ199" s="21">
        <f>EXP(-LN(2)/25)*BQ198+(1-EXP(-LN(2)/25))/(LN(2)/25)*Calculateur!BL199*Calculateur!BN199*VLOOKUP('Données projet'!$B$11,Paramètres!$A$1:$I$89,3,0)*0.475*44/12</f>
        <v>0.11181166529778626</v>
      </c>
      <c r="BR199" s="21">
        <f>EXP(-LN(2)/2)*BR198+(1-EXP(-LN(2)/2))/(LN(2)/2)*BL199*BO199*VLOOKUP('Données projet'!$B$11,Paramètres!$A$1:$I$89,3,0)*0.475*44/12</f>
        <v>1.1418327394892113E-24</v>
      </c>
      <c r="BS199" s="22">
        <f t="shared" si="169"/>
        <v>0.45078085059161971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2.0572770154103635E-13</v>
      </c>
      <c r="P200" s="13">
        <f t="shared" si="203"/>
        <v>2.8416956338469711E-12</v>
      </c>
      <c r="Q200" s="20">
        <f t="shared" si="162"/>
        <v>5.3075956424674458E-12</v>
      </c>
      <c r="R200" s="59">
        <f t="shared" si="191"/>
        <v>290.41603252229407</v>
      </c>
      <c r="S200" s="59">
        <f ca="1">AVERAGE(OFFSET($R$3,0,0,'Données projet'!$E$9+1,1))-AVERAGE(OFFSET($H$3,0,0,'Données projet'!$E$9+1,1))</f>
        <v>446.05900197653546</v>
      </c>
      <c r="T200" s="59">
        <f t="shared" si="204"/>
        <v>630.54710489646106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0.12061140217450474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3.451294623363725E-25</v>
      </c>
      <c r="AC200" s="22">
        <f t="shared" si="163"/>
        <v>0.12061140217450474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394.69391436029986</v>
      </c>
      <c r="AO200" s="59">
        <f t="shared" si="205"/>
        <v>311.37245656657353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0.27383547195456381</v>
      </c>
      <c r="AV200" s="21">
        <f>EXP(-LN(2)/25)*AV199+(1-EXP(-LN(2)/25))/(LN(2)/25)*Calculateur!AQ200*Calculateur!AS200*VLOOKUP('Données projet'!$B$10,Paramètres!$A$1:$I$89,3,0)*0.475*44/12</f>
        <v>6.4788635132458236E-2</v>
      </c>
      <c r="AW200" s="21">
        <f>EXP(-LN(2)/2)*AW199+(1-EXP(-LN(2)/2))/(LN(2)/2)*AQ200*AT200*VLOOKUP('Données projet'!$B$10,Paramètres!$A$1:$I$89,3,0)*0.475*44/12</f>
        <v>5.7926313666017229E-25</v>
      </c>
      <c r="AX200" s="21">
        <f t="shared" si="166"/>
        <v>0.33862410708702206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349.17860987804869</v>
      </c>
      <c r="BJ200" s="59">
        <f t="shared" si="206"/>
        <v>273.69433466447049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0.33232220632100945</v>
      </c>
      <c r="BQ200" s="21">
        <f>EXP(-LN(2)/25)*BQ199+(1-EXP(-LN(2)/25))/(LN(2)/25)*Calculateur!BL200*Calculateur!BN200*VLOOKUP('Données projet'!$B$11,Paramètres!$A$1:$I$89,3,0)*0.475*44/12</f>
        <v>0.10875416943029836</v>
      </c>
      <c r="BR200" s="21">
        <f>EXP(-LN(2)/2)*BR199+(1-EXP(-LN(2)/2))/(LN(2)/2)*BL200*BO200*VLOOKUP('Données projet'!$B$11,Paramètres!$A$1:$I$89,3,0)*0.475*44/12</f>
        <v>8.0739767307363384E-25</v>
      </c>
      <c r="BS200" s="22">
        <f t="shared" si="169"/>
        <v>0.44107637575130781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2.0572770154103635E-13</v>
      </c>
      <c r="P201" s="13">
        <f t="shared" si="203"/>
        <v>2.8416956338469711E-12</v>
      </c>
      <c r="Q201" s="20">
        <f t="shared" si="162"/>
        <v>5.3075956424674458E-12</v>
      </c>
      <c r="R201" s="59">
        <f t="shared" si="191"/>
        <v>290.4666411692582</v>
      </c>
      <c r="S201" s="59">
        <f ca="1">AVERAGE(OFFSET($R$3,0,0,'Données projet'!$E$9+1,1))-AVERAGE(OFFSET($H$3,0,0,'Données projet'!$E$9+1,1))</f>
        <v>446.05900197653546</v>
      </c>
      <c r="T201" s="59">
        <f t="shared" si="204"/>
        <v>630.54710489646106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0.11824628614355402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2.4404338320531614E-25</v>
      </c>
      <c r="AC201" s="22">
        <f t="shared" si="163"/>
        <v>0.11824628614355402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394.69391436029986</v>
      </c>
      <c r="AO201" s="59">
        <f t="shared" si="205"/>
        <v>311.37245656657353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0.26846572537268054</v>
      </c>
      <c r="AV201" s="21">
        <f>EXP(-LN(2)/25)*AV200+(1-EXP(-LN(2)/25))/(LN(2)/25)*Calculateur!AQ201*Calculateur!AS201*VLOOKUP('Données projet'!$B$10,Paramètres!$A$1:$I$89,3,0)*0.475*44/12</f>
        <v>6.3016986497674926E-2</v>
      </c>
      <c r="AW201" s="21">
        <f>EXP(-LN(2)/2)*AW200+(1-EXP(-LN(2)/2))/(LN(2)/2)*AQ201*AT201*VLOOKUP('Données projet'!$B$10,Paramètres!$A$1:$I$89,3,0)*0.475*44/12</f>
        <v>4.0960089202379765E-25</v>
      </c>
      <c r="AX201" s="21">
        <f t="shared" si="166"/>
        <v>0.3314827118703555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349.17860987804869</v>
      </c>
      <c r="BJ201" s="59">
        <f t="shared" si="206"/>
        <v>273.69433466447049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0.32580557055158571</v>
      </c>
      <c r="BQ201" s="21">
        <f>EXP(-LN(2)/25)*BQ200+(1-EXP(-LN(2)/25))/(LN(2)/25)*Calculateur!BL201*Calculateur!BN201*VLOOKUP('Données projet'!$B$11,Paramètres!$A$1:$I$89,3,0)*0.475*44/12</f>
        <v>0.10578028094809365</v>
      </c>
      <c r="BR201" s="21">
        <f>EXP(-LN(2)/2)*BR200+(1-EXP(-LN(2)/2))/(LN(2)/2)*BL201*BO201*VLOOKUP('Données projet'!$B$11,Paramètres!$A$1:$I$89,3,0)*0.475*44/12</f>
        <v>5.7091636974460572E-25</v>
      </c>
      <c r="BS201" s="22">
        <f t="shared" si="169"/>
        <v>0.43158585149967937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2.0572770154103635E-13</v>
      </c>
      <c r="P202" s="13">
        <f t="shared" si="203"/>
        <v>2.8416956338469711E-12</v>
      </c>
      <c r="Q202" s="20">
        <f t="shared" si="162"/>
        <v>5.3075956424674458E-12</v>
      </c>
      <c r="R202" s="59">
        <f t="shared" si="191"/>
        <v>290.51637186934141</v>
      </c>
      <c r="S202" s="59">
        <f ca="1">AVERAGE(OFFSET($R$3,0,0,'Données projet'!$E$9+1,1))-AVERAGE(OFFSET($H$3,0,0,'Données projet'!$E$9+1,1))</f>
        <v>446.05900197653546</v>
      </c>
      <c r="T202" s="59">
        <f t="shared" si="204"/>
        <v>630.54710489646106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0.11592754859539191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1.7256473116818625E-25</v>
      </c>
      <c r="AC202" s="22">
        <f t="shared" si="163"/>
        <v>0.11592754859539191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394.69391436029986</v>
      </c>
      <c r="AO202" s="59">
        <f t="shared" si="205"/>
        <v>311.37245656657353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0.263201276246046</v>
      </c>
      <c r="AV202" s="21">
        <f>EXP(-LN(2)/25)*AV201+(1-EXP(-LN(2)/25))/(LN(2)/25)*Calculateur!AQ202*Calculateur!AS202*VLOOKUP('Données projet'!$B$10,Paramètres!$A$1:$I$89,3,0)*0.475*44/12</f>
        <v>6.1293783687976715E-2</v>
      </c>
      <c r="AW202" s="21">
        <f>EXP(-LN(2)/2)*AW201+(1-EXP(-LN(2)/2))/(LN(2)/2)*AQ202*AT202*VLOOKUP('Données projet'!$B$10,Paramètres!$A$1:$I$89,3,0)*0.475*44/12</f>
        <v>2.8963156833008619E-25</v>
      </c>
      <c r="AX202" s="21">
        <f t="shared" si="166"/>
        <v>0.32449505993402272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349.17860987804869</v>
      </c>
      <c r="BJ202" s="59">
        <f t="shared" si="206"/>
        <v>273.69433466447049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0.319416722034845</v>
      </c>
      <c r="BQ202" s="21">
        <f>EXP(-LN(2)/25)*BQ201+(1-EXP(-LN(2)/25))/(LN(2)/25)*Calculateur!BL202*Calculateur!BN202*VLOOKUP('Données projet'!$B$11,Paramètres!$A$1:$I$89,3,0)*0.475*44/12</f>
        <v>0.10288771360282482</v>
      </c>
      <c r="BR202" s="21">
        <f>EXP(-LN(2)/2)*BR201+(1-EXP(-LN(2)/2))/(LN(2)/2)*BL202*BO202*VLOOKUP('Données projet'!$B$11,Paramètres!$A$1:$I$89,3,0)*0.475*44/12</f>
        <v>4.0369883653681701E-25</v>
      </c>
      <c r="BS202" s="22">
        <f t="shared" si="169"/>
        <v>0.42230443563766984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2.0572770154103635E-13</v>
      </c>
      <c r="P203" s="13">
        <f t="shared" si="203"/>
        <v>2.8416956338469711E-12</v>
      </c>
      <c r="Q203" s="20">
        <f t="shared" si="162"/>
        <v>5.3075956424674458E-12</v>
      </c>
      <c r="R203" s="59">
        <f t="shared" si="191"/>
        <v>290.56523985295939</v>
      </c>
      <c r="S203" s="59">
        <f ca="1">AVERAGE(OFFSET($R$3,0,0,'Données projet'!$E$9+1,1))-AVERAGE(OFFSET($H$3,0,0,'Données projet'!$E$9+1,1))</f>
        <v>446.05900197653546</v>
      </c>
      <c r="T203" s="59">
        <f t="shared" si="204"/>
        <v>630.54710489646106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0.113654280076259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1.2202169160265807E-25</v>
      </c>
      <c r="AC203" s="22">
        <f t="shared" si="163"/>
        <v>0.113654280076259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394.69391436029986</v>
      </c>
      <c r="AO203" s="59">
        <f t="shared" si="205"/>
        <v>311.37245656657353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0.25804005975578787</v>
      </c>
      <c r="AV203" s="21">
        <f>EXP(-LN(2)/25)*AV202+(1-EXP(-LN(2)/25))/(LN(2)/25)*Calculateur!AQ203*Calculateur!AS203*VLOOKUP('Données projet'!$B$10,Paramètres!$A$1:$I$89,3,0)*0.475*44/12</f>
        <v>5.9617701949728999E-2</v>
      </c>
      <c r="AW203" s="21">
        <f>EXP(-LN(2)/2)*AW202+(1-EXP(-LN(2)/2))/(LN(2)/2)*AQ203*AT203*VLOOKUP('Données projet'!$B$10,Paramètres!$A$1:$I$89,3,0)*0.475*44/12</f>
        <v>2.0480044601189885E-25</v>
      </c>
      <c r="AX203" s="21">
        <f t="shared" si="166"/>
        <v>0.31765776170551685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349.17860987804869</v>
      </c>
      <c r="BJ203" s="59">
        <f t="shared" si="206"/>
        <v>273.69433466447049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0.31315315494070478</v>
      </c>
      <c r="BQ203" s="21">
        <f>EXP(-LN(2)/25)*BQ202+(1-EXP(-LN(2)/25))/(LN(2)/25)*Calculateur!BL203*Calculateur!BN203*VLOOKUP('Données projet'!$B$11,Paramètres!$A$1:$I$89,3,0)*0.475*44/12</f>
        <v>0.10007424366372587</v>
      </c>
      <c r="BR203" s="21">
        <f>EXP(-LN(2)/2)*BR202+(1-EXP(-LN(2)/2))/(LN(2)/2)*BL203*BO203*VLOOKUP('Données projet'!$B$11,Paramètres!$A$1:$I$89,3,0)*0.475*44/12</f>
        <v>2.854581848723029E-25</v>
      </c>
      <c r="BS203" s="22">
        <f t="shared" si="169"/>
        <v>0.41322739860443064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2.1016324782757847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1.2880503926580862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Q13" sqref="Q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Robinier faux-acacia</v>
      </c>
      <c r="B6" s="146">
        <f>'Données projet'!D9</f>
        <v>0.97860000000000003</v>
      </c>
      <c r="C6" s="147">
        <f ca="1">IF(OR('Données projet'!B9="",'Données projet'!C9="",'Données projet'!C9=0%),0,Calculateur!S3)</f>
        <v>446.05900197653546</v>
      </c>
      <c r="D6" s="147">
        <f>IF(OR('Données projet'!B9="",'Données projet'!C9="",'Données projet'!C9=0%),0,Calculateur!T3)</f>
        <v>630.54710489646106</v>
      </c>
      <c r="E6" s="147">
        <f ca="1">MIN(C6,D6)</f>
        <v>446.05900197653546</v>
      </c>
      <c r="F6" s="147">
        <f ca="1">E6*B6</f>
        <v>436.51333933423763</v>
      </c>
      <c r="G6" s="147">
        <f ca="1">F6*(100%-'Données projet'!$C$24)*(100%-'Données projet'!$C$25)*(100%-'Données projet'!$C$26)*(100%-'Données projet'!$C$27)</f>
        <v>392.86200540081387</v>
      </c>
      <c r="H6" s="148">
        <f>IF(OR('Données projet'!B9="",'Données projet'!C9="",'Données projet'!C9=0%),0,AVERAGE(Calculateur!$AC$3:$AC$33)*B6)</f>
        <v>3.9346266673098609</v>
      </c>
      <c r="I6" s="149">
        <f>H6*(100%-'Données projet'!$C$24)*(100%-'Données projet'!$C$25)*(100%-'Données projet'!$C$26)*(100%-'Données projet'!$C$27)</f>
        <v>3.5411640005788749</v>
      </c>
      <c r="J6" s="150">
        <f>IF(OR('Données projet'!B9="",'Données projet'!C9="",'Données projet'!C9=0%),0,SUM(Calculateur!$V$3:$V$33)*VLOOKUP('Données projet'!$B$9,Paramètres!$A$1:$I$89,9,0)*B6)</f>
        <v>31.559850000000001</v>
      </c>
      <c r="K6" s="151">
        <f>J6*(100%-'Données projet'!$C$24)*(100%-'Données projet'!$C$25)*(100%-'Données projet'!$C$26)*(100%-'Données projet'!$C$27)</f>
        <v>28.403865</v>
      </c>
      <c r="L6" s="152">
        <f ca="1">G6+I6+K6</f>
        <v>424.80703440139274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0.67569999999999997</v>
      </c>
      <c r="C7" s="147">
        <f ca="1">IF(OR('Données projet'!B10="",'Données projet'!C10="",'Données projet'!C10=0%),0,Calculateur!AN3)</f>
        <v>394.69391436029986</v>
      </c>
      <c r="D7" s="147">
        <f>IF(OR('Données projet'!B10="",'Données projet'!C10="",'Données projet'!C10=0%),0,Calculateur!AO3)</f>
        <v>311.37245656657353</v>
      </c>
      <c r="E7" s="147">
        <f t="shared" ref="E7:E15" ca="1" si="0">MIN(C7,D7)</f>
        <v>311.37245656657353</v>
      </c>
      <c r="F7" s="147">
        <f t="shared" ref="F7:F15" ca="1" si="1">E7*B7</f>
        <v>210.39436890203373</v>
      </c>
      <c r="G7" s="147">
        <f ca="1">F7*(100%-'Données projet'!$C$24)*(100%-'Données projet'!$C$25)*(100%-'Données projet'!$C$26)*(100%-'Données projet'!$C$27)</f>
        <v>189.35493201183036</v>
      </c>
      <c r="H7" s="155">
        <f>IF(OR('Données projet'!B10="",'Données projet'!C10="",'Données projet'!C10=0%),0,AVERAGE(Calculateur!$AX$3:$AX$33)*B7)</f>
        <v>1.952280529598954</v>
      </c>
      <c r="I7" s="149">
        <f>H7*(100%-'Données projet'!$C$24)*(100%-'Données projet'!$C$25)*(100%-'Données projet'!$C$26)*(100%-'Données projet'!$C$27)</f>
        <v>1.7570524766390587</v>
      </c>
      <c r="J7" s="150">
        <f>IF(OR('Données projet'!B10="",'Données projet'!C10="",'Données projet'!C10=0%),0,SUM(Calculateur!$AQ$3:$AQ$33)*VLOOKUP('Données projet'!$B$10,Paramètres!$A$1:$I$89,9,0)*B7)</f>
        <v>19.466916999999999</v>
      </c>
      <c r="K7" s="151">
        <f>J7*(100%-'Données projet'!$C$24)*(100%-'Données projet'!$C$25)*(100%-'Données projet'!$C$26)*(100%-'Données projet'!$C$27)</f>
        <v>17.5202253</v>
      </c>
      <c r="L7" s="152">
        <f t="shared" ref="L7:L15" ca="1" si="2">G7+I7+K7</f>
        <v>208.6322097884694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Cèdre de l'Atlas</v>
      </c>
      <c r="B8" s="154">
        <f>'Données projet'!D11</f>
        <v>0.67569999999999997</v>
      </c>
      <c r="C8" s="147">
        <f ca="1">IF(OR('Données projet'!B11="",'Données projet'!C11="",'Données projet'!C11=0%),0,Calculateur!BI3)</f>
        <v>349.17860987804869</v>
      </c>
      <c r="D8" s="147">
        <f>IF(OR('Données projet'!B11="",'Données projet'!C11="",'Données projet'!C11=0%),0,Calculateur!BJ3)</f>
        <v>273.69433466447049</v>
      </c>
      <c r="E8" s="147">
        <f t="shared" ca="1" si="0"/>
        <v>273.69433466447049</v>
      </c>
      <c r="F8" s="147">
        <f t="shared" ca="1" si="1"/>
        <v>184.93526193278271</v>
      </c>
      <c r="G8" s="147">
        <f ca="1">F8*(100%-'Données projet'!$C$24)*(100%-'Données projet'!$C$25)*(100%-'Données projet'!$C$26)*(100%-'Données projet'!$C$27)</f>
        <v>166.44173573950445</v>
      </c>
      <c r="H8" s="155">
        <f>IF(OR('Données projet'!B11="",'Données projet'!C11="",'Données projet'!C11=0%),0,AVERAGE(Calculateur!$BS$3:$BS$33)*B8)</f>
        <v>2.644276010000759</v>
      </c>
      <c r="I8" s="149">
        <f>H8*(100%-'Données projet'!$C$24)*(100%-'Données projet'!$C$25)*(100%-'Données projet'!$C$26)*(100%-'Données projet'!$C$27)</f>
        <v>2.3798484090006831</v>
      </c>
      <c r="J8" s="150">
        <f>IF(OR('Données projet'!B11="",'Données projet'!C11="",'Données projet'!C11=0%),0,SUM(Calculateur!$BL$3:$BL$33)*VLOOKUP('Données projet'!$B$11,Paramètres!$A$1:$I$89,9,0)*B8)</f>
        <v>30.9436815</v>
      </c>
      <c r="K8" s="151">
        <f>J8*(100%-'Données projet'!$C$24)*(100%-'Données projet'!$C$25)*(100%-'Données projet'!$C$26)*(100%-'Données projet'!$C$27)</f>
        <v>27.849313349999999</v>
      </c>
      <c r="L8" s="152">
        <f t="shared" ca="1" si="2"/>
        <v>196.67089749850513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831.84297016905407</v>
      </c>
      <c r="G16" s="166">
        <f t="shared" ca="1" si="3"/>
        <v>748.65867315214871</v>
      </c>
      <c r="H16" s="167">
        <f t="shared" si="3"/>
        <v>8.5311832069095743</v>
      </c>
      <c r="I16" s="167">
        <f t="shared" si="3"/>
        <v>7.6780648862186167</v>
      </c>
      <c r="J16" s="168">
        <f t="shared" si="3"/>
        <v>81.970448500000003</v>
      </c>
      <c r="K16" s="168">
        <f t="shared" si="3"/>
        <v>73.773403650000006</v>
      </c>
      <c r="L16" s="169">
        <f t="shared" ca="1" si="3"/>
        <v>830.11014168836732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Robinier faux-acacia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C1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Robinier faux-acacia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735.02565393021132</v>
      </c>
      <c r="U10" s="178">
        <f>'Données projet'!D9</f>
        <v>0.97860000000000003</v>
      </c>
      <c r="V10" s="177">
        <f>U10*T10</f>
        <v>719.29610493610483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148.03632602335017</v>
      </c>
      <c r="U11" s="178">
        <f>'Données projet'!D10</f>
        <v>0.67569999999999997</v>
      </c>
      <c r="V11" s="177">
        <f t="shared" ref="V11" si="0">U11*T11</f>
        <v>100.0281454939777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-348.35711401235085</v>
      </c>
      <c r="U12" s="178">
        <f>'Données projet'!D11</f>
        <v>0.67569999999999997</v>
      </c>
      <c r="V12" s="177">
        <f t="shared" ref="V12:V19" si="1">U12*T12</f>
        <v>-235.38490193814545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Robinier faux-acacia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1300*(0.59+0.39)</f>
        <v>1274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(200+3510+456+608+1025)/2.34</f>
        <v>2478.2051282051284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5</v>
      </c>
      <c r="B23" s="181">
        <f>'Données projet'!D36</f>
        <v>8</v>
      </c>
      <c r="C23" s="193">
        <v>2</v>
      </c>
      <c r="D23" s="182">
        <f>B23*C23</f>
        <v>16</v>
      </c>
      <c r="E23" s="193"/>
      <c r="F23" s="230"/>
      <c r="H23" s="190">
        <v>3</v>
      </c>
      <c r="I23" s="191">
        <v>850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-10086.787664583317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10</v>
      </c>
      <c r="B24" s="181">
        <f>'Données projet'!D37</f>
        <v>37</v>
      </c>
      <c r="C24" s="193">
        <v>2</v>
      </c>
      <c r="D24" s="182">
        <f t="shared" ref="D24:D42" si="2">B24*C24</f>
        <v>74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7044.6434232038437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15</v>
      </c>
      <c r="B25" s="181">
        <f>'Données projet'!D38</f>
        <v>29</v>
      </c>
      <c r="C25" s="193">
        <v>2</v>
      </c>
      <c r="D25" s="182">
        <f t="shared" si="2"/>
        <v>58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299">
        <f ca="1">T23-T24</f>
        <v>-17131.431087787161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20</v>
      </c>
      <c r="B26" s="181">
        <f>'Données projet'!D39</f>
        <v>23</v>
      </c>
      <c r="C26" s="193">
        <v>10</v>
      </c>
      <c r="D26" s="182">
        <f t="shared" si="2"/>
        <v>230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25</v>
      </c>
      <c r="B27" s="181">
        <f>'Données projet'!D40</f>
        <v>18</v>
      </c>
      <c r="C27" s="193">
        <v>10</v>
      </c>
      <c r="D27" s="182">
        <f t="shared" si="2"/>
        <v>180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30</v>
      </c>
      <c r="B28" s="181">
        <f>'Données projet'!D41</f>
        <v>14</v>
      </c>
      <c r="C28" s="193">
        <v>25</v>
      </c>
      <c r="D28" s="182">
        <f t="shared" si="2"/>
        <v>350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35</v>
      </c>
      <c r="B29" s="181">
        <f>'Données projet'!D42</f>
        <v>11</v>
      </c>
      <c r="C29" s="193">
        <v>25</v>
      </c>
      <c r="D29" s="182">
        <f t="shared" si="2"/>
        <v>275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40</v>
      </c>
      <c r="B30" s="181">
        <f>'Données projet'!D43</f>
        <v>9</v>
      </c>
      <c r="C30" s="193">
        <v>30</v>
      </c>
      <c r="D30" s="182">
        <f t="shared" si="2"/>
        <v>270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3023.452112963023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45</v>
      </c>
      <c r="B31" s="181">
        <f>'Données projet'!D44</f>
        <v>378</v>
      </c>
      <c r="C31" s="193">
        <v>30</v>
      </c>
      <c r="D31" s="182">
        <f t="shared" si="2"/>
        <v>11340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1300*(0.38+0.59)</f>
        <v>1261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16</v>
      </c>
      <c r="C54" s="191">
        <v>2</v>
      </c>
      <c r="D54" s="179">
        <f>B54*C54</f>
        <v>32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25</v>
      </c>
      <c r="B55" s="181">
        <f>'Données projet'!D63</f>
        <v>17</v>
      </c>
      <c r="C55" s="191">
        <v>1.95</v>
      </c>
      <c r="D55" s="179">
        <f t="shared" ref="D55:D73" si="4">B55*C55</f>
        <v>33.15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30</v>
      </c>
      <c r="B56" s="181">
        <f>'Données projet'!D64</f>
        <v>34</v>
      </c>
      <c r="C56" s="191">
        <v>1.95</v>
      </c>
      <c r="D56" s="179">
        <f t="shared" si="4"/>
        <v>66.3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35</v>
      </c>
      <c r="B57" s="181">
        <f>'Données projet'!D65</f>
        <v>41</v>
      </c>
      <c r="C57" s="191">
        <v>4.4800000000000004</v>
      </c>
      <c r="D57" s="179">
        <f t="shared" si="4"/>
        <v>183.68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40</v>
      </c>
      <c r="B58" s="181">
        <f>'Données projet'!D66</f>
        <v>41</v>
      </c>
      <c r="C58" s="191">
        <v>4.4800000000000004</v>
      </c>
      <c r="D58" s="179">
        <f t="shared" si="4"/>
        <v>183.68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45</v>
      </c>
      <c r="B59" s="181">
        <f>'Données projet'!D67</f>
        <v>53</v>
      </c>
      <c r="C59" s="191">
        <v>4.8</v>
      </c>
      <c r="D59" s="179">
        <f t="shared" si="4"/>
        <v>254.39999999999998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50</v>
      </c>
      <c r="B60" s="181">
        <f>'Données projet'!D68</f>
        <v>53</v>
      </c>
      <c r="C60" s="191">
        <v>4.8</v>
      </c>
      <c r="D60" s="179">
        <f t="shared" si="4"/>
        <v>254.39999999999998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58</v>
      </c>
      <c r="B61" s="181">
        <f>'Données projet'!D69</f>
        <v>78</v>
      </c>
      <c r="C61" s="191">
        <v>27</v>
      </c>
      <c r="D61" s="179">
        <f t="shared" si="4"/>
        <v>2106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66</v>
      </c>
      <c r="B62" s="181">
        <f>'Données projet'!D70</f>
        <v>65</v>
      </c>
      <c r="C62" s="191">
        <v>27</v>
      </c>
      <c r="D62" s="179">
        <f t="shared" si="4"/>
        <v>1755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74</v>
      </c>
      <c r="B63" s="181">
        <f>'Données projet'!D71</f>
        <v>37</v>
      </c>
      <c r="C63" s="191">
        <v>45</v>
      </c>
      <c r="D63" s="179">
        <f t="shared" si="4"/>
        <v>1665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82</v>
      </c>
      <c r="B64" s="181">
        <f>'Données projet'!D72</f>
        <v>567</v>
      </c>
      <c r="C64" s="191">
        <v>60</v>
      </c>
      <c r="D64" s="179">
        <f t="shared" si="4"/>
        <v>34020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1300*(1.08+0.59)</f>
        <v>2171</v>
      </c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39.5</v>
      </c>
      <c r="C85" s="191">
        <v>2</v>
      </c>
      <c r="D85" s="179">
        <f>B85*C85</f>
        <v>79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67</v>
      </c>
      <c r="C86" s="191">
        <v>4</v>
      </c>
      <c r="D86" s="179">
        <f t="shared" ref="D86:D104" si="6">B86*C86</f>
        <v>268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70</v>
      </c>
      <c r="C87" s="191">
        <v>27</v>
      </c>
      <c r="D87" s="179">
        <f t="shared" si="6"/>
        <v>1890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75</v>
      </c>
      <c r="C88" s="191">
        <v>27</v>
      </c>
      <c r="D88" s="179">
        <f t="shared" si="6"/>
        <v>2025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80</v>
      </c>
      <c r="C89" s="191">
        <v>26.7</v>
      </c>
      <c r="D89" s="179">
        <f t="shared" si="6"/>
        <v>2136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87</v>
      </c>
      <c r="C90" s="191">
        <v>46</v>
      </c>
      <c r="D90" s="179">
        <f t="shared" si="6"/>
        <v>4002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93</v>
      </c>
      <c r="C91" s="191">
        <v>46</v>
      </c>
      <c r="D91" s="179">
        <f t="shared" si="6"/>
        <v>4278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98</v>
      </c>
      <c r="C92" s="191">
        <v>46</v>
      </c>
      <c r="D92" s="179">
        <f t="shared" si="6"/>
        <v>4508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675.5</v>
      </c>
      <c r="C93" s="191">
        <v>75</v>
      </c>
      <c r="D93" s="179">
        <f t="shared" si="6"/>
        <v>50662.5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2024-07-18T15:47:20Z</dcterms:modified>
</cp:coreProperties>
</file>