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3-DEPOSE/364-B-MERCERON-CVL(45)-L'ARCHE-IndivFeuillet-SuryAuxBois-12,492ha/"/>
    </mc:Choice>
  </mc:AlternateContent>
  <xr:revisionPtr revIDLastSave="0" documentId="13_ncr:1_{EDCA0795-43D2-894C-B96B-7CA8F66BC742}" xr6:coauthVersionLast="47" xr6:coauthVersionMax="47" xr10:uidLastSave="{00000000-0000-0000-0000-000000000000}"/>
  <bookViews>
    <workbookView xWindow="0" yWindow="760" windowWidth="30240" windowHeight="1888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2" i="6" l="1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104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I20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C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X7" i="2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EC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X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EW20" i="2"/>
  <c r="EV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I21" i="2"/>
  <c r="HH21" i="2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W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I38" i="2"/>
  <c r="HG38" i="2"/>
  <c r="EA38" i="2"/>
  <c r="HH38" i="2"/>
  <c r="EX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HI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FS57" i="2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HG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I113" i="2"/>
  <c r="EX113" i="2"/>
  <c r="FS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HH122" i="2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H130" i="2"/>
  <c r="HI130" i="2"/>
  <c r="EB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W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HH140" i="2"/>
  <c r="FR140" i="2"/>
  <c r="HG140" i="2"/>
  <c r="EC140" i="2"/>
  <c r="FS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HH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EX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G146" i="2" l="1"/>
  <c r="EA146" i="2"/>
  <c r="FS146" i="2"/>
  <c r="HI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G149" i="2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HI150" i="2"/>
  <c r="HG150" i="2"/>
  <c r="FS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B154" i="2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AC154" i="2"/>
  <c r="DI154" i="2"/>
  <c r="HH155" i="2"/>
  <c r="EA155" i="2"/>
  <c r="ED155" i="2" s="1"/>
  <c r="EW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B156" i="2"/>
  <c r="EX156" i="2"/>
  <c r="DH156" i="2"/>
  <c r="HH156" i="2"/>
  <c r="FS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CN156" i="2"/>
  <c r="EA157" i="2"/>
  <c r="ED157" i="2" s="1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W158" i="2" l="1"/>
  <c r="HH158" i="2"/>
  <c r="EC158" i="2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HI159" i="2"/>
  <c r="EC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H160" i="2"/>
  <c r="FS160" i="2"/>
  <c r="HG160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A161" i="2"/>
  <c r="ED161" i="2" s="1"/>
  <c r="HG161" i="2"/>
  <c r="AB161" i="2"/>
  <c r="E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HG162" i="2"/>
  <c r="EC162" i="2"/>
  <c r="DI161" i="2"/>
  <c r="EB162" i="2"/>
  <c r="HH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G163" i="2"/>
  <c r="HH163" i="2"/>
  <c r="EV163" i="2"/>
  <c r="HI163" i="2"/>
  <c r="EB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A164" i="2"/>
  <c r="FS164" i="2"/>
  <c r="EV164" i="2"/>
  <c r="HH164" i="2"/>
  <c r="DI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G165" i="2"/>
  <c r="EA165" i="2"/>
  <c r="ED165" i="2" s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HI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EV168" i="2"/>
  <c r="EC168" i="2"/>
  <c r="EB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EV172" i="2"/>
  <c r="EA172" i="2"/>
  <c r="ED172" i="2" s="1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G174" i="2"/>
  <c r="EC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HI175" i="2"/>
  <c r="EW175" i="2"/>
  <c r="FS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FS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S178" i="2"/>
  <c r="EA178" i="2"/>
  <c r="ED178" i="2" s="1"/>
  <c r="HH178" i="2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EA179" i="2"/>
  <c r="ED179" i="2" s="1"/>
  <c r="HH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G180" i="2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FS182" i="2"/>
  <c r="EX182" i="2"/>
  <c r="DG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B185" i="2"/>
  <c r="EV185" i="2"/>
  <c r="HI185" i="2"/>
  <c r="EA185" i="2"/>
  <c r="HH185" i="2"/>
  <c r="HG185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HH186" i="2"/>
  <c r="HG186" i="2"/>
  <c r="ED185" i="2"/>
  <c r="EB186" i="2"/>
  <c r="FR186" i="2"/>
  <c r="EW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G187" i="2"/>
  <c r="HH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EV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V190" i="2"/>
  <c r="EB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Y191" i="2"/>
  <c r="EC192" i="2"/>
  <c r="EB192" i="2"/>
  <c r="EV192" i="2"/>
  <c r="HH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B193" i="2"/>
  <c r="EX193" i="2"/>
  <c r="DI192" i="2"/>
  <c r="FQ193" i="2"/>
  <c r="EA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EB194" i="2"/>
  <c r="EA194" i="2"/>
  <c r="ED194" i="2" s="1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EA195" i="2"/>
  <c r="EB195" i="2"/>
  <c r="FQ195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ED197" i="2" s="1"/>
  <c r="HH197" i="2"/>
  <c r="AA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HG199" i="2"/>
  <c r="HH199" i="2"/>
  <c r="EA199" i="2"/>
  <c r="EW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 l="1"/>
  <c r="FS201" i="2"/>
  <c r="EB201" i="2"/>
  <c r="HG201" i="2"/>
  <c r="HH201" i="2"/>
  <c r="EA201" i="2"/>
  <c r="ED201" i="2" s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X202" i="2" l="1"/>
  <c r="EY201" i="2"/>
  <c r="EW202" i="2"/>
  <c r="HH202" i="2"/>
  <c r="FR202" i="2"/>
  <c r="HG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2" i="2" a="1"/>
  <c r="FY32" i="2" s="1"/>
  <c r="FY140" i="2" a="1"/>
  <c r="FY140" i="2" s="1"/>
  <c r="FY120" i="2" a="1"/>
  <c r="FY120" i="2" s="1"/>
  <c r="FY69" i="2" a="1"/>
  <c r="FY69" i="2" s="1"/>
  <c r="FY153" i="2" a="1"/>
  <c r="FY153" i="2" s="1"/>
  <c r="FY126" i="2" a="1"/>
  <c r="FY126" i="2" s="1"/>
  <c r="FY164" i="2" a="1"/>
  <c r="FY164" i="2" s="1"/>
  <c r="FY104" i="2" a="1"/>
  <c r="FY104" i="2" s="1"/>
  <c r="BC47" i="2" a="1"/>
  <c r="BC47" i="2" s="1"/>
  <c r="GT115" i="2" a="1"/>
  <c r="GT115" i="2" s="1"/>
  <c r="GT184" i="2" a="1"/>
  <c r="GT184" i="2" s="1"/>
  <c r="GT68" i="2" a="1"/>
  <c r="GT68" i="2" s="1"/>
  <c r="GT51" i="2" a="1"/>
  <c r="GT51" i="2" s="1"/>
  <c r="GT122" i="2" a="1"/>
  <c r="GT122" i="2" s="1"/>
  <c r="GT121" i="2" a="1"/>
  <c r="GT121" i="2" s="1"/>
  <c r="GT152" i="2" a="1"/>
  <c r="GT152" i="2" s="1"/>
  <c r="GT147" i="2" a="1"/>
  <c r="GT147" i="2" s="1"/>
  <c r="GT102" i="2" a="1"/>
  <c r="GT102" i="2" s="1"/>
  <c r="DN113" i="2" a="1"/>
  <c r="DN113" i="2" s="1"/>
  <c r="DN50" i="2" a="1"/>
  <c r="DN50" i="2" s="1"/>
  <c r="DN177" i="2" a="1"/>
  <c r="DN177" i="2" s="1"/>
  <c r="DN86" i="2" a="1"/>
  <c r="DN86" i="2" s="1"/>
  <c r="DN123" i="2" a="1"/>
  <c r="DN123" i="2" s="1"/>
  <c r="DN114" i="2" a="1"/>
  <c r="DN114" i="2" s="1"/>
  <c r="CS77" i="2" a="1"/>
  <c r="CS77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167" i="2" a="1"/>
  <c r="FY167" i="2" s="1"/>
  <c r="FY121" i="2" a="1"/>
  <c r="FY121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6" i="2" a="1"/>
  <c r="EI36" i="2" s="1"/>
  <c r="DN168" i="2" a="1"/>
  <c r="DN168" i="2" s="1"/>
  <c r="CS185" i="2" a="1"/>
  <c r="CS185" i="2" s="1"/>
  <c r="DN80" i="2" a="1"/>
  <c r="DN80" i="2" s="1"/>
  <c r="DN135" i="2" a="1"/>
  <c r="DN135" i="2" s="1"/>
  <c r="DN164" i="2" a="1"/>
  <c r="DN164" i="2" s="1"/>
  <c r="DN162" i="2" a="1"/>
  <c r="DN162" i="2" s="1"/>
  <c r="DN16" i="2" a="1"/>
  <c r="DN16" i="2" s="1"/>
  <c r="DN167" i="2" a="1"/>
  <c r="DN167" i="2" s="1"/>
  <c r="DN31" i="2" a="1"/>
  <c r="DN31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CS134" i="2" a="1"/>
  <c r="CS134" i="2" s="1"/>
  <c r="DN45" i="2" a="1"/>
  <c r="DN45" i="2" s="1"/>
  <c r="CS72" i="2" a="1"/>
  <c r="CS72" i="2" s="1"/>
  <c r="DN187" i="2" a="1"/>
  <c r="DN187" i="2" s="1"/>
  <c r="HJ202" i="2"/>
  <c r="AX200" i="2"/>
  <c r="CS116" i="2" l="1" a="1"/>
  <c r="CS116" i="2" s="1"/>
  <c r="CS24" i="2" a="1"/>
  <c r="CS24" i="2" s="1"/>
  <c r="CS120" i="2" a="1"/>
  <c r="CS120" i="2" s="1"/>
  <c r="CS114" i="2" a="1"/>
  <c r="CS114" i="2" s="1"/>
  <c r="CS38" i="2" a="1"/>
  <c r="CS38" i="2" s="1"/>
  <c r="CS105" i="2" a="1"/>
  <c r="CS105" i="2" s="1"/>
  <c r="EI109" i="2" a="1"/>
  <c r="EI109" i="2" s="1"/>
  <c r="EI37" i="2" a="1"/>
  <c r="EI37" i="2" s="1"/>
  <c r="EI35" i="2" a="1"/>
  <c r="EI35" i="2" s="1"/>
  <c r="EI16" i="2" a="1"/>
  <c r="EI16" i="2" s="1"/>
  <c r="EI57" i="2" a="1"/>
  <c r="EI57" i="2" s="1"/>
  <c r="FY72" i="2" a="1"/>
  <c r="FY72" i="2" s="1"/>
  <c r="FY55" i="2" a="1"/>
  <c r="FY55" i="2" s="1"/>
  <c r="FY109" i="2" a="1"/>
  <c r="FY109" i="2" s="1"/>
  <c r="FY188" i="2" a="1"/>
  <c r="FY188" i="2" s="1"/>
  <c r="FY116" i="2" a="1"/>
  <c r="FY116" i="2" s="1"/>
  <c r="FY92" i="2" a="1"/>
  <c r="FY92" i="2" s="1"/>
  <c r="FY191" i="2" a="1"/>
  <c r="FY191" i="2" s="1"/>
  <c r="FY110" i="2" a="1"/>
  <c r="FY110" i="2" s="1"/>
  <c r="FD131" i="2" a="1"/>
  <c r="FD131" i="2" s="1"/>
  <c r="FD64" i="2" a="1"/>
  <c r="FD64" i="2" s="1"/>
  <c r="FD187" i="2" a="1"/>
  <c r="FD187" i="2" s="1"/>
  <c r="FD194" i="2" a="1"/>
  <c r="FD194" i="2" s="1"/>
  <c r="FD189" i="2" a="1"/>
  <c r="FD189" i="2" s="1"/>
  <c r="FD43" i="2" a="1"/>
  <c r="FD43" i="2" s="1"/>
  <c r="FD19" i="2" a="1"/>
  <c r="FD19" i="2" s="1"/>
  <c r="FD14" i="2" a="1"/>
  <c r="FD14" i="2" s="1"/>
  <c r="FD160" i="2" a="1"/>
  <c r="FD160" i="2" s="1"/>
  <c r="FD44" i="2" a="1"/>
  <c r="FD44" i="2" s="1"/>
  <c r="FD159" i="2" a="1"/>
  <c r="FD159" i="2" s="1"/>
  <c r="FD188" i="2" a="1"/>
  <c r="FD188" i="2" s="1"/>
  <c r="FD48" i="2" a="1"/>
  <c r="FD48" i="2" s="1"/>
  <c r="FD137" i="2" a="1"/>
  <c r="FD137" i="2" s="1"/>
  <c r="FD107" i="2" a="1"/>
  <c r="FD107" i="2" s="1"/>
  <c r="FD60" i="2" a="1"/>
  <c r="FD60" i="2" s="1"/>
  <c r="FD82" i="2" a="1"/>
  <c r="FD82" i="2" s="1"/>
  <c r="FD167" i="2" a="1"/>
  <c r="FD167" i="2" s="1"/>
  <c r="FD21" i="2" a="1"/>
  <c r="FD21" i="2" s="1"/>
  <c r="EI165" i="2" a="1"/>
  <c r="EI165" i="2" s="1"/>
  <c r="EI71" i="2" a="1"/>
  <c r="EI71" i="2" s="1"/>
  <c r="EI67" i="2" a="1"/>
  <c r="EI67" i="2" s="1"/>
  <c r="EI139" i="2" a="1"/>
  <c r="EI139" i="2" s="1"/>
  <c r="EI38" i="2" a="1"/>
  <c r="EI38" i="2" s="1"/>
  <c r="EI170" i="2" a="1"/>
  <c r="EI170" i="2" s="1"/>
  <c r="EI113" i="2" a="1"/>
  <c r="EI113" i="2" s="1"/>
  <c r="EI178" i="2" a="1"/>
  <c r="EI178" i="2" s="1"/>
  <c r="EI142" i="2" a="1"/>
  <c r="EI142" i="2" s="1"/>
  <c r="EI29" i="2" a="1"/>
  <c r="EI29" i="2" s="1"/>
  <c r="EI20" i="2" a="1"/>
  <c r="EI20" i="2" s="1"/>
  <c r="EI34" i="2" a="1"/>
  <c r="EI34" i="2" s="1"/>
  <c r="EI145" i="2" a="1"/>
  <c r="EI145" i="2" s="1"/>
  <c r="EI87" i="2" a="1"/>
  <c r="EI87" i="2" s="1"/>
  <c r="EI162" i="2" a="1"/>
  <c r="EI162" i="2" s="1"/>
  <c r="EI195" i="2" a="1"/>
  <c r="EI195" i="2" s="1"/>
  <c r="EI150" i="2" a="1"/>
  <c r="EI150" i="2" s="1"/>
  <c r="EI128" i="2" a="1"/>
  <c r="EI128" i="2" s="1"/>
  <c r="EI166" i="2" a="1"/>
  <c r="EI166" i="2" s="1"/>
  <c r="EI106" i="2" a="1"/>
  <c r="EI106" i="2" s="1"/>
  <c r="EI153" i="2" a="1"/>
  <c r="EI153" i="2" s="1"/>
  <c r="EI198" i="2" a="1"/>
  <c r="EI198" i="2" s="1"/>
  <c r="BC68" i="2" a="1"/>
  <c r="BC68" i="2" s="1"/>
  <c r="BC58" i="2" a="1"/>
  <c r="BC58" i="2" s="1"/>
  <c r="CS161" i="2" a="1"/>
  <c r="CS161" i="2" s="1"/>
  <c r="CS129" i="2" a="1"/>
  <c r="CS129" i="2" s="1"/>
  <c r="CS52" i="2" a="1"/>
  <c r="CS52" i="2" s="1"/>
  <c r="CS137" i="2" a="1"/>
  <c r="CS137" i="2" s="1"/>
  <c r="CS56" i="2" a="1"/>
  <c r="CS56" i="2" s="1"/>
  <c r="CS66" i="2" a="1"/>
  <c r="CS66" i="2" s="1"/>
  <c r="BX107" i="2" a="1"/>
  <c r="BX107" i="2" s="1"/>
  <c r="FR203" i="2"/>
  <c r="DN70" i="2" a="1"/>
  <c r="DN70" i="2" s="1"/>
  <c r="DN184" i="2" a="1"/>
  <c r="DN184" i="2" s="1"/>
  <c r="BC65" i="2" a="1"/>
  <c r="BC65" i="2" s="1"/>
  <c r="FY149" i="2" a="1"/>
  <c r="FY149" i="2" s="1"/>
  <c r="FY73" i="2" a="1"/>
  <c r="FY73" i="2" s="1"/>
  <c r="FY29" i="2" a="1"/>
  <c r="FY29" i="2" s="1"/>
  <c r="DN38" i="2" a="1"/>
  <c r="DN38" i="2" s="1"/>
  <c r="DN55" i="2" a="1"/>
  <c r="DN55" i="2" s="1"/>
  <c r="BC83" i="2" a="1"/>
  <c r="BC83" i="2" s="1"/>
  <c r="BC130" i="2" a="1"/>
  <c r="BC130" i="2" s="1"/>
  <c r="FY142" i="2" a="1"/>
  <c r="FY142" i="2" s="1"/>
  <c r="DN150" i="2" a="1"/>
  <c r="DN150" i="2" s="1"/>
  <c r="DN152" i="2" a="1"/>
  <c r="DN152" i="2" s="1"/>
  <c r="GT33" i="2" a="1"/>
  <c r="GT33" i="2" s="1"/>
  <c r="BC114" i="2" a="1"/>
  <c r="BC114" i="2" s="1"/>
  <c r="FY24" i="2" a="1"/>
  <c r="FY24" i="2" s="1"/>
  <c r="FY152" i="2" a="1"/>
  <c r="FY152" i="2" s="1"/>
  <c r="FY35" i="2" a="1"/>
  <c r="FY35" i="2" s="1"/>
  <c r="DN132" i="2" a="1"/>
  <c r="DN132" i="2" s="1"/>
  <c r="DN110" i="2" a="1"/>
  <c r="DN110" i="2" s="1"/>
  <c r="BC151" i="2" a="1"/>
  <c r="BC151" i="2" s="1"/>
  <c r="FY80" i="2" a="1"/>
  <c r="FY80" i="2" s="1"/>
  <c r="DN192" i="2" a="1"/>
  <c r="DN192" i="2" s="1"/>
  <c r="DN29" i="2" a="1"/>
  <c r="DN29" i="2" s="1"/>
  <c r="GT133" i="2" a="1"/>
  <c r="GT133" i="2" s="1"/>
  <c r="BC126" i="2" a="1"/>
  <c r="BC126" i="2" s="1"/>
  <c r="FY190" i="2" a="1"/>
  <c r="FY190" i="2" s="1"/>
  <c r="FY186" i="2" a="1"/>
  <c r="FY186" i="2" s="1"/>
  <c r="FY146" i="2" a="1"/>
  <c r="FY146" i="2" s="1"/>
  <c r="DN188" i="2" a="1"/>
  <c r="DN188" i="2" s="1"/>
  <c r="DN137" i="2" a="1"/>
  <c r="DN137" i="2" s="1"/>
  <c r="DN103" i="2" a="1"/>
  <c r="DN103" i="2" s="1"/>
  <c r="DN153" i="2" a="1"/>
  <c r="DN153" i="2" s="1"/>
  <c r="DN49" i="2" a="1"/>
  <c r="DN49" i="2" s="1"/>
  <c r="DN129" i="2" a="1"/>
  <c r="DN129" i="2" s="1"/>
  <c r="GT11" i="2" a="1"/>
  <c r="GT11" i="2" s="1"/>
  <c r="GT181" i="2" a="1"/>
  <c r="GT181" i="2" s="1"/>
  <c r="FY172" i="2" a="1"/>
  <c r="FY172" i="2" s="1"/>
  <c r="FY99" i="2" a="1"/>
  <c r="FY99" i="2" s="1"/>
  <c r="FY66" i="2" a="1"/>
  <c r="FY66" i="2" s="1"/>
  <c r="FY79" i="2" a="1"/>
  <c r="FY79" i="2" s="1"/>
  <c r="BP203" i="2"/>
  <c r="AH163" i="2" a="1"/>
  <c r="AH163" i="2" s="1"/>
  <c r="DN115" i="2" a="1"/>
  <c r="DN115" i="2" s="1"/>
  <c r="DN41" i="2" a="1"/>
  <c r="DN41" i="2" s="1"/>
  <c r="BC34" i="2" a="1"/>
  <c r="BC34" i="2" s="1"/>
  <c r="FY124" i="2" a="1"/>
  <c r="FY124" i="2" s="1"/>
  <c r="FY28" i="2" a="1"/>
  <c r="FY28" i="2" s="1"/>
  <c r="FY173" i="2" a="1"/>
  <c r="FY173" i="2" s="1"/>
  <c r="FY71" i="2" a="1"/>
  <c r="FY71" i="2" s="1"/>
  <c r="FY90" i="2" a="1"/>
  <c r="FY90" i="2" s="1"/>
  <c r="AH62" i="2" a="1"/>
  <c r="AH62" i="2" s="1"/>
  <c r="DN43" i="2" a="1"/>
  <c r="DN43" i="2" s="1"/>
  <c r="BC117" i="2" a="1"/>
  <c r="BC117" i="2" s="1"/>
  <c r="FD59" i="2" a="1"/>
  <c r="FD59" i="2" s="1"/>
  <c r="FY169" i="2" a="1"/>
  <c r="FY169" i="2" s="1"/>
  <c r="FY78" i="2" a="1"/>
  <c r="FY78" i="2" s="1"/>
  <c r="FY159" i="2" a="1"/>
  <c r="FY159" i="2" s="1"/>
  <c r="FY18" i="2" a="1"/>
  <c r="FY18" i="2" s="1"/>
  <c r="FY57" i="2" a="1"/>
  <c r="FY57" i="2" s="1"/>
  <c r="AH151" i="2" a="1"/>
  <c r="AH151" i="2" s="1"/>
  <c r="AH199" i="2" a="1"/>
  <c r="AH199" i="2" s="1"/>
  <c r="DN170" i="2" a="1"/>
  <c r="DN170" i="2" s="1"/>
  <c r="DN186" i="2" a="1"/>
  <c r="DN186" i="2" s="1"/>
  <c r="BC181" i="2" a="1"/>
  <c r="BC181" i="2" s="1"/>
  <c r="FD144" i="2" a="1"/>
  <c r="FD144" i="2" s="1"/>
  <c r="FY62" i="2" a="1"/>
  <c r="FY62" i="2" s="1"/>
  <c r="FY174" i="2" a="1"/>
  <c r="FY174" i="2" s="1"/>
  <c r="FY143" i="2" a="1"/>
  <c r="FY143" i="2" s="1"/>
  <c r="FY133" i="2" a="1"/>
  <c r="FY133" i="2" s="1"/>
  <c r="FY54" i="2" a="1"/>
  <c r="FY54" i="2" s="1"/>
  <c r="AH166" i="2" a="1"/>
  <c r="AH166" i="2" s="1"/>
  <c r="AH19" i="2" a="1"/>
  <c r="AH19" i="2" s="1"/>
  <c r="AH90" i="2" a="1"/>
  <c r="AH90" i="2" s="1"/>
  <c r="AH92" i="2" a="1"/>
  <c r="AH92" i="2" s="1"/>
  <c r="BC55" i="2" a="1"/>
  <c r="BC55" i="2" s="1"/>
  <c r="DN66" i="2" a="1"/>
  <c r="DN66" i="2" s="1"/>
  <c r="DN25" i="2" a="1"/>
  <c r="DN25" i="2" s="1"/>
  <c r="DN124" i="2" a="1"/>
  <c r="DN124" i="2" s="1"/>
  <c r="BC82" i="2" a="1"/>
  <c r="BC82" i="2" s="1"/>
  <c r="FY34" i="2" a="1"/>
  <c r="FY34" i="2" s="1"/>
  <c r="FY178" i="2" a="1"/>
  <c r="FY178" i="2" s="1"/>
  <c r="FY111" i="2" a="1"/>
  <c r="FY111" i="2" s="1"/>
  <c r="FY102" i="2" a="1"/>
  <c r="FY102" i="2" s="1"/>
  <c r="FY165" i="2" a="1"/>
  <c r="FY165" i="2" s="1"/>
  <c r="FY47" i="2" a="1"/>
  <c r="FY47" i="2" s="1"/>
  <c r="DN56" i="2" a="1"/>
  <c r="DN56" i="2" s="1"/>
  <c r="DN155" i="2" a="1"/>
  <c r="DN155" i="2" s="1"/>
  <c r="FS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Y203" i="2"/>
  <c r="CN203" i="2"/>
  <c r="FZ8" i="2"/>
  <c r="FZ9" i="2" s="1"/>
  <c r="FZ10" i="2" s="1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<sst xmlns="http://schemas.openxmlformats.org/spreadsheetml/2006/main" count="1187" uniqueCount="331">
  <si>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</si>
  <si>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</si>
  <si>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</si>
  <si>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</si>
  <si>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</si>
  <si>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</si>
  <si>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</si>
  <si>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</si>
  <si>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</si>
  <si>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</si>
  <si>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</si>
  <si>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</si>
  <si>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</si>
  <si>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</si>
  <si>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</si>
  <si>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</si>
  <si>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</si>
  <si>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</si>
  <si>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</si>
  <si>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</si>
  <si>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</si>
  <si>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</si>
  <si>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</si>
  <si>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</si>
  <si>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</si>
  <si>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</si>
  <si>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</si>
  <si>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</si>
  <si>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</si>
  <si>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</si>
  <si>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</si>
  <si>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</si>
  <si>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</si>
  <si>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</si>
  <si>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</si>
  <si>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</si>
  <si>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</si>
  <si>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</si>
  <si>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</si>
  <si>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</si>
  <si>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</si>
  <si>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</si>
  <si>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</si>
  <si>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</si>
  <si>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</si>
  <si>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</si>
  <si>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</si>
  <si>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</si>
  <si>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</si>
  <si>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</si>
  <si>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</si>
  <si>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</si>
  <si>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</si>
  <si>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</si>
  <si>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</si>
  <si>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</si>
  <si>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</si>
  <si>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</si>
  <si>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</si>
  <si>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</si>
  <si>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</si>
  <si>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</si>
  <si>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</si>
  <si>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</si>
  <si>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</si>
  <si>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</si>
  <si>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</si>
  <si>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</si>
  <si>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</si>
  <si>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</si>
  <si>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</si>
  <si>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</si>
  <si>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</si>
  <si>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</si>
  <si>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</si>
  <si>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</si>
  <si>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</si>
  <si>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</si>
  <si>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</si>
  <si>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</si>
  <si>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</si>
  <si>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</si>
  <si>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</si>
  <si>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</si>
  <si>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</si>
  <si>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</si>
  <si>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</si>
  <si>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</si>
  <si>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</si>
  <si>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</si>
  <si>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</si>
  <si>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</si>
  <si>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</si>
  <si>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</si>
  <si>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</si>
  <si>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</si>
  <si>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</si>
  <si>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</si>
  <si>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</si>
  <si>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</si>
  <si>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</si>
  <si>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</si>
  <si>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</si>
  <si>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</si>
  <si>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</si>
  <si>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</si>
  <si>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</si>
  <si>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</si>
  <si>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</si>
  <si>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</si>
  <si>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</si>
  <si>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</si>
  <si>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</si>
  <si>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</si>
  <si>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</si>
  <si>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</si>
  <si>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</si>
  <si>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</si>
  <si>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</si>
  <si>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</si>
  <si>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</si>
  <si>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</si>
  <si>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</si>
  <si>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</si>
  <si>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</si>
  <si>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</si>
  <si>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</si>
  <si>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</si>
  <si>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</si>
  <si>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</si>
  <si>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</si>
  <si>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</si>
  <si>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</si>
  <si>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</si>
  <si>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</si>
  <si>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</si>
  <si>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</si>
  <si>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</si>
  <si>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</si>
  <si>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</si>
  <si>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</si>
  <si>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</si>
  <si>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</si>
  <si>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</si>
  <si>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</si>
  <si>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</si>
  <si>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</si>
  <si>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</si>
  <si>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</si>
  <si>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</si>
  <si>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</si>
  <si>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</si>
  <si>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</si>
  <si>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</si>
  <si>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</si>
  <si>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</si>
  <si>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</si>
  <si>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</si>
  <si>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</si>
  <si>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</si>
  <si>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</si>
  <si>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</si>
  <si>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</si>
  <si>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</si>
  <si>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</si>
  <si>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</si>
  <si>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</si>
  <si>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</si>
  <si>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</si>
  <si>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</si>
  <si>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</si>
  <si>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</si>
  <si>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</si>
  <si>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</si>
  <si>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</si>
  <si>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</si>
  <si>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</si>
  <si>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</si>
  <si>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</si>
  <si>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</si>
  <si>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</si>
  <si>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</si>
  <si>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</si>
  <si>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</si>
  <si>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</si>
  <si>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</si>
  <si>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</si>
  <si>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</si>
  <si>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</si>
  <si>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</si>
  <si>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</si>
  <si>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</si>
  <si>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</si>
  <si>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</si>
  <si>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</si>
  <si>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</si>
  <si>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</si>
  <si>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</si>
  <si>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</si>
  <si>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</si>
  <si>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</si>
  <si>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</si>
  <si>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</si>
  <si>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</si>
  <si>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</si>
  <si>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</si>
  <si>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</si>
  <si>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</si>
  <si>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</si>
  <si>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</si>
  <si>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</si>
  <si>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</si>
  <si>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</si>
  <si>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</si>
  <si>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</si>
  <si>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</si>
  <si>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</si>
  <si>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</si>
  <si>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</si>
  <si>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</si>
  <si>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</si>
  <si>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</si>
  <si>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</si>
  <si>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</si>
  <si>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</si>
  <si>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</si>
  <si>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</si>
  <si>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</si>
  <si>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</si>
  <si>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</si>
  <si>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</si>
  <si>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</si>
  <si>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</si>
  <si>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</si>
  <si>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</si>
  <si>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</si>
  <si>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</si>
  <si>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</si>
  <si>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</si>
  <si>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</si>
  <si>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</si>
  <si>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</si>
  <si>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</si>
  <si>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</si>
  <si>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</si>
  <si>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</si>
  <si>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</si>
  <si>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</si>
  <si>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</si>
  <si>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</si>
  <si>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</si>
  <si>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</si>
  <si>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</si>
  <si>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</si>
  <si>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</si>
  <si>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</si>
  <si>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</si>
  <si>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</si>
  <si>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</si>
  <si>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</si>
  <si>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</si>
  <si>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</si>
  <si>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</si>
  <si>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</si>
  <si>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</si>
  <si>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</si>
  <si>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</si>
  <si>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</si>
  <si>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</si>
  <si>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</si>
  <si>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</si>
  <si>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</si>
  <si>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</si>
  <si>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</si>
  <si>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</si>
  <si>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</si>
  <si>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</si>
  <si>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</si>
  <si>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</si>
  <si>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</si>
  <si>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</si>
  <si>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</si>
  <si>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</si>
  <si>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</si>
  <si>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</si>
  <si>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</si>
  <si>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</si>
  <si>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</si>
  <si>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</si>
  <si>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</si>
  <si>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</si>
  <si>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</si>
  <si>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</si>
  <si>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</si>
  <si>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</si>
  <si>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</si>
  <si>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</si>
  <si>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</si>
  <si>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</si>
  <si>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</si>
  <si>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</si>
  <si>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</si>
  <si>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</si>
  <si>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</si>
  <si>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</si>
  <si>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</si>
  <si>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</si>
  <si>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</si>
  <si>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</si>
  <si>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</si>
  <si>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</si>
  <si>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</si>
  <si>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</si>
  <si>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</si>
  <si>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</si>
  <si>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</si>
  <si>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</si>
  <si>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</si>
  <si>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</si>
  <si>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</si>
  <si>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</si>
  <si>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</si>
  <si>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</si>
  <si>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</si>
  <si>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Pommier non comptabilisé</t>
  </si>
  <si>
    <t>équivalence Chêne Loire</t>
  </si>
  <si>
    <t>Hollande (Sevenster &amp; Faber) 7(4/5/6/7/8)</t>
  </si>
  <si>
    <t>ONF - Chêne sessile Bassin de la Loire 2(1/2)</t>
  </si>
  <si>
    <t>ONF Pin Laricio Centre Nord-Ouest 1(1/2/3)</t>
  </si>
  <si>
    <t>ONF Pin Maritime Centre Nord-Ouest 1(1/2/3)</t>
  </si>
  <si>
    <t>CNPF Données expérimentales Peuplier Koster station Argileuse (production la plus faible)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</si>
</sst>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10.130275957229648</c:v>
                </c:pt>
                <c:pt idx="2">
                  <c:v>19.819821675730836</c:v>
                </c:pt>
                <c:pt idx="3">
                  <c:v>29.367033650396774</c:v>
                </c:pt>
                <c:pt idx="4">
                  <c:v>38.826507793621758</c:v>
                </c:pt>
                <c:pt idx="5">
                  <c:v>48.22298876267525</c:v>
                </c:pt>
                <c:pt idx="6">
                  <c:v>57.570591943182031</c:v>
                </c:pt>
                <c:pt idx="7">
                  <c:v>66.878416978475101</c:v>
                </c:pt>
                <c:pt idx="8">
                  <c:v>76.152802129389514</c:v>
                </c:pt>
                <c:pt idx="9">
                  <c:v>85.39840609826831</c:v>
                </c:pt>
                <c:pt idx="10">
                  <c:v>94.618791586182525</c:v>
                </c:pt>
                <c:pt idx="11">
                  <c:v>103.81676752119135</c:v>
                </c:pt>
                <c:pt idx="12">
                  <c:v>112.99460282427522</c:v>
                </c:pt>
                <c:pt idx="13">
                  <c:v>122.15416669900999</c:v>
                </c:pt>
                <c:pt idx="14">
                  <c:v>131.29702444337667</c:v>
                </c:pt>
                <c:pt idx="15">
                  <c:v>140.42450507033516</c:v>
                </c:pt>
                <c:pt idx="16">
                  <c:v>149.53775036599768</c:v>
                </c:pt>
                <c:pt idx="17">
                  <c:v>158.63775132646754</c:v>
                </c:pt>
                <c:pt idx="18">
                  <c:v>167.72537577394252</c:v>
                </c:pt>
                <c:pt idx="19">
                  <c:v>176.80138965996716</c:v>
                </c:pt>
                <c:pt idx="20">
                  <c:v>185.86647375584525</c:v>
                </c:pt>
                <c:pt idx="21">
                  <c:v>194.9212369101075</c:v>
                </c:pt>
                <c:pt idx="22">
                  <c:v>203.96622670919882</c:v>
                </c:pt>
                <c:pt idx="23">
                  <c:v>213.00193814506721</c:v>
                </c:pt>
                <c:pt idx="24">
                  <c:v>222.02882073281162</c:v>
                </c:pt>
                <c:pt idx="25">
                  <c:v>231.04728440862814</c:v>
                </c:pt>
                <c:pt idx="26">
                  <c:v>240.05770445752137</c:v>
                </c:pt>
                <c:pt idx="27">
                  <c:v>249.0604256615828</c:v>
                </c:pt>
                <c:pt idx="28">
                  <c:v>258.05576581643328</c:v>
                </c:pt>
                <c:pt idx="29">
                  <c:v>267.04401873120031</c:v>
                </c:pt>
                <c:pt idx="30">
                  <c:v>276.02545680307912</c:v>
                </c:pt>
                <c:pt idx="31">
                  <c:v>285.00033323897713</c:v>
                </c:pt>
                <c:pt idx="32">
                  <c:v>293.96888398244056</c:v>
                </c:pt>
                <c:pt idx="33">
                  <c:v>302.93132939295043</c:v>
                </c:pt>
                <c:pt idx="34">
                  <c:v>311.88787571594702</c:v>
                </c:pt>
                <c:pt idx="35">
                  <c:v>320.83871637505081</c:v>
                </c:pt>
                <c:pt idx="36">
                  <c:v>329.78403311245114</c:v>
                </c:pt>
                <c:pt idx="37">
                  <c:v>338.72399699902149</c:v>
                </c:pt>
                <c:pt idx="38">
                  <c:v>347.65876933216242</c:v>
                </c:pt>
                <c:pt idx="39">
                  <c:v>356.58850243647703</c:v>
                </c:pt>
                <c:pt idx="40">
                  <c:v>365.51334038001369</c:v>
                </c:pt>
                <c:pt idx="41">
                  <c:v>374.43341961686974</c:v>
                </c:pt>
                <c:pt idx="42">
                  <c:v>383.34886956533597</c:v>
                </c:pt>
                <c:pt idx="43">
                  <c:v>305.57141557212645</c:v>
                </c:pt>
                <c:pt idx="44">
                  <c:v>327.15047864759407</c:v>
                </c:pt>
                <c:pt idx="45">
                  <c:v>348.69812030254405</c:v>
                </c:pt>
                <c:pt idx="46">
                  <c:v>370.21655414709659</c:v>
                </c:pt>
                <c:pt idx="47">
                  <c:v>391.70771555176884</c:v>
                </c:pt>
                <c:pt idx="48">
                  <c:v>413.17331028259986</c:v>
                </c:pt>
                <c:pt idx="49">
                  <c:v>434.61485249884117</c:v>
                </c:pt>
                <c:pt idx="50">
                  <c:v>456.03369486022365</c:v>
                </c:pt>
                <c:pt idx="51">
                  <c:v>396.49145766657904</c:v>
                </c:pt>
                <c:pt idx="52">
                  <c:v>418.36925346045797</c:v>
                </c:pt>
                <c:pt idx="53">
                  <c:v>440.22240517289401</c:v>
                </c:pt>
                <c:pt idx="54">
                  <c:v>462.05230729027113</c:v>
                </c:pt>
                <c:pt idx="55">
                  <c:v>483.86021187606133</c:v>
                </c:pt>
                <c:pt idx="56">
                  <c:v>505.64724901064801</c:v>
                </c:pt>
                <c:pt idx="57">
                  <c:v>527.41444352590111</c:v>
                </c:pt>
                <c:pt idx="58">
                  <c:v>549.16272883435045</c:v>
                </c:pt>
                <c:pt idx="59">
                  <c:v>467.8466384020341</c:v>
                </c:pt>
                <c:pt idx="60">
                  <c:v>488.96174336071476</c:v>
                </c:pt>
                <c:pt idx="61">
                  <c:v>510.05750992682715</c:v>
                </c:pt>
                <c:pt idx="62">
                  <c:v>531.13484979828741</c:v>
                </c:pt>
                <c:pt idx="63">
                  <c:v>552.19459647274118</c:v>
                </c:pt>
                <c:pt idx="64">
                  <c:v>573.23751474202811</c:v>
                </c:pt>
                <c:pt idx="65">
                  <c:v>594.26430872077879</c:v>
                </c:pt>
                <c:pt idx="66">
                  <c:v>615.27562868032874</c:v>
                </c:pt>
                <c:pt idx="67">
                  <c:v>521.94811458900415</c:v>
                </c:pt>
                <c:pt idx="68">
                  <c:v>542.13631654969231</c:v>
                </c:pt>
                <c:pt idx="69">
                  <c:v>562.30873809416232</c:v>
                </c:pt>
                <c:pt idx="70">
                  <c:v>582.46602452726813</c:v>
                </c:pt>
                <c:pt idx="71">
                  <c:v>602.60877288678148</c:v>
                </c:pt>
                <c:pt idx="72">
                  <c:v>622.73753707895719</c:v>
                </c:pt>
                <c:pt idx="73">
                  <c:v>642.8528323160532</c:v>
                </c:pt>
                <c:pt idx="74">
                  <c:v>662.95513896998261</c:v>
                </c:pt>
                <c:pt idx="75">
                  <c:v>575.06073059075879</c:v>
                </c:pt>
                <c:pt idx="76">
                  <c:v>594.77884532476037</c:v>
                </c:pt>
                <c:pt idx="77">
                  <c:v>614.48336499705067</c:v>
                </c:pt>
                <c:pt idx="78">
                  <c:v>634.17478653419778</c:v>
                </c:pt>
                <c:pt idx="79">
                  <c:v>653.85357351565222</c:v>
                </c:pt>
                <c:pt idx="80">
                  <c:v>673.52015936813336</c:v>
                </c:pt>
                <c:pt idx="81">
                  <c:v>693.17495016782834</c:v>
                </c:pt>
                <c:pt idx="82">
                  <c:v>712.81832710852598</c:v>
                </c:pt>
                <c:pt idx="83">
                  <c:v>732.45064868379905</c:v>
                </c:pt>
                <c:pt idx="84">
                  <c:v>752.07225262328996</c:v>
                </c:pt>
                <c:pt idx="85">
                  <c:v>631.64060563587861</c:v>
                </c:pt>
                <c:pt idx="86">
                  <c:v>650.44576738688704</c:v>
                </c:pt>
                <c:pt idx="87">
                  <c:v>669.23972290198083</c:v>
                </c:pt>
                <c:pt idx="88">
                  <c:v>688.02283090100661</c:v>
                </c:pt>
                <c:pt idx="89">
                  <c:v>706.79542893948144</c:v>
                </c:pt>
                <c:pt idx="90">
                  <c:v>725.55783519762269</c:v>
                </c:pt>
                <c:pt idx="91">
                  <c:v>744.31035007488038</c:v>
                </c:pt>
                <c:pt idx="92">
                  <c:v>763.05325761557697</c:v>
                </c:pt>
                <c:pt idx="93">
                  <c:v>781.78682678733367</c:v>
                </c:pt>
                <c:pt idx="94">
                  <c:v>800.51131263071977</c:v>
                </c:pt>
                <c:pt idx="95">
                  <c:v>678.8331056338011</c:v>
                </c:pt>
                <c:pt idx="96">
                  <c:v>697.05833650025124</c:v>
                </c:pt>
                <c:pt idx="97">
                  <c:v>715.27381341806779</c:v>
                </c:pt>
                <c:pt idx="98">
                  <c:v>733.47981952866837</c:v>
                </c:pt>
                <c:pt idx="99">
                  <c:v>751.6766227854929</c:v>
                </c:pt>
                <c:pt idx="100">
                  <c:v>769.86447712410529</c:v>
                </c:pt>
                <c:pt idx="101">
                  <c:v>788.04362351608518</c:v>
                </c:pt>
                <c:pt idx="102">
                  <c:v>806.21429092071401</c:v>
                </c:pt>
                <c:pt idx="103">
                  <c:v>824.37669714650144</c:v>
                </c:pt>
                <c:pt idx="104">
                  <c:v>842.53104963292105</c:v>
                </c:pt>
                <c:pt idx="105">
                  <c:v>724.49223715203243</c:v>
                </c:pt>
                <c:pt idx="106">
                  <c:v>742.44028425940235</c:v>
                </c:pt>
                <c:pt idx="107">
                  <c:v>760.37950614348438</c:v>
                </c:pt>
                <c:pt idx="108">
                  <c:v>778.31014012697335</c:v>
                </c:pt>
                <c:pt idx="109">
                  <c:v>796.23241171762959</c:v>
                </c:pt>
                <c:pt idx="110">
                  <c:v>814.14653545456304</c:v>
                </c:pt>
                <c:pt idx="111">
                  <c:v>832.05271567624311</c:v>
                </c:pt>
                <c:pt idx="112">
                  <c:v>849.95114721903428</c:v>
                </c:pt>
                <c:pt idx="113">
                  <c:v>867.84201605389853</c:v>
                </c:pt>
                <c:pt idx="114">
                  <c:v>885.7254998679291</c:v>
                </c:pt>
                <c:pt idx="115">
                  <c:v>777.25283978511197</c:v>
                </c:pt>
                <c:pt idx="116">
                  <c:v>795.3043144701378</c:v>
                </c:pt>
                <c:pt idx="117">
                  <c:v>813.34751279857085</c:v>
                </c:pt>
                <c:pt idx="118">
                  <c:v>831.38264403086941</c:v>
                </c:pt>
                <c:pt idx="119">
                  <c:v>849.40990761859075</c:v>
                </c:pt>
                <c:pt idx="120">
                  <c:v>867.42949386680073</c:v>
                </c:pt>
                <c:pt idx="121">
                  <c:v>885.44158453864645</c:v>
                </c:pt>
                <c:pt idx="122">
                  <c:v>903.4463534082347</c:v>
                </c:pt>
                <c:pt idx="123">
                  <c:v>921.44396676720589</c:v>
                </c:pt>
                <c:pt idx="124">
                  <c:v>939.43458388971624</c:v>
                </c:pt>
                <c:pt idx="125">
                  <c:v>1.6511216830531657E-11</c:v>
                </c:pt>
                <c:pt idx="126">
                  <c:v>1.6511216830531657E-11</c:v>
                </c:pt>
                <c:pt idx="127">
                  <c:v>1.6511216830531657E-11</c:v>
                </c:pt>
                <c:pt idx="128">
                  <c:v>1.6511216830531657E-11</c:v>
                </c:pt>
                <c:pt idx="129">
                  <c:v>1.6511216830531657E-11</c:v>
                </c:pt>
                <c:pt idx="130">
                  <c:v>1.6511216830531657E-11</c:v>
                </c:pt>
                <c:pt idx="131">
                  <c:v>1.6511216830531657E-11</c:v>
                </c:pt>
                <c:pt idx="132">
                  <c:v>1.6511216830531657E-11</c:v>
                </c:pt>
                <c:pt idx="133">
                  <c:v>1.6511216830531657E-11</c:v>
                </c:pt>
                <c:pt idx="134">
                  <c:v>1.6511216830531657E-11</c:v>
                </c:pt>
                <c:pt idx="135">
                  <c:v>1.6511216830531657E-11</c:v>
                </c:pt>
                <c:pt idx="136">
                  <c:v>1.6511216830531657E-11</c:v>
                </c:pt>
                <c:pt idx="137">
                  <c:v>1.6511216830531657E-11</c:v>
                </c:pt>
                <c:pt idx="138">
                  <c:v>1.6511216830531657E-11</c:v>
                </c:pt>
                <c:pt idx="139">
                  <c:v>1.6511216830531657E-11</c:v>
                </c:pt>
                <c:pt idx="140">
                  <c:v>1.6511216830531657E-11</c:v>
                </c:pt>
                <c:pt idx="141">
                  <c:v>1.6511216830531657E-11</c:v>
                </c:pt>
                <c:pt idx="142">
                  <c:v>1.6511216830531657E-11</c:v>
                </c:pt>
                <c:pt idx="143">
                  <c:v>1.6511216830531657E-11</c:v>
                </c:pt>
                <c:pt idx="144">
                  <c:v>1.6511216830531657E-11</c:v>
                </c:pt>
                <c:pt idx="145">
                  <c:v>1.6511216830531657E-11</c:v>
                </c:pt>
                <c:pt idx="146">
                  <c:v>1.6511216830531657E-11</c:v>
                </c:pt>
                <c:pt idx="147">
                  <c:v>1.6511216830531657E-11</c:v>
                </c:pt>
                <c:pt idx="148">
                  <c:v>1.6511216830531657E-11</c:v>
                </c:pt>
                <c:pt idx="149">
                  <c:v>1.6511216830531657E-11</c:v>
                </c:pt>
                <c:pt idx="150">
                  <c:v>1.6511216830531657E-11</c:v>
                </c:pt>
                <c:pt idx="151">
                  <c:v>1.6511216830531657E-11</c:v>
                </c:pt>
                <c:pt idx="152">
                  <c:v>1.6511216830531657E-11</c:v>
                </c:pt>
                <c:pt idx="153">
                  <c:v>1.6511216830531657E-11</c:v>
                </c:pt>
                <c:pt idx="154">
                  <c:v>1.6511216830531657E-11</c:v>
                </c:pt>
                <c:pt idx="155">
                  <c:v>1.6511216830531657E-11</c:v>
                </c:pt>
                <c:pt idx="156">
                  <c:v>1.6511216830531657E-11</c:v>
                </c:pt>
                <c:pt idx="157">
                  <c:v>1.6511216830531657E-11</c:v>
                </c:pt>
                <c:pt idx="158">
                  <c:v>1.6511216830531657E-11</c:v>
                </c:pt>
                <c:pt idx="159">
                  <c:v>1.6511216830531657E-11</c:v>
                </c:pt>
                <c:pt idx="160">
                  <c:v>1.6511216830531657E-11</c:v>
                </c:pt>
                <c:pt idx="161">
                  <c:v>1.6511216830531657E-11</c:v>
                </c:pt>
                <c:pt idx="162">
                  <c:v>1.6511216830531657E-11</c:v>
                </c:pt>
                <c:pt idx="163">
                  <c:v>1.6511216830531657E-11</c:v>
                </c:pt>
                <c:pt idx="164">
                  <c:v>1.6511216830531657E-11</c:v>
                </c:pt>
                <c:pt idx="165">
                  <c:v>1.6511216830531657E-11</c:v>
                </c:pt>
                <c:pt idx="166">
                  <c:v>1.6511216830531657E-11</c:v>
                </c:pt>
                <c:pt idx="167">
                  <c:v>1.6511216830531657E-11</c:v>
                </c:pt>
                <c:pt idx="168">
                  <c:v>1.6511216830531657E-11</c:v>
                </c:pt>
                <c:pt idx="169">
                  <c:v>1.6511216830531657E-11</c:v>
                </c:pt>
                <c:pt idx="170">
                  <c:v>1.6511216830531657E-11</c:v>
                </c:pt>
                <c:pt idx="171">
                  <c:v>1.6511216830531657E-11</c:v>
                </c:pt>
                <c:pt idx="172">
                  <c:v>1.6511216830531657E-11</c:v>
                </c:pt>
                <c:pt idx="173">
                  <c:v>1.6511216830531657E-11</c:v>
                </c:pt>
                <c:pt idx="174">
                  <c:v>1.6511216830531657E-11</c:v>
                </c:pt>
                <c:pt idx="175">
                  <c:v>1.6511216830531657E-11</c:v>
                </c:pt>
                <c:pt idx="176">
                  <c:v>1.6511216830531657E-11</c:v>
                </c:pt>
                <c:pt idx="177">
                  <c:v>1.6511216830531657E-11</c:v>
                </c:pt>
                <c:pt idx="178">
                  <c:v>1.6511216830531657E-11</c:v>
                </c:pt>
                <c:pt idx="179">
                  <c:v>1.6511216830531657E-11</c:v>
                </c:pt>
                <c:pt idx="180">
                  <c:v>1.6511216830531657E-11</c:v>
                </c:pt>
                <c:pt idx="181">
                  <c:v>1.6511216830531657E-11</c:v>
                </c:pt>
                <c:pt idx="182">
                  <c:v>1.6511216830531657E-11</c:v>
                </c:pt>
                <c:pt idx="183">
                  <c:v>1.6511216830531657E-11</c:v>
                </c:pt>
                <c:pt idx="184">
                  <c:v>1.6511216830531657E-11</c:v>
                </c:pt>
                <c:pt idx="185">
                  <c:v>1.6511216830531657E-11</c:v>
                </c:pt>
                <c:pt idx="186">
                  <c:v>1.6511216830531657E-11</c:v>
                </c:pt>
                <c:pt idx="187">
                  <c:v>1.6511216830531657E-11</c:v>
                </c:pt>
                <c:pt idx="188">
                  <c:v>1.6511216830531657E-11</c:v>
                </c:pt>
                <c:pt idx="189">
                  <c:v>1.6511216830531657E-11</c:v>
                </c:pt>
                <c:pt idx="190">
                  <c:v>1.6511216830531657E-11</c:v>
                </c:pt>
                <c:pt idx="191">
                  <c:v>1.6511216830531657E-11</c:v>
                </c:pt>
                <c:pt idx="192">
                  <c:v>1.6511216830531657E-11</c:v>
                </c:pt>
                <c:pt idx="193">
                  <c:v>1.6511216830531657E-11</c:v>
                </c:pt>
                <c:pt idx="194">
                  <c:v>1.6511216830531657E-11</c:v>
                </c:pt>
                <c:pt idx="195">
                  <c:v>1.6511216830531657E-11</c:v>
                </c:pt>
                <c:pt idx="196">
                  <c:v>1.6511216830531657E-11</c:v>
                </c:pt>
                <c:pt idx="197">
                  <c:v>1.6511216830531657E-11</c:v>
                </c:pt>
                <c:pt idx="198">
                  <c:v>1.6511216830531657E-11</c:v>
                </c:pt>
                <c:pt idx="199">
                  <c:v>1.6511216830531657E-11</c:v>
                </c:pt>
                <c:pt idx="200">
                  <c:v>1.6511216830531657E-11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9.1345733897721697</c:v>
                </c:pt>
                <c:pt idx="2">
                  <c:v>17.868166431040844</c:v>
                </c:pt>
                <c:pt idx="3">
                  <c:v>26.472262947697264</c:v>
                </c:pt>
                <c:pt idx="4">
                  <c:v>34.996534793530941</c:v>
                </c:pt>
                <c:pt idx="5">
                  <c:v>43.4634948810303</c:v>
                </c:pt>
                <c:pt idx="6">
                  <c:v>51.885985515419122</c:v>
                </c:pt>
                <c:pt idx="7">
                  <c:v>60.272285634320177</c:v>
                </c:pt>
                <c:pt idx="8">
                  <c:v>68.62816184463999</c:v>
                </c:pt>
                <c:pt idx="9">
                  <c:v>76.957852675812049</c:v>
                </c:pt>
                <c:pt idx="10">
                  <c:v>85.264599505421899</c:v>
                </c:pt>
                <c:pt idx="11">
                  <c:v>93.550957921566507</c:v>
                </c:pt>
                <c:pt idx="12">
                  <c:v>101.81899220902953</c:v>
                </c:pt>
                <c:pt idx="13">
                  <c:v>110.07040298609256</c:v>
                </c:pt>
                <c:pt idx="14">
                  <c:v>118.30661437498453</c:v>
                </c:pt>
                <c:pt idx="15">
                  <c:v>126.52883552368996</c:v>
                </c:pt>
                <c:pt idx="16">
                  <c:v>134.73810523951758</c:v>
                </c:pt>
                <c:pt idx="17">
                  <c:v>142.9353251396652</c:v>
                </c:pt>
                <c:pt idx="18">
                  <c:v>151.12128477659996</c:v>
                </c:pt>
                <c:pt idx="19">
                  <c:v>159.2966810199494</c:v>
                </c:pt>
                <c:pt idx="20">
                  <c:v>167.46213324158907</c:v>
                </c:pt>
                <c:pt idx="21">
                  <c:v>175.61819537740678</c:v>
                </c:pt>
                <c:pt idx="22">
                  <c:v>183.76536562649167</c:v>
                </c:pt>
                <c:pt idx="23">
                  <c:v>191.90409433698508</c:v>
                </c:pt>
                <c:pt idx="24">
                  <c:v>200.03479048178065</c:v>
                </c:pt>
                <c:pt idx="25">
                  <c:v>208.15782702452887</c:v>
                </c:pt>
                <c:pt idx="26">
                  <c:v>216.2735454029137</c:v>
                </c:pt>
                <c:pt idx="27">
                  <c:v>224.38225930279336</c:v>
                </c:pt>
                <c:pt idx="28">
                  <c:v>232.48425785749177</c:v>
                </c:pt>
                <c:pt idx="29">
                  <c:v>240.57980837720436</c:v>
                </c:pt>
                <c:pt idx="30">
                  <c:v>248.66915869135769</c:v>
                </c:pt>
                <c:pt idx="31">
                  <c:v>256.75253916988112</c:v>
                </c:pt>
                <c:pt idx="32">
                  <c:v>264.8301644763423</c:v>
                </c:pt>
                <c:pt idx="33">
                  <c:v>272.9022350957855</c:v>
                </c:pt>
                <c:pt idx="34">
                  <c:v>280.96893867217358</c:v>
                </c:pt>
                <c:pt idx="35">
                  <c:v>289.0304511840622</c:v>
                </c:pt>
                <c:pt idx="36">
                  <c:v>297.08693798213511</c:v>
                </c:pt>
                <c:pt idx="37">
                  <c:v>305.13855470821676</c:v>
                </c:pt>
                <c:pt idx="38">
                  <c:v>313.18544811213798</c:v>
                </c:pt>
                <c:pt idx="39">
                  <c:v>321.22775678019707</c:v>
                </c:pt>
                <c:pt idx="40">
                  <c:v>329.26561178680475</c:v>
                </c:pt>
                <c:pt idx="41">
                  <c:v>337.29913727913015</c:v>
                </c:pt>
                <c:pt idx="42">
                  <c:v>345.32845100310215</c:v>
                </c:pt>
                <c:pt idx="43">
                  <c:v>275.28003133804344</c:v>
                </c:pt>
                <c:pt idx="44">
                  <c:v>294.71506550762314</c:v>
                </c:pt>
                <c:pt idx="45">
                  <c:v>314.12151218525787</c:v>
                </c:pt>
                <c:pt idx="46">
                  <c:v>333.50138533341101</c:v>
                </c:pt>
                <c:pt idx="47">
                  <c:v>352.85644576964478</c:v>
                </c:pt>
                <c:pt idx="48">
                  <c:v>372.18824541529494</c:v>
                </c:pt>
                <c:pt idx="49">
                  <c:v>391.49816186611287</c:v>
                </c:pt>
                <c:pt idx="50">
                  <c:v>410.78742578412863</c:v>
                </c:pt>
                <c:pt idx="51">
                  <c:v>357.16467817261235</c:v>
                </c:pt>
                <c:pt idx="52">
                  <c:v>376.86765017059088</c:v>
                </c:pt>
                <c:pt idx="53">
                  <c:v>396.54820076087543</c:v>
                </c:pt>
                <c:pt idx="54">
                  <c:v>416.20759865976305</c:v>
                </c:pt>
                <c:pt idx="55">
                  <c:v>435.84698300589872</c:v>
                </c:pt>
                <c:pt idx="56">
                  <c:v>455.46738195661436</c:v>
                </c:pt>
                <c:pt idx="57">
                  <c:v>475.06972791319322</c:v>
                </c:pt>
                <c:pt idx="58">
                  <c:v>494.6548701027786</c:v>
                </c:pt>
                <c:pt idx="59">
                  <c:v>421.42577622956969</c:v>
                </c:pt>
                <c:pt idx="60">
                  <c:v>440.44120348739995</c:v>
                </c:pt>
                <c:pt idx="61">
                  <c:v>459.43903650115499</c:v>
                </c:pt>
                <c:pt idx="62">
                  <c:v>478.42010474182621</c:v>
                </c:pt>
                <c:pt idx="63">
                  <c:v>497.38516653309392</c:v>
                </c:pt>
                <c:pt idx="64">
                  <c:v>516.33491768947522</c:v>
                </c:pt>
                <c:pt idx="65">
                  <c:v>535.26999882081486</c:v>
                </c:pt>
                <c:pt idx="66">
                  <c:v>554.19100154984289</c:v>
                </c:pt>
                <c:pt idx="67">
                  <c:v>470.14706756965666</c:v>
                </c:pt>
                <c:pt idx="68">
                  <c:v>488.32734241285874</c:v>
                </c:pt>
                <c:pt idx="69">
                  <c:v>506.49326009097769</c:v>
                </c:pt>
                <c:pt idx="70">
                  <c:v>524.64540770819303</c:v>
                </c:pt>
                <c:pt idx="71">
                  <c:v>542.78432845485679</c:v>
                </c:pt>
                <c:pt idx="72">
                  <c:v>560.91052627987881</c:v>
                </c:pt>
                <c:pt idx="73">
                  <c:v>579.02446992802072</c:v>
                </c:pt>
                <c:pt idx="74">
                  <c:v>597.12659644598352</c:v>
                </c:pt>
                <c:pt idx="75">
                  <c:v>517.97676869167117</c:v>
                </c:pt>
                <c:pt idx="76">
                  <c:v>535.73334829581881</c:v>
                </c:pt>
                <c:pt idx="77">
                  <c:v>553.47755899013487</c:v>
                </c:pt>
                <c:pt idx="78">
                  <c:v>571.20985288289546</c:v>
                </c:pt>
                <c:pt idx="79">
                  <c:v>588.93065174286789</c:v>
                </c:pt>
                <c:pt idx="80">
                  <c:v>606.64034990559333</c:v>
                </c:pt>
                <c:pt idx="81">
                  <c:v>624.33931682285095</c:v>
                </c:pt>
                <c:pt idx="82">
                  <c:v>642.02789930818994</c:v>
                </c:pt>
                <c:pt idx="83">
                  <c:v>659.70642352229788</c:v>
                </c:pt>
                <c:pt idx="84">
                  <c:v>677.37519673465192</c:v>
                </c:pt>
                <c:pt idx="85">
                  <c:v>568.92780793833413</c:v>
                </c:pt>
                <c:pt idx="86">
                  <c:v>585.86192170082245</c:v>
                </c:pt>
                <c:pt idx="87">
                  <c:v>602.78583992874633</c:v>
                </c:pt>
                <c:pt idx="88">
                  <c:v>619.69988898865984</c:v>
                </c:pt>
                <c:pt idx="89">
                  <c:v>636.60437599161821</c:v>
                </c:pt>
                <c:pt idx="90">
                  <c:v>653.4995904208547</c:v>
                </c:pt>
                <c:pt idx="91">
                  <c:v>670.38580558250044</c:v>
                </c:pt>
                <c:pt idx="92">
                  <c:v>687.26327990264235</c:v>
                </c:pt>
                <c:pt idx="93">
                  <c:v>704.13225809045025</c:v>
                </c:pt>
                <c:pt idx="94">
                  <c:v>720.9929721841354</c:v>
                </c:pt>
                <c:pt idx="95">
                  <c:v>611.42462215563842</c:v>
                </c:pt>
                <c:pt idx="96">
                  <c:v>627.83625949627674</c:v>
                </c:pt>
                <c:pt idx="97">
                  <c:v>644.23902260642501</c:v>
                </c:pt>
                <c:pt idx="98">
                  <c:v>660.63316909069977</c:v>
                </c:pt>
                <c:pt idx="99">
                  <c:v>677.01894273555968</c:v>
                </c:pt>
                <c:pt idx="100">
                  <c:v>693.39657457387193</c:v>
                </c:pt>
                <c:pt idx="101">
                  <c:v>709.76628384375397</c:v>
                </c:pt>
                <c:pt idx="102">
                  <c:v>726.12827885442675</c:v>
                </c:pt>
                <c:pt idx="103">
                  <c:v>742.48275777003767</c:v>
                </c:pt>
                <c:pt idx="104">
                  <c:v>758.8299093208924</c:v>
                </c:pt>
                <c:pt idx="105">
                  <c:v>652.54004075686078</c:v>
                </c:pt>
                <c:pt idx="106">
                  <c:v>668.70185771457261</c:v>
                </c:pt>
                <c:pt idx="107">
                  <c:v>684.85564540449479</c:v>
                </c:pt>
                <c:pt idx="108">
                  <c:v>701.00161974495734</c:v>
                </c:pt>
                <c:pt idx="109">
                  <c:v>717.13998590495532</c:v>
                </c:pt>
                <c:pt idx="110">
                  <c:v>733.2709390741071</c:v>
                </c:pt>
                <c:pt idx="111">
                  <c:v>749.39466516139635</c:v>
                </c:pt>
                <c:pt idx="112">
                  <c:v>765.51134143070556</c:v>
                </c:pt>
                <c:pt idx="113">
                  <c:v>781.62113708009417</c:v>
                </c:pt>
                <c:pt idx="114">
                  <c:v>797.72421377088347</c:v>
                </c:pt>
                <c:pt idx="115">
                  <c:v>700.04955608788043</c:v>
                </c:pt>
                <c:pt idx="116">
                  <c:v>716.30426933159345</c:v>
                </c:pt>
                <c:pt idx="117">
                  <c:v>732.55145267138971</c:v>
                </c:pt>
                <c:pt idx="118">
                  <c:v>748.79129649432252</c:v>
                </c:pt>
                <c:pt idx="119">
                  <c:v>765.02398226321839</c:v>
                </c:pt>
                <c:pt idx="120">
                  <c:v>781.24968311934356</c:v>
                </c:pt>
                <c:pt idx="121">
                  <c:v>797.46856443244951</c:v>
                </c:pt>
                <c:pt idx="122">
                  <c:v>813.68078430378785</c:v>
                </c:pt>
                <c:pt idx="123">
                  <c:v>829.8864940269923</c:v>
                </c:pt>
                <c:pt idx="124">
                  <c:v>846.08583851112826</c:v>
                </c:pt>
                <c:pt idx="125">
                  <c:v>1.5007657043501137E-11</c:v>
                </c:pt>
                <c:pt idx="126">
                  <c:v>1.5007657043501137E-11</c:v>
                </c:pt>
                <c:pt idx="127">
                  <c:v>1.5007657043501137E-11</c:v>
                </c:pt>
                <c:pt idx="128">
                  <c:v>1.5007657043501137E-11</c:v>
                </c:pt>
                <c:pt idx="129">
                  <c:v>1.5007657043501137E-11</c:v>
                </c:pt>
                <c:pt idx="130">
                  <c:v>1.5007657043501137E-11</c:v>
                </c:pt>
                <c:pt idx="131">
                  <c:v>1.5007657043501137E-11</c:v>
                </c:pt>
                <c:pt idx="132">
                  <c:v>1.5007657043501137E-11</c:v>
                </c:pt>
                <c:pt idx="133">
                  <c:v>1.5007657043501137E-11</c:v>
                </c:pt>
                <c:pt idx="134">
                  <c:v>1.5007657043501137E-11</c:v>
                </c:pt>
                <c:pt idx="135">
                  <c:v>1.5007657043501137E-11</c:v>
                </c:pt>
                <c:pt idx="136">
                  <c:v>1.5007657043501137E-11</c:v>
                </c:pt>
                <c:pt idx="137">
                  <c:v>1.5007657043501137E-11</c:v>
                </c:pt>
                <c:pt idx="138">
                  <c:v>1.5007657043501137E-11</c:v>
                </c:pt>
                <c:pt idx="139">
                  <c:v>1.5007657043501137E-11</c:v>
                </c:pt>
                <c:pt idx="140">
                  <c:v>1.5007657043501137E-11</c:v>
                </c:pt>
                <c:pt idx="141">
                  <c:v>1.5007657043501137E-11</c:v>
                </c:pt>
                <c:pt idx="142">
                  <c:v>1.5007657043501137E-11</c:v>
                </c:pt>
                <c:pt idx="143">
                  <c:v>1.5007657043501137E-11</c:v>
                </c:pt>
                <c:pt idx="144">
                  <c:v>1.5007657043501137E-11</c:v>
                </c:pt>
                <c:pt idx="145">
                  <c:v>1.5007657043501137E-11</c:v>
                </c:pt>
                <c:pt idx="146">
                  <c:v>1.5007657043501137E-11</c:v>
                </c:pt>
                <c:pt idx="147">
                  <c:v>1.5007657043501137E-11</c:v>
                </c:pt>
                <c:pt idx="148">
                  <c:v>1.5007657043501137E-11</c:v>
                </c:pt>
                <c:pt idx="149">
                  <c:v>1.5007657043501137E-11</c:v>
                </c:pt>
                <c:pt idx="150">
                  <c:v>1.5007657043501137E-11</c:v>
                </c:pt>
                <c:pt idx="151">
                  <c:v>1.5007657043501137E-11</c:v>
                </c:pt>
                <c:pt idx="152">
                  <c:v>1.5007657043501137E-11</c:v>
                </c:pt>
                <c:pt idx="153">
                  <c:v>1.5007657043501137E-11</c:v>
                </c:pt>
                <c:pt idx="154">
                  <c:v>1.5007657043501137E-11</c:v>
                </c:pt>
                <c:pt idx="155">
                  <c:v>1.5007657043501137E-11</c:v>
                </c:pt>
                <c:pt idx="156">
                  <c:v>1.5007657043501137E-11</c:v>
                </c:pt>
                <c:pt idx="157">
                  <c:v>1.5007657043501137E-11</c:v>
                </c:pt>
                <c:pt idx="158">
                  <c:v>1.5007657043501137E-11</c:v>
                </c:pt>
                <c:pt idx="159">
                  <c:v>1.5007657043501137E-11</c:v>
                </c:pt>
                <c:pt idx="160">
                  <c:v>1.5007657043501137E-11</c:v>
                </c:pt>
                <c:pt idx="161">
                  <c:v>1.5007657043501137E-11</c:v>
                </c:pt>
                <c:pt idx="162">
                  <c:v>1.5007657043501137E-11</c:v>
                </c:pt>
                <c:pt idx="163">
                  <c:v>1.5007657043501137E-11</c:v>
                </c:pt>
                <c:pt idx="164">
                  <c:v>1.5007657043501137E-11</c:v>
                </c:pt>
                <c:pt idx="165">
                  <c:v>1.5007657043501137E-11</c:v>
                </c:pt>
                <c:pt idx="166">
                  <c:v>1.5007657043501137E-11</c:v>
                </c:pt>
                <c:pt idx="167">
                  <c:v>1.5007657043501137E-11</c:v>
                </c:pt>
                <c:pt idx="168">
                  <c:v>1.5007657043501137E-11</c:v>
                </c:pt>
                <c:pt idx="169">
                  <c:v>1.5007657043501137E-11</c:v>
                </c:pt>
                <c:pt idx="170">
                  <c:v>1.5007657043501137E-11</c:v>
                </c:pt>
                <c:pt idx="171">
                  <c:v>1.5007657043501137E-11</c:v>
                </c:pt>
                <c:pt idx="172">
                  <c:v>1.5007657043501137E-11</c:v>
                </c:pt>
                <c:pt idx="173">
                  <c:v>1.5007657043501137E-11</c:v>
                </c:pt>
                <c:pt idx="174">
                  <c:v>1.5007657043501137E-11</c:v>
                </c:pt>
                <c:pt idx="175">
                  <c:v>1.5007657043501137E-11</c:v>
                </c:pt>
                <c:pt idx="176">
                  <c:v>1.5007657043501137E-11</c:v>
                </c:pt>
                <c:pt idx="177">
                  <c:v>1.5007657043501137E-11</c:v>
                </c:pt>
                <c:pt idx="178">
                  <c:v>1.5007657043501137E-11</c:v>
                </c:pt>
                <c:pt idx="179">
                  <c:v>1.5007657043501137E-11</c:v>
                </c:pt>
                <c:pt idx="180">
                  <c:v>1.5007657043501137E-11</c:v>
                </c:pt>
                <c:pt idx="181">
                  <c:v>1.5007657043501137E-11</c:v>
                </c:pt>
                <c:pt idx="182">
                  <c:v>1.5007657043501137E-11</c:v>
                </c:pt>
                <c:pt idx="183">
                  <c:v>1.5007657043501137E-11</c:v>
                </c:pt>
                <c:pt idx="184">
                  <c:v>1.5007657043501137E-11</c:v>
                </c:pt>
                <c:pt idx="185">
                  <c:v>1.5007657043501137E-11</c:v>
                </c:pt>
                <c:pt idx="186">
                  <c:v>1.5007657043501137E-11</c:v>
                </c:pt>
                <c:pt idx="187">
                  <c:v>1.5007657043501137E-11</c:v>
                </c:pt>
                <c:pt idx="188">
                  <c:v>1.5007657043501137E-11</c:v>
                </c:pt>
                <c:pt idx="189">
                  <c:v>1.5007657043501137E-11</c:v>
                </c:pt>
                <c:pt idx="190">
                  <c:v>1.5007657043501137E-11</c:v>
                </c:pt>
                <c:pt idx="191">
                  <c:v>1.5007657043501137E-11</c:v>
                </c:pt>
                <c:pt idx="192">
                  <c:v>1.5007657043501137E-11</c:v>
                </c:pt>
                <c:pt idx="193">
                  <c:v>1.5007657043501137E-11</c:v>
                </c:pt>
                <c:pt idx="194">
                  <c:v>1.5007657043501137E-11</c:v>
                </c:pt>
                <c:pt idx="195">
                  <c:v>1.5007657043501137E-11</c:v>
                </c:pt>
                <c:pt idx="196">
                  <c:v>1.5007657043501137E-11</c:v>
                </c:pt>
                <c:pt idx="197">
                  <c:v>1.5007657043501137E-11</c:v>
                </c:pt>
                <c:pt idx="198">
                  <c:v>1.5007657043501137E-11</c:v>
                </c:pt>
                <c:pt idx="199">
                  <c:v>1.5007657043501137E-11</c:v>
                </c:pt>
                <c:pt idx="200">
                  <c:v>1.5007657043501137E-11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6.4133292260059553</c:v>
                </c:pt>
                <c:pt idx="2">
                  <c:v>12.536457709380189</c:v>
                </c:pt>
                <c:pt idx="3">
                  <c:v>18.565865920050392</c:v>
                </c:pt>
                <c:pt idx="4">
                  <c:v>24.53750277399563</c:v>
                </c:pt>
                <c:pt idx="5">
                  <c:v>30.46766149842102</c:v>
                </c:pt>
                <c:pt idx="6">
                  <c:v>36.365636430385564</c:v>
                </c:pt>
                <c:pt idx="7">
                  <c:v>42.237419269620467</c:v>
                </c:pt>
                <c:pt idx="8">
                  <c:v>48.087183471540634</c:v>
                </c:pt>
                <c:pt idx="9">
                  <c:v>53.917996578966665</c:v>
                </c:pt>
                <c:pt idx="10">
                  <c:v>59.732204467914677</c:v>
                </c:pt>
                <c:pt idx="11">
                  <c:v>65.531656689282556</c:v>
                </c:pt>
                <c:pt idx="12">
                  <c:v>71.317847223958452</c:v>
                </c:pt>
                <c:pt idx="13">
                  <c:v>77.09200685716695</c:v>
                </c:pt>
                <c:pt idx="14">
                  <c:v>82.855166266171821</c:v>
                </c:pt>
                <c:pt idx="15">
                  <c:v>88.60820054533707</c:v>
                </c:pt>
                <c:pt idx="16">
                  <c:v>94.351861508694356</c:v>
                </c:pt>
                <c:pt idx="17">
                  <c:v>100.08680168193827</c:v>
                </c:pt>
                <c:pt idx="18">
                  <c:v>105.8135924863695</c:v>
                </c:pt>
                <c:pt idx="19">
                  <c:v>111.53273826611404</c:v>
                </c:pt>
                <c:pt idx="20">
                  <c:v>117.2446872779978</c:v>
                </c:pt>
                <c:pt idx="21">
                  <c:v>122.94984042098405</c:v>
                </c:pt>
                <c:pt idx="22">
                  <c:v>128.64855825574909</c:v>
                </c:pt>
                <c:pt idx="23">
                  <c:v>134.34116671189412</c:v>
                </c:pt>
                <c:pt idx="24">
                  <c:v>140.02796177459118</c:v>
                </c:pt>
                <c:pt idx="25">
                  <c:v>145.70921336811145</c:v>
                </c:pt>
                <c:pt idx="26">
                  <c:v>151.38516860049864</c:v>
                </c:pt>
                <c:pt idx="27">
                  <c:v>157.05605449502048</c:v>
                </c:pt>
                <c:pt idx="28">
                  <c:v>162.72208030558576</c:v>
                </c:pt>
                <c:pt idx="29">
                  <c:v>168.38343949209244</c:v>
                </c:pt>
                <c:pt idx="30">
                  <c:v>174.04031141565838</c:v>
                </c:pt>
                <c:pt idx="31">
                  <c:v>179.69286280147318</c:v>
                </c:pt>
                <c:pt idx="32">
                  <c:v>185.34124900759105</c:v>
                </c:pt>
                <c:pt idx="33">
                  <c:v>190.98561513067068</c:v>
                </c:pt>
                <c:pt idx="34">
                  <c:v>196.62609697391926</c:v>
                </c:pt>
                <c:pt idx="35">
                  <c:v>202.26282189796117</c:v>
                </c:pt>
                <c:pt idx="36">
                  <c:v>207.89590957173127</c:v>
                </c:pt>
                <c:pt idx="37">
                  <c:v>213.52547263759024</c:v>
                </c:pt>
                <c:pt idx="38">
                  <c:v>219.1516173025133</c:v>
                </c:pt>
                <c:pt idx="39">
                  <c:v>224.7744438652976</c:v>
                </c:pt>
                <c:pt idx="40">
                  <c:v>230.3940471881763</c:v>
                </c:pt>
                <c:pt idx="41">
                  <c:v>236.01051711994342</c:v>
                </c:pt>
                <c:pt idx="42">
                  <c:v>241.62393887663529</c:v>
                </c:pt>
                <c:pt idx="43">
                  <c:v>192.6482552696863</c:v>
                </c:pt>
                <c:pt idx="44">
                  <c:v>206.23751123795182</c:v>
                </c:pt>
                <c:pt idx="45">
                  <c:v>219.8060776352111</c:v>
                </c:pt>
                <c:pt idx="46">
                  <c:v>233.35541202267584</c:v>
                </c:pt>
                <c:pt idx="47">
                  <c:v>246.8867887534808</c:v>
                </c:pt>
                <c:pt idx="48">
                  <c:v>260.40133099669362</c:v>
                </c:pt>
                <c:pt idx="49">
                  <c:v>273.9000357570593</c:v>
                </c:pt>
                <c:pt idx="50">
                  <c:v>287.38379369926105</c:v>
                </c:pt>
                <c:pt idx="51">
                  <c:v>249.89865132482677</c:v>
                </c:pt>
                <c:pt idx="52">
                  <c:v>263.67254332348824</c:v>
                </c:pt>
                <c:pt idx="53">
                  <c:v>277.43020831953498</c:v>
                </c:pt>
                <c:pt idx="54">
                  <c:v>291.17256451859203</c:v>
                </c:pt>
                <c:pt idx="55">
                  <c:v>304.9004363472979</c:v>
                </c:pt>
                <c:pt idx="56">
                  <c:v>318.61456791199669</c:v>
                </c:pt>
                <c:pt idx="57">
                  <c:v>332.31563401769057</c:v>
                </c:pt>
                <c:pt idx="58">
                  <c:v>346.00424927391936</c:v>
                </c:pt>
                <c:pt idx="59">
                  <c:v>294.82010245534542</c:v>
                </c:pt>
                <c:pt idx="60">
                  <c:v>308.11171423569823</c:v>
                </c:pt>
                <c:pt idx="61">
                  <c:v>321.39059256735288</c:v>
                </c:pt>
                <c:pt idx="62">
                  <c:v>334.65733776176751</c:v>
                </c:pt>
                <c:pt idx="63">
                  <c:v>347.91249863909246</c:v>
                </c:pt>
                <c:pt idx="64">
                  <c:v>361.15657877984057</c:v>
                </c:pt>
                <c:pt idx="65">
                  <c:v>374.39004181135289</c:v>
                </c:pt>
                <c:pt idx="66">
                  <c:v>387.61331590761893</c:v>
                </c:pt>
                <c:pt idx="67">
                  <c:v>328.87497984775797</c:v>
                </c:pt>
                <c:pt idx="68">
                  <c:v>341.58180489739397</c:v>
                </c:pt>
                <c:pt idx="69">
                  <c:v>354.27823926333485</c:v>
                </c:pt>
                <c:pt idx="70">
                  <c:v>366.96470784936855</c:v>
                </c:pt>
                <c:pt idx="71">
                  <c:v>379.64160377761226</c:v>
                </c:pt>
                <c:pt idx="72">
                  <c:v>392.30929177004873</c:v>
                </c:pt>
                <c:pt idx="73">
                  <c:v>404.96811107043033</c:v>
                </c:pt>
                <c:pt idx="74">
                  <c:v>417.61837798173246</c:v>
                </c:pt>
                <c:pt idx="75">
                  <c:v>362.3040596591477</c:v>
                </c:pt>
                <c:pt idx="76">
                  <c:v>374.71386582744088</c:v>
                </c:pt>
                <c:pt idx="77">
                  <c:v>387.11472026821906</c:v>
                </c:pt>
                <c:pt idx="78">
                  <c:v>399.5069501849423</c:v>
                </c:pt>
                <c:pt idx="79">
                  <c:v>411.89086082351611</c:v>
                </c:pt>
                <c:pt idx="80">
                  <c:v>424.2667375756493</c:v>
                </c:pt>
                <c:pt idx="81">
                  <c:v>436.6348478239729</c:v>
                </c:pt>
                <c:pt idx="82">
                  <c:v>448.9954425671956</c:v>
                </c:pt>
                <c:pt idx="83">
                  <c:v>461.3487578569696</c:v>
                </c:pt>
                <c:pt idx="84">
                  <c:v>473.69501607284701</c:v>
                </c:pt>
                <c:pt idx="85">
                  <c:v>397.91215722502608</c:v>
                </c:pt>
                <c:pt idx="86">
                  <c:v>409.74634558212347</c:v>
                </c:pt>
                <c:pt idx="87">
                  <c:v>421.5731551444415</c:v>
                </c:pt>
                <c:pt idx="88">
                  <c:v>433.39282211262383</c:v>
                </c:pt>
                <c:pt idx="89">
                  <c:v>445.20556875156836</c:v>
                </c:pt>
                <c:pt idx="90">
                  <c:v>457.01160456842371</c:v>
                </c:pt>
                <c:pt idx="91">
                  <c:v>468.81112736251407</c:v>
                </c:pt>
                <c:pt idx="92">
                  <c:v>480.60432416405894</c:v>
                </c:pt>
                <c:pt idx="93">
                  <c:v>492.39137207595832</c:v>
                </c:pt>
                <c:pt idx="94">
                  <c:v>504.17243903078469</c:v>
                </c:pt>
                <c:pt idx="95">
                  <c:v>427.61003253531982</c:v>
                </c:pt>
                <c:pt idx="96">
                  <c:v>439.07849472499817</c:v>
                </c:pt>
                <c:pt idx="97">
                  <c:v>450.54053438477428</c:v>
                </c:pt>
                <c:pt idx="98">
                  <c:v>461.99633795034606</c:v>
                </c:pt>
                <c:pt idx="99">
                  <c:v>473.44608185682137</c:v>
                </c:pt>
                <c:pt idx="100">
                  <c:v>484.88993330917737</c:v>
                </c:pt>
                <c:pt idx="101">
                  <c:v>496.32805097619757</c:v>
                </c:pt>
                <c:pt idx="102">
                  <c:v>507.7605856171179</c:v>
                </c:pt>
                <c:pt idx="103">
                  <c:v>519.18768064889844</c:v>
                </c:pt>
                <c:pt idx="104">
                  <c:v>530.60947266096275</c:v>
                </c:pt>
                <c:pt idx="105">
                  <c:v>456.34109665225498</c:v>
                </c:pt>
                <c:pt idx="106">
                  <c:v>467.63445077189402</c:v>
                </c:pt>
                <c:pt idx="107">
                  <c:v>478.92199388487393</c:v>
                </c:pt>
                <c:pt idx="108">
                  <c:v>490.20388225735604</c:v>
                </c:pt>
                <c:pt idx="109">
                  <c:v>501.48026437590511</c:v>
                </c:pt>
                <c:pt idx="110">
                  <c:v>512.75128150473165</c:v>
                </c:pt>
                <c:pt idx="111">
                  <c:v>524.01706819138963</c:v>
                </c:pt>
                <c:pt idx="112">
                  <c:v>535.27775272673057</c:v>
                </c:pt>
                <c:pt idx="113">
                  <c:v>546.5334575641433</c:v>
                </c:pt>
                <c:pt idx="114">
                  <c:v>557.78429970246725</c:v>
                </c:pt>
                <c:pt idx="115">
                  <c:v>489.53863965793022</c:v>
                </c:pt>
                <c:pt idx="116">
                  <c:v>500.89632761094487</c:v>
                </c:pt>
                <c:pt idx="117">
                  <c:v>512.24856596096311</c:v>
                </c:pt>
                <c:pt idx="118">
                  <c:v>523.59549249644408</c:v>
                </c:pt>
                <c:pt idx="119">
                  <c:v>534.93723854713335</c:v>
                </c:pt>
                <c:pt idx="120">
                  <c:v>546.27392942022868</c:v>
                </c:pt>
                <c:pt idx="121">
                  <c:v>557.60568479846518</c:v>
                </c:pt>
                <c:pt idx="122">
                  <c:v>568.93261910415981</c:v>
                </c:pt>
                <c:pt idx="123">
                  <c:v>580.25484183276569</c:v>
                </c:pt>
                <c:pt idx="124">
                  <c:v>591.57245785904422</c:v>
                </c:pt>
                <c:pt idx="125">
                  <c:v>1.0826784703886818E-11</c:v>
                </c:pt>
                <c:pt idx="126">
                  <c:v>1.0826784703886818E-11</c:v>
                </c:pt>
                <c:pt idx="127">
                  <c:v>1.0826784703886818E-11</c:v>
                </c:pt>
                <c:pt idx="128">
                  <c:v>1.0826784703886818E-11</c:v>
                </c:pt>
                <c:pt idx="129">
                  <c:v>1.0826784703886818E-11</c:v>
                </c:pt>
                <c:pt idx="130">
                  <c:v>1.0826784703886818E-11</c:v>
                </c:pt>
                <c:pt idx="131">
                  <c:v>1.0826784703886818E-11</c:v>
                </c:pt>
                <c:pt idx="132">
                  <c:v>1.0826784703886818E-11</c:v>
                </c:pt>
                <c:pt idx="133">
                  <c:v>1.0826784703886818E-11</c:v>
                </c:pt>
                <c:pt idx="134">
                  <c:v>1.0826784703886818E-11</c:v>
                </c:pt>
                <c:pt idx="135">
                  <c:v>1.0826784703886818E-11</c:v>
                </c:pt>
                <c:pt idx="136">
                  <c:v>1.0826784703886818E-11</c:v>
                </c:pt>
                <c:pt idx="137">
                  <c:v>1.0826784703886818E-11</c:v>
                </c:pt>
                <c:pt idx="138">
                  <c:v>1.0826784703886818E-11</c:v>
                </c:pt>
                <c:pt idx="139">
                  <c:v>1.0826784703886818E-11</c:v>
                </c:pt>
                <c:pt idx="140">
                  <c:v>1.0826784703886818E-11</c:v>
                </c:pt>
                <c:pt idx="141">
                  <c:v>1.0826784703886818E-11</c:v>
                </c:pt>
                <c:pt idx="142">
                  <c:v>1.0826784703886818E-11</c:v>
                </c:pt>
                <c:pt idx="143">
                  <c:v>1.0826784703886818E-11</c:v>
                </c:pt>
                <c:pt idx="144">
                  <c:v>1.0826784703886818E-11</c:v>
                </c:pt>
                <c:pt idx="145">
                  <c:v>1.0826784703886818E-11</c:v>
                </c:pt>
                <c:pt idx="146">
                  <c:v>1.0826784703886818E-11</c:v>
                </c:pt>
                <c:pt idx="147">
                  <c:v>1.0826784703886818E-11</c:v>
                </c:pt>
                <c:pt idx="148">
                  <c:v>1.0826784703886818E-11</c:v>
                </c:pt>
                <c:pt idx="149">
                  <c:v>1.0826784703886818E-11</c:v>
                </c:pt>
                <c:pt idx="150">
                  <c:v>1.0826784703886818E-11</c:v>
                </c:pt>
                <c:pt idx="151">
                  <c:v>1.0826784703886818E-11</c:v>
                </c:pt>
                <c:pt idx="152">
                  <c:v>1.0826784703886818E-11</c:v>
                </c:pt>
                <c:pt idx="153">
                  <c:v>1.0826784703886818E-11</c:v>
                </c:pt>
                <c:pt idx="154">
                  <c:v>1.0826784703886818E-11</c:v>
                </c:pt>
                <c:pt idx="155">
                  <c:v>1.0826784703886818E-11</c:v>
                </c:pt>
                <c:pt idx="156">
                  <c:v>1.0826784703886818E-11</c:v>
                </c:pt>
                <c:pt idx="157">
                  <c:v>1.0826784703886818E-11</c:v>
                </c:pt>
                <c:pt idx="158">
                  <c:v>1.0826784703886818E-11</c:v>
                </c:pt>
                <c:pt idx="159">
                  <c:v>1.0826784703886818E-11</c:v>
                </c:pt>
                <c:pt idx="160">
                  <c:v>1.0826784703886818E-11</c:v>
                </c:pt>
                <c:pt idx="161">
                  <c:v>1.0826784703886818E-11</c:v>
                </c:pt>
                <c:pt idx="162">
                  <c:v>1.0826784703886818E-11</c:v>
                </c:pt>
                <c:pt idx="163">
                  <c:v>1.0826784703886818E-11</c:v>
                </c:pt>
                <c:pt idx="164">
                  <c:v>1.0826784703886818E-11</c:v>
                </c:pt>
                <c:pt idx="165">
                  <c:v>1.0826784703886818E-11</c:v>
                </c:pt>
                <c:pt idx="166">
                  <c:v>1.0826784703886818E-11</c:v>
                </c:pt>
                <c:pt idx="167">
                  <c:v>1.0826784703886818E-11</c:v>
                </c:pt>
                <c:pt idx="168">
                  <c:v>1.0826784703886818E-11</c:v>
                </c:pt>
                <c:pt idx="169">
                  <c:v>1.0826784703886818E-11</c:v>
                </c:pt>
                <c:pt idx="170">
                  <c:v>1.0826784703886818E-11</c:v>
                </c:pt>
                <c:pt idx="171">
                  <c:v>1.0826784703886818E-11</c:v>
                </c:pt>
                <c:pt idx="172">
                  <c:v>1.0826784703886818E-11</c:v>
                </c:pt>
                <c:pt idx="173">
                  <c:v>1.0826784703886818E-11</c:v>
                </c:pt>
                <c:pt idx="174">
                  <c:v>1.0826784703886818E-11</c:v>
                </c:pt>
                <c:pt idx="175">
                  <c:v>1.0826784703886818E-11</c:v>
                </c:pt>
                <c:pt idx="176">
                  <c:v>1.0826784703886818E-11</c:v>
                </c:pt>
                <c:pt idx="177">
                  <c:v>1.0826784703886818E-11</c:v>
                </c:pt>
                <c:pt idx="178">
                  <c:v>1.0826784703886818E-11</c:v>
                </c:pt>
                <c:pt idx="179">
                  <c:v>1.0826784703886818E-11</c:v>
                </c:pt>
                <c:pt idx="180">
                  <c:v>1.0826784703886818E-11</c:v>
                </c:pt>
                <c:pt idx="181">
                  <c:v>1.0826784703886818E-11</c:v>
                </c:pt>
                <c:pt idx="182">
                  <c:v>1.0826784703886818E-11</c:v>
                </c:pt>
                <c:pt idx="183">
                  <c:v>1.0826784703886818E-11</c:v>
                </c:pt>
                <c:pt idx="184">
                  <c:v>1.0826784703886818E-11</c:v>
                </c:pt>
                <c:pt idx="185">
                  <c:v>1.0826784703886818E-11</c:v>
                </c:pt>
                <c:pt idx="186">
                  <c:v>1.0826784703886818E-11</c:v>
                </c:pt>
                <c:pt idx="187">
                  <c:v>1.0826784703886818E-11</c:v>
                </c:pt>
                <c:pt idx="188">
                  <c:v>1.0826784703886818E-11</c:v>
                </c:pt>
                <c:pt idx="189">
                  <c:v>1.0826784703886818E-11</c:v>
                </c:pt>
                <c:pt idx="190">
                  <c:v>1.0826784703886818E-11</c:v>
                </c:pt>
                <c:pt idx="191">
                  <c:v>1.0826784703886818E-11</c:v>
                </c:pt>
                <c:pt idx="192">
                  <c:v>1.0826784703886818E-11</c:v>
                </c:pt>
                <c:pt idx="193">
                  <c:v>1.0826784703886818E-11</c:v>
                </c:pt>
                <c:pt idx="194">
                  <c:v>1.0826784703886818E-11</c:v>
                </c:pt>
                <c:pt idx="195">
                  <c:v>1.0826784703886818E-11</c:v>
                </c:pt>
                <c:pt idx="196">
                  <c:v>1.0826784703886818E-11</c:v>
                </c:pt>
                <c:pt idx="197">
                  <c:v>1.0826784703886818E-11</c:v>
                </c:pt>
                <c:pt idx="198">
                  <c:v>1.0826784703886818E-11</c:v>
                </c:pt>
                <c:pt idx="199">
                  <c:v>1.0826784703886818E-11</c:v>
                </c:pt>
                <c:pt idx="200">
                  <c:v>1.0826784703886818E-11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25.853796438624396</c:v>
                </c:pt>
                <c:pt idx="12">
                  <c:v>35.954302112242566</c:v>
                </c:pt>
                <c:pt idx="13">
                  <c:v>45.976451369424893</c:v>
                </c:pt>
                <c:pt idx="14">
                  <c:v>55.939937888059376</c:v>
                </c:pt>
                <c:pt idx="15">
                  <c:v>65.856755599682032</c:v>
                </c:pt>
                <c:pt idx="16">
                  <c:v>77.474616883044959</c:v>
                </c:pt>
                <c:pt idx="17">
                  <c:v>94.820374611380615</c:v>
                </c:pt>
                <c:pt idx="18">
                  <c:v>112.08679847851977</c:v>
                </c:pt>
                <c:pt idx="19">
                  <c:v>129.28787235572034</c:v>
                </c:pt>
                <c:pt idx="20">
                  <c:v>146.43353271796309</c:v>
                </c:pt>
                <c:pt idx="21">
                  <c:v>145.8628199290761</c:v>
                </c:pt>
                <c:pt idx="22">
                  <c:v>159.54570617746938</c:v>
                </c:pt>
                <c:pt idx="23">
                  <c:v>173.2007820387752</c:v>
                </c:pt>
                <c:pt idx="24">
                  <c:v>186.83055031316962</c:v>
                </c:pt>
                <c:pt idx="25">
                  <c:v>200.43711831314485</c:v>
                </c:pt>
                <c:pt idx="26">
                  <c:v>183.14152750501788</c:v>
                </c:pt>
                <c:pt idx="27">
                  <c:v>195.62066023538262</c:v>
                </c:pt>
                <c:pt idx="28">
                  <c:v>208.08130286734149</c:v>
                </c:pt>
                <c:pt idx="29">
                  <c:v>220.52471927666468</c:v>
                </c:pt>
                <c:pt idx="30">
                  <c:v>232.95201893246738</c:v>
                </c:pt>
                <c:pt idx="31">
                  <c:v>212.60811330323997</c:v>
                </c:pt>
                <c:pt idx="32">
                  <c:v>224.76305761819128</c:v>
                </c:pt>
                <c:pt idx="33">
                  <c:v>236.90294203691141</c:v>
                </c:pt>
                <c:pt idx="34">
                  <c:v>249.0286474244198</c:v>
                </c:pt>
                <c:pt idx="35">
                  <c:v>261.14096179913935</c:v>
                </c:pt>
                <c:pt idx="36">
                  <c:v>236.90294203691141</c:v>
                </c:pt>
                <c:pt idx="37">
                  <c:v>247.90125122366706</c:v>
                </c:pt>
                <c:pt idx="38">
                  <c:v>258.88848844639881</c:v>
                </c:pt>
                <c:pt idx="39">
                  <c:v>269.8651901159887</c:v>
                </c:pt>
                <c:pt idx="40">
                  <c:v>280.83184541341706</c:v>
                </c:pt>
                <c:pt idx="41">
                  <c:v>256.07227305218686</c:v>
                </c:pt>
                <c:pt idx="42">
                  <c:v>266.48883532607005</c:v>
                </c:pt>
                <c:pt idx="43">
                  <c:v>276.89622424264081</c:v>
                </c:pt>
                <c:pt idx="44">
                  <c:v>287.29483341742718</c:v>
                </c:pt>
                <c:pt idx="45">
                  <c:v>297.68502562639242</c:v>
                </c:pt>
                <c:pt idx="46">
                  <c:v>271.83429043682332</c:v>
                </c:pt>
                <c:pt idx="47">
                  <c:v>281.11291365958601</c:v>
                </c:pt>
                <c:pt idx="48">
                  <c:v>290.3846730326959</c:v>
                </c:pt>
                <c:pt idx="49">
                  <c:v>299.64981878720488</c:v>
                </c:pt>
                <c:pt idx="50">
                  <c:v>308.90858440452939</c:v>
                </c:pt>
                <c:pt idx="51">
                  <c:v>284.20425004649206</c:v>
                </c:pt>
                <c:pt idx="52">
                  <c:v>293.19298034625791</c:v>
                </c:pt>
                <c:pt idx="53">
                  <c:v>302.1755599747317</c:v>
                </c:pt>
                <c:pt idx="54">
                  <c:v>311.15219769628237</c:v>
                </c:pt>
                <c:pt idx="55">
                  <c:v>320.12308923699328</c:v>
                </c:pt>
                <c:pt idx="56">
                  <c:v>296.00068711359518</c:v>
                </c:pt>
                <c:pt idx="57">
                  <c:v>304.13970022013888</c:v>
                </c:pt>
                <c:pt idx="58">
                  <c:v>312.27386950303764</c:v>
                </c:pt>
                <c:pt idx="59">
                  <c:v>320.40333904330799</c:v>
                </c:pt>
                <c:pt idx="60">
                  <c:v>328.52824500736261</c:v>
                </c:pt>
                <c:pt idx="61">
                  <c:v>304.98138810771292</c:v>
                </c:pt>
                <c:pt idx="62">
                  <c:v>312.27386950303764</c:v>
                </c:pt>
                <c:pt idx="63">
                  <c:v>319.56257332567844</c:v>
                </c:pt>
                <c:pt idx="64">
                  <c:v>326.84759797683068</c:v>
                </c:pt>
                <c:pt idx="65">
                  <c:v>334.12903710888457</c:v>
                </c:pt>
                <c:pt idx="66">
                  <c:v>312.83467185841943</c:v>
                </c:pt>
                <c:pt idx="67">
                  <c:v>319.56257332567844</c:v>
                </c:pt>
                <c:pt idx="68">
                  <c:v>326.28733992743042</c:v>
                </c:pt>
                <c:pt idx="69">
                  <c:v>333.0090454577047</c:v>
                </c:pt>
                <c:pt idx="70">
                  <c:v>339.72776048524355</c:v>
                </c:pt>
                <c:pt idx="71">
                  <c:v>319.56257332567844</c:v>
                </c:pt>
                <c:pt idx="72">
                  <c:v>326.00720293449439</c:v>
                </c:pt>
                <c:pt idx="73">
                  <c:v>332.44901850357923</c:v>
                </c:pt>
                <c:pt idx="74">
                  <c:v>338.88808231320309</c:v>
                </c:pt>
                <c:pt idx="75">
                  <c:v>345.32445408122311</c:v>
                </c:pt>
                <c:pt idx="76">
                  <c:v>326.00720293449439</c:v>
                </c:pt>
                <c:pt idx="77">
                  <c:v>331.88897074380026</c:v>
                </c:pt>
                <c:pt idx="78">
                  <c:v>337.76844015494419</c:v>
                </c:pt>
                <c:pt idx="79">
                  <c:v>343.6456568677965</c:v>
                </c:pt>
                <c:pt idx="80">
                  <c:v>349.52066488969604</c:v>
                </c:pt>
                <c:pt idx="81">
                  <c:v>332.44901850357911</c:v>
                </c:pt>
                <c:pt idx="82">
                  <c:v>337.76844015494419</c:v>
                </c:pt>
                <c:pt idx="83">
                  <c:v>343.08601778170447</c:v>
                </c:pt>
                <c:pt idx="84">
                  <c:v>348.40178403373966</c:v>
                </c:pt>
                <c:pt idx="85">
                  <c:v>353.71577048208877</c:v>
                </c:pt>
                <c:pt idx="86">
                  <c:v>337.76844015494424</c:v>
                </c:pt>
                <c:pt idx="87">
                  <c:v>342.80619071488081</c:v>
                </c:pt>
                <c:pt idx="88">
                  <c:v>347.84231404401629</c:v>
                </c:pt>
                <c:pt idx="89">
                  <c:v>352.87683705646708</c:v>
                </c:pt>
                <c:pt idx="90">
                  <c:v>357.90978583474595</c:v>
                </c:pt>
                <c:pt idx="91">
                  <c:v>1.6615082531095774E-12</c:v>
                </c:pt>
                <c:pt idx="92">
                  <c:v>1.6615082531095774E-12</c:v>
                </c:pt>
                <c:pt idx="93">
                  <c:v>1.6615082531095774E-12</c:v>
                </c:pt>
                <c:pt idx="94">
                  <c:v>1.6615082531095774E-12</c:v>
                </c:pt>
                <c:pt idx="95">
                  <c:v>1.6615082531095774E-12</c:v>
                </c:pt>
                <c:pt idx="96">
                  <c:v>1.6615082531095774E-12</c:v>
                </c:pt>
                <c:pt idx="97">
                  <c:v>1.6615082531095774E-12</c:v>
                </c:pt>
                <c:pt idx="98">
                  <c:v>1.6615082531095774E-12</c:v>
                </c:pt>
                <c:pt idx="99">
                  <c:v>1.6615082531095774E-12</c:v>
                </c:pt>
                <c:pt idx="100">
                  <c:v>1.6615082531095774E-12</c:v>
                </c:pt>
                <c:pt idx="101">
                  <c:v>1.6615082531095774E-12</c:v>
                </c:pt>
                <c:pt idx="102">
                  <c:v>1.6615082531095774E-12</c:v>
                </c:pt>
                <c:pt idx="103">
                  <c:v>1.6615082531095774E-12</c:v>
                </c:pt>
                <c:pt idx="104">
                  <c:v>1.6615082531095774E-12</c:v>
                </c:pt>
                <c:pt idx="105">
                  <c:v>1.6615082531095774E-12</c:v>
                </c:pt>
                <c:pt idx="106">
                  <c:v>1.6615082531095774E-12</c:v>
                </c:pt>
                <c:pt idx="107">
                  <c:v>1.6615082531095774E-12</c:v>
                </c:pt>
                <c:pt idx="108">
                  <c:v>1.6615082531095774E-12</c:v>
                </c:pt>
                <c:pt idx="109">
                  <c:v>1.6615082531095774E-12</c:v>
                </c:pt>
                <c:pt idx="110">
                  <c:v>1.6615082531095774E-12</c:v>
                </c:pt>
                <c:pt idx="111">
                  <c:v>1.6615082531095774E-12</c:v>
                </c:pt>
                <c:pt idx="112">
                  <c:v>1.6615082531095774E-12</c:v>
                </c:pt>
                <c:pt idx="113">
                  <c:v>1.6615082531095774E-12</c:v>
                </c:pt>
                <c:pt idx="114">
                  <c:v>1.6615082531095774E-12</c:v>
                </c:pt>
                <c:pt idx="115">
                  <c:v>1.6615082531095774E-12</c:v>
                </c:pt>
                <c:pt idx="116">
                  <c:v>1.6615082531095774E-12</c:v>
                </c:pt>
                <c:pt idx="117">
                  <c:v>1.6615082531095774E-12</c:v>
                </c:pt>
                <c:pt idx="118">
                  <c:v>1.6615082531095774E-12</c:v>
                </c:pt>
                <c:pt idx="119">
                  <c:v>1.6615082531095774E-12</c:v>
                </c:pt>
                <c:pt idx="120">
                  <c:v>1.6615082531095774E-12</c:v>
                </c:pt>
                <c:pt idx="121">
                  <c:v>1.6615082531095774E-12</c:v>
                </c:pt>
                <c:pt idx="122">
                  <c:v>1.6615082531095774E-12</c:v>
                </c:pt>
                <c:pt idx="123">
                  <c:v>1.6615082531095774E-12</c:v>
                </c:pt>
                <c:pt idx="124">
                  <c:v>1.6615082531095774E-12</c:v>
                </c:pt>
                <c:pt idx="125">
                  <c:v>1.6615082531095774E-12</c:v>
                </c:pt>
                <c:pt idx="126">
                  <c:v>1.6615082531095774E-12</c:v>
                </c:pt>
                <c:pt idx="127">
                  <c:v>1.6615082531095774E-12</c:v>
                </c:pt>
                <c:pt idx="128">
                  <c:v>1.6615082531095774E-12</c:v>
                </c:pt>
                <c:pt idx="129">
                  <c:v>1.6615082531095774E-12</c:v>
                </c:pt>
                <c:pt idx="130">
                  <c:v>1.6615082531095774E-12</c:v>
                </c:pt>
                <c:pt idx="131">
                  <c:v>1.6615082531095774E-12</c:v>
                </c:pt>
                <c:pt idx="132">
                  <c:v>1.6615082531095774E-12</c:v>
                </c:pt>
                <c:pt idx="133">
                  <c:v>1.6615082531095774E-12</c:v>
                </c:pt>
                <c:pt idx="134">
                  <c:v>1.6615082531095774E-12</c:v>
                </c:pt>
                <c:pt idx="135">
                  <c:v>1.6615082531095774E-12</c:v>
                </c:pt>
                <c:pt idx="136">
                  <c:v>1.6615082531095774E-12</c:v>
                </c:pt>
                <c:pt idx="137">
                  <c:v>1.6615082531095774E-12</c:v>
                </c:pt>
                <c:pt idx="138">
                  <c:v>1.6615082531095774E-12</c:v>
                </c:pt>
                <c:pt idx="139">
                  <c:v>1.6615082531095774E-12</c:v>
                </c:pt>
                <c:pt idx="140">
                  <c:v>1.6615082531095774E-12</c:v>
                </c:pt>
                <c:pt idx="141">
                  <c:v>1.6615082531095774E-12</c:v>
                </c:pt>
                <c:pt idx="142">
                  <c:v>1.6615082531095774E-12</c:v>
                </c:pt>
                <c:pt idx="143">
                  <c:v>1.6615082531095774E-12</c:v>
                </c:pt>
                <c:pt idx="144">
                  <c:v>1.6615082531095774E-12</c:v>
                </c:pt>
                <c:pt idx="145">
                  <c:v>1.6615082531095774E-12</c:v>
                </c:pt>
                <c:pt idx="146">
                  <c:v>1.6615082531095774E-12</c:v>
                </c:pt>
                <c:pt idx="147">
                  <c:v>1.6615082531095774E-12</c:v>
                </c:pt>
                <c:pt idx="148">
                  <c:v>1.6615082531095774E-12</c:v>
                </c:pt>
                <c:pt idx="149">
                  <c:v>1.6615082531095774E-12</c:v>
                </c:pt>
                <c:pt idx="150">
                  <c:v>1.6615082531095774E-12</c:v>
                </c:pt>
                <c:pt idx="151">
                  <c:v>1.6615082531095774E-12</c:v>
                </c:pt>
                <c:pt idx="152">
                  <c:v>1.6615082531095774E-12</c:v>
                </c:pt>
                <c:pt idx="153">
                  <c:v>1.6615082531095774E-12</c:v>
                </c:pt>
                <c:pt idx="154">
                  <c:v>1.6615082531095774E-12</c:v>
                </c:pt>
                <c:pt idx="155">
                  <c:v>1.6615082531095774E-12</c:v>
                </c:pt>
                <c:pt idx="156">
                  <c:v>1.6615082531095774E-12</c:v>
                </c:pt>
                <c:pt idx="157">
                  <c:v>1.6615082531095774E-12</c:v>
                </c:pt>
                <c:pt idx="158">
                  <c:v>1.6615082531095774E-12</c:v>
                </c:pt>
                <c:pt idx="159">
                  <c:v>1.6615082531095774E-12</c:v>
                </c:pt>
                <c:pt idx="160">
                  <c:v>1.6615082531095774E-12</c:v>
                </c:pt>
                <c:pt idx="161">
                  <c:v>1.6615082531095774E-12</c:v>
                </c:pt>
                <c:pt idx="162">
                  <c:v>1.6615082531095774E-12</c:v>
                </c:pt>
                <c:pt idx="163">
                  <c:v>1.6615082531095774E-12</c:v>
                </c:pt>
                <c:pt idx="164">
                  <c:v>1.6615082531095774E-12</c:v>
                </c:pt>
                <c:pt idx="165">
                  <c:v>1.6615082531095774E-12</c:v>
                </c:pt>
                <c:pt idx="166">
                  <c:v>1.6615082531095774E-12</c:v>
                </c:pt>
                <c:pt idx="167">
                  <c:v>1.6615082531095774E-12</c:v>
                </c:pt>
                <c:pt idx="168">
                  <c:v>1.6615082531095774E-12</c:v>
                </c:pt>
                <c:pt idx="169">
                  <c:v>1.6615082531095774E-12</c:v>
                </c:pt>
                <c:pt idx="170">
                  <c:v>1.6615082531095774E-12</c:v>
                </c:pt>
                <c:pt idx="171">
                  <c:v>1.6615082531095774E-12</c:v>
                </c:pt>
                <c:pt idx="172">
                  <c:v>1.6615082531095774E-12</c:v>
                </c:pt>
                <c:pt idx="173">
                  <c:v>1.6615082531095774E-12</c:v>
                </c:pt>
                <c:pt idx="174">
                  <c:v>1.6615082531095774E-12</c:v>
                </c:pt>
                <c:pt idx="175">
                  <c:v>1.6615082531095774E-12</c:v>
                </c:pt>
                <c:pt idx="176">
                  <c:v>1.6615082531095774E-12</c:v>
                </c:pt>
                <c:pt idx="177">
                  <c:v>1.6615082531095774E-12</c:v>
                </c:pt>
                <c:pt idx="178">
                  <c:v>1.6615082531095774E-12</c:v>
                </c:pt>
                <c:pt idx="179">
                  <c:v>1.6615082531095774E-12</c:v>
                </c:pt>
                <c:pt idx="180">
                  <c:v>1.6615082531095774E-12</c:v>
                </c:pt>
                <c:pt idx="181">
                  <c:v>1.6615082531095774E-12</c:v>
                </c:pt>
                <c:pt idx="182">
                  <c:v>1.6615082531095774E-12</c:v>
                </c:pt>
                <c:pt idx="183">
                  <c:v>1.6615082531095774E-12</c:v>
                </c:pt>
                <c:pt idx="184">
                  <c:v>1.6615082531095774E-12</c:v>
                </c:pt>
                <c:pt idx="185">
                  <c:v>1.6615082531095774E-12</c:v>
                </c:pt>
                <c:pt idx="186">
                  <c:v>1.6615082531095774E-12</c:v>
                </c:pt>
                <c:pt idx="187">
                  <c:v>1.6615082531095774E-12</c:v>
                </c:pt>
                <c:pt idx="188">
                  <c:v>1.6615082531095774E-12</c:v>
                </c:pt>
                <c:pt idx="189">
                  <c:v>1.6615082531095774E-12</c:v>
                </c:pt>
                <c:pt idx="190">
                  <c:v>1.6615082531095774E-12</c:v>
                </c:pt>
                <c:pt idx="191">
                  <c:v>1.6615082531095774E-12</c:v>
                </c:pt>
                <c:pt idx="192">
                  <c:v>1.6615082531095774E-12</c:v>
                </c:pt>
                <c:pt idx="193">
                  <c:v>1.6615082531095774E-12</c:v>
                </c:pt>
                <c:pt idx="194">
                  <c:v>1.6615082531095774E-12</c:v>
                </c:pt>
                <c:pt idx="195">
                  <c:v>1.6615082531095774E-12</c:v>
                </c:pt>
                <c:pt idx="196">
                  <c:v>1.6615082531095774E-12</c:v>
                </c:pt>
                <c:pt idx="197">
                  <c:v>1.6615082531095774E-12</c:v>
                </c:pt>
                <c:pt idx="198">
                  <c:v>1.6615082531095774E-12</c:v>
                </c:pt>
                <c:pt idx="199">
                  <c:v>1.6615082531095774E-12</c:v>
                </c:pt>
                <c:pt idx="200">
                  <c:v>1.6615082531095774E-12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1.918435946590699</c:v>
                </c:pt>
                <c:pt idx="2">
                  <c:v>2.373117389980314</c:v>
                </c:pt>
                <c:pt idx="3">
                  <c:v>2.9359817415961924</c:v>
                </c:pt>
                <c:pt idx="4">
                  <c:v>3.6328636551360431</c:v>
                </c:pt>
                <c:pt idx="5">
                  <c:v>4.4957884181579182</c:v>
                </c:pt>
                <c:pt idx="6">
                  <c:v>5.5644601109295779</c:v>
                </c:pt>
                <c:pt idx="7">
                  <c:v>6.8881085532734367</c:v>
                </c:pt>
                <c:pt idx="8">
                  <c:v>8.5277817745591538</c:v>
                </c:pt>
                <c:pt idx="9">
                  <c:v>10.559191761295033</c:v>
                </c:pt>
                <c:pt idx="10">
                  <c:v>13.076247361220192</c:v>
                </c:pt>
                <c:pt idx="11">
                  <c:v>16.195440694835355</c:v>
                </c:pt>
                <c:pt idx="12">
                  <c:v>20.06129379028172</c:v>
                </c:pt>
                <c:pt idx="13">
                  <c:v>24.853122337627141</c:v>
                </c:pt>
                <c:pt idx="14">
                  <c:v>30.793435845145144</c:v>
                </c:pt>
                <c:pt idx="15">
                  <c:v>38.158371047819237</c:v>
                </c:pt>
                <c:pt idx="16">
                  <c:v>47.290651867981289</c:v>
                </c:pt>
                <c:pt idx="17">
                  <c:v>58.615689164308343</c:v>
                </c:pt>
                <c:pt idx="18">
                  <c:v>72.661582657654549</c:v>
                </c:pt>
                <c:pt idx="19">
                  <c:v>90.083972919469474</c:v>
                </c:pt>
                <c:pt idx="20">
                  <c:v>111.69692202220851</c:v>
                </c:pt>
                <c:pt idx="21">
                  <c:v>138.51128842117049</c:v>
                </c:pt>
                <c:pt idx="22">
                  <c:v>171.78241860309038</c:v>
                </c:pt>
                <c:pt idx="23">
                  <c:v>124.07225894849046</c:v>
                </c:pt>
                <c:pt idx="24">
                  <c:v>144.64512045327049</c:v>
                </c:pt>
                <c:pt idx="25">
                  <c:v>165.1478824141137</c:v>
                </c:pt>
                <c:pt idx="26">
                  <c:v>185.59048254953419</c:v>
                </c:pt>
                <c:pt idx="27">
                  <c:v>205.98048401362226</c:v>
                </c:pt>
                <c:pt idx="28">
                  <c:v>178.51850048567601</c:v>
                </c:pt>
                <c:pt idx="29">
                  <c:v>200.02348598066854</c:v>
                </c:pt>
                <c:pt idx="30">
                  <c:v>221.47486264149299</c:v>
                </c:pt>
                <c:pt idx="31">
                  <c:v>242.87855360298769</c:v>
                </c:pt>
                <c:pt idx="32">
                  <c:v>264.23935165042923</c:v>
                </c:pt>
                <c:pt idx="33">
                  <c:v>285.56121089534162</c:v>
                </c:pt>
                <c:pt idx="34">
                  <c:v>242.26244165420408</c:v>
                </c:pt>
                <c:pt idx="35">
                  <c:v>263.73520381427102</c:v>
                </c:pt>
                <c:pt idx="36">
                  <c:v>285.1685350174958</c:v>
                </c:pt>
                <c:pt idx="37">
                  <c:v>306.56581456468069</c:v>
                </c:pt>
                <c:pt idx="38">
                  <c:v>327.9299114637476</c:v>
                </c:pt>
                <c:pt idx="39">
                  <c:v>349.26329041321316</c:v>
                </c:pt>
                <c:pt idx="40">
                  <c:v>370.56809051054279</c:v>
                </c:pt>
                <c:pt idx="41">
                  <c:v>391.84618490100002</c:v>
                </c:pt>
                <c:pt idx="42">
                  <c:v>319.87385016852937</c:v>
                </c:pt>
                <c:pt idx="43">
                  <c:v>339.97241120235782</c:v>
                </c:pt>
                <c:pt idx="44">
                  <c:v>360.04484296464358</c:v>
                </c:pt>
                <c:pt idx="45">
                  <c:v>380.09280633515499</c:v>
                </c:pt>
                <c:pt idx="46">
                  <c:v>400.11777275179605</c:v>
                </c:pt>
                <c:pt idx="47">
                  <c:v>420.12105441362888</c:v>
                </c:pt>
                <c:pt idx="48">
                  <c:v>440.10382843073722</c:v>
                </c:pt>
                <c:pt idx="49">
                  <c:v>460.06715635927225</c:v>
                </c:pt>
                <c:pt idx="50">
                  <c:v>480.01200016945177</c:v>
                </c:pt>
                <c:pt idx="51">
                  <c:v>408.79839326527775</c:v>
                </c:pt>
                <c:pt idx="52">
                  <c:v>426.75219446239686</c:v>
                </c:pt>
                <c:pt idx="53">
                  <c:v>444.68975682178706</c:v>
                </c:pt>
                <c:pt idx="54">
                  <c:v>462.61182724795117</c:v>
                </c:pt>
                <c:pt idx="55">
                  <c:v>480.51909008117696</c:v>
                </c:pt>
                <c:pt idx="56">
                  <c:v>498.41217452232013</c:v>
                </c:pt>
                <c:pt idx="57">
                  <c:v>516.29166093616936</c:v>
                </c:pt>
                <c:pt idx="58">
                  <c:v>534.15808623651117</c:v>
                </c:pt>
                <c:pt idx="59">
                  <c:v>552.0119485135134</c:v>
                </c:pt>
                <c:pt idx="60">
                  <c:v>569.85371103158241</c:v>
                </c:pt>
                <c:pt idx="61">
                  <c:v>496.54621081777736</c:v>
                </c:pt>
                <c:pt idx="62">
                  <c:v>511.61287446770933</c:v>
                </c:pt>
                <c:pt idx="63">
                  <c:v>526.6701695557424</c:v>
                </c:pt>
                <c:pt idx="64">
                  <c:v>541.71840154308029</c:v>
                </c:pt>
                <c:pt idx="65">
                  <c:v>556.7578575437193</c:v>
                </c:pt>
                <c:pt idx="66">
                  <c:v>571.78880790256073</c:v>
                </c:pt>
                <c:pt idx="67">
                  <c:v>586.81150759902118</c:v>
                </c:pt>
                <c:pt idx="68">
                  <c:v>601.82619749950163</c:v>
                </c:pt>
                <c:pt idx="69">
                  <c:v>616.83310547843132</c:v>
                </c:pt>
                <c:pt idx="70">
                  <c:v>631.83244742460067</c:v>
                </c:pt>
                <c:pt idx="71">
                  <c:v>558.51065903898916</c:v>
                </c:pt>
                <c:pt idx="72">
                  <c:v>570.86927504318601</c:v>
                </c:pt>
                <c:pt idx="73">
                  <c:v>583.22230315943</c:v>
                </c:pt>
                <c:pt idx="74">
                  <c:v>595.5698783876577</c:v>
                </c:pt>
                <c:pt idx="75">
                  <c:v>607.91212967537479</c:v>
                </c:pt>
                <c:pt idx="76">
                  <c:v>620.24918030895208</c:v>
                </c:pt>
                <c:pt idx="77">
                  <c:v>632.58114827218651</c:v>
                </c:pt>
                <c:pt idx="78">
                  <c:v>644.90814657545729</c:v>
                </c:pt>
                <c:pt idx="79">
                  <c:v>657.23028355841973</c:v>
                </c:pt>
                <c:pt idx="80">
                  <c:v>669.54766316883126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2.1323396907225285</c:v>
                </c:pt>
                <c:pt idx="2">
                  <c:v>2.9323424702731358</c:v>
                </c:pt>
                <c:pt idx="3">
                  <c:v>4.0337697183542565</c:v>
                </c:pt>
                <c:pt idx="4">
                  <c:v>5.550646806066176</c:v>
                </c:pt>
                <c:pt idx="5">
                  <c:v>7.640294215377522</c:v>
                </c:pt>
                <c:pt idx="6">
                  <c:v>10.519823073218054</c:v>
                </c:pt>
                <c:pt idx="7">
                  <c:v>14.488935321502304</c:v>
                </c:pt>
                <c:pt idx="8">
                  <c:v>19.961445086303687</c:v>
                </c:pt>
                <c:pt idx="9">
                  <c:v>27.508866484016963</c:v>
                </c:pt>
                <c:pt idx="10">
                  <c:v>37.920699498230938</c:v>
                </c:pt>
                <c:pt idx="11">
                  <c:v>52.287827760149135</c:v>
                </c:pt>
                <c:pt idx="12">
                  <c:v>72.117911549900995</c:v>
                </c:pt>
                <c:pt idx="13">
                  <c:v>99.495081674141531</c:v>
                </c:pt>
                <c:pt idx="14">
                  <c:v>137.30098343191307</c:v>
                </c:pt>
                <c:pt idx="15">
                  <c:v>189.52079567074398</c:v>
                </c:pt>
                <c:pt idx="16">
                  <c:v>154.31025839134838</c:v>
                </c:pt>
                <c:pt idx="17">
                  <c:v>183.98724967179612</c:v>
                </c:pt>
                <c:pt idx="18">
                  <c:v>213.55215202969657</c:v>
                </c:pt>
                <c:pt idx="19">
                  <c:v>243.02268327304895</c:v>
                </c:pt>
                <c:pt idx="20">
                  <c:v>272.41189918228798</c:v>
                </c:pt>
                <c:pt idx="21">
                  <c:v>232.95201893246733</c:v>
                </c:pt>
                <c:pt idx="22">
                  <c:v>264.07879737201307</c:v>
                </c:pt>
                <c:pt idx="23">
                  <c:v>295.12278580201041</c:v>
                </c:pt>
                <c:pt idx="24">
                  <c:v>326.09391257189026</c:v>
                </c:pt>
                <c:pt idx="25">
                  <c:v>357.00006483853622</c:v>
                </c:pt>
                <c:pt idx="26">
                  <c:v>387.84765248483512</c:v>
                </c:pt>
                <c:pt idx="27">
                  <c:v>348.36866780800318</c:v>
                </c:pt>
                <c:pt idx="28">
                  <c:v>380.22163347811539</c:v>
                </c:pt>
                <c:pt idx="29">
                  <c:v>412.01655756040469</c:v>
                </c:pt>
                <c:pt idx="30">
                  <c:v>443.75854294752617</c:v>
                </c:pt>
                <c:pt idx="31">
                  <c:v>475.45190346562566</c:v>
                </c:pt>
                <c:pt idx="32">
                  <c:v>507.10033142900096</c:v>
                </c:pt>
                <c:pt idx="33">
                  <c:v>435.96273692993935</c:v>
                </c:pt>
                <c:pt idx="34">
                  <c:v>465.55192485805838</c:v>
                </c:pt>
                <c:pt idx="35">
                  <c:v>495.101031982655</c:v>
                </c:pt>
                <c:pt idx="36">
                  <c:v>524.61278351818044</c:v>
                </c:pt>
                <c:pt idx="37">
                  <c:v>554.08957340186623</c:v>
                </c:pt>
                <c:pt idx="38">
                  <c:v>583.53352039649462</c:v>
                </c:pt>
                <c:pt idx="39">
                  <c:v>612.94651228512339</c:v>
                </c:pt>
                <c:pt idx="40">
                  <c:v>642.33024114639272</c:v>
                </c:pt>
                <c:pt idx="41">
                  <c:v>519.89255199480351</c:v>
                </c:pt>
                <c:pt idx="42">
                  <c:v>544.59119370519988</c:v>
                </c:pt>
                <c:pt idx="43">
                  <c:v>569.26633399060302</c:v>
                </c:pt>
                <c:pt idx="44">
                  <c:v>593.91913364308118</c:v>
                </c:pt>
                <c:pt idx="45">
                  <c:v>618.55064933963661</c:v>
                </c:pt>
                <c:pt idx="46">
                  <c:v>643.16184683736662</c:v>
                </c:pt>
                <c:pt idx="47">
                  <c:v>667.75361204551791</c:v>
                </c:pt>
                <c:pt idx="48">
                  <c:v>692.32676038314548</c:v>
                </c:pt>
                <c:pt idx="49">
                  <c:v>579.14743600285351</c:v>
                </c:pt>
                <c:pt idx="50">
                  <c:v>599.78402081519937</c:v>
                </c:pt>
                <c:pt idx="51">
                  <c:v>620.40585137620121</c:v>
                </c:pt>
                <c:pt idx="52">
                  <c:v>641.01348665904447</c:v>
                </c:pt>
                <c:pt idx="53">
                  <c:v>661.60744680196888</c:v>
                </c:pt>
                <c:pt idx="54">
                  <c:v>682.18821695552413</c:v>
                </c:pt>
                <c:pt idx="55">
                  <c:v>702.75625064182839</c:v>
                </c:pt>
                <c:pt idx="56">
                  <c:v>723.31197270047539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1.6992676186329454</c:v>
                </c:pt>
                <c:pt idx="2">
                  <c:v>2.1822608398762364</c:v>
                </c:pt>
                <c:pt idx="3">
                  <c:v>2.8030959924842285</c:v>
                </c:pt>
                <c:pt idx="4">
                  <c:v>3.6012623355757909</c:v>
                </c:pt>
                <c:pt idx="5">
                  <c:v>4.6276024898262103</c:v>
                </c:pt>
                <c:pt idx="6">
                  <c:v>5.9475873921212363</c:v>
                </c:pt>
                <c:pt idx="7">
                  <c:v>7.6455388137823119</c:v>
                </c:pt>
                <c:pt idx="8">
                  <c:v>9.8300743723308273</c:v>
                </c:pt>
                <c:pt idx="9">
                  <c:v>34.238245902913015</c:v>
                </c:pt>
                <c:pt idx="10">
                  <c:v>60.375781786290162</c:v>
                </c:pt>
                <c:pt idx="11">
                  <c:v>87.328404449284065</c:v>
                </c:pt>
                <c:pt idx="12">
                  <c:v>116.29027446560372</c:v>
                </c:pt>
                <c:pt idx="13">
                  <c:v>141.76093484149825</c:v>
                </c:pt>
                <c:pt idx="14">
                  <c:v>168.22203691199141</c:v>
                </c:pt>
                <c:pt idx="15">
                  <c:v>193.48813068444883</c:v>
                </c:pt>
                <c:pt idx="16">
                  <c:v>216.48983271987731</c:v>
                </c:pt>
                <c:pt idx="17">
                  <c:v>237.25227067842596</c:v>
                </c:pt>
                <c:pt idx="18">
                  <c:v>256.88368281077413</c:v>
                </c:pt>
                <c:pt idx="19">
                  <c:v>273.21715700700707</c:v>
                </c:pt>
                <c:pt idx="20">
                  <c:v>288.44190564944341</c:v>
                </c:pt>
                <c:pt idx="21">
                  <c:v>302.56306586704625</c:v>
                </c:pt>
                <c:pt idx="22">
                  <c:v>310.16064520628476</c:v>
                </c:pt>
                <c:pt idx="23">
                  <c:v>322.09139590753097</c:v>
                </c:pt>
                <c:pt idx="24">
                  <c:v>330.76214478850403</c:v>
                </c:pt>
                <c:pt idx="25">
                  <c:v>336.17880772286748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89" t="s">
        <v>291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2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2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2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2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2">
      <c r="B18" s="289" t="s">
        <v>292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2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2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2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2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2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2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2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2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2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2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2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2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2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49" zoomScale="80" zoomScaleNormal="80" workbookViewId="0">
      <selection activeCell="E16" sqref="E16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0" t="s">
        <v>190</v>
      </c>
      <c r="D1" s="290"/>
      <c r="E1" s="290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5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5" t="s">
        <v>192</v>
      </c>
      <c r="C3" s="296"/>
      <c r="D3" s="296"/>
      <c r="E3" s="296"/>
      <c r="F3" s="297"/>
      <c r="G3" s="93"/>
      <c r="I3" s="225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5"/>
      <c r="B4" s="95"/>
      <c r="C4" s="95"/>
      <c r="D4" s="95"/>
      <c r="E4" s="95"/>
      <c r="F4" s="95"/>
      <c r="G4" s="235"/>
      <c r="I4" s="225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1" t="s">
        <v>231</v>
      </c>
      <c r="B5" s="301"/>
      <c r="C5" s="26">
        <v>12.4918</v>
      </c>
      <c r="D5" s="302" t="s">
        <v>229</v>
      </c>
      <c r="E5" s="303"/>
      <c r="F5" s="95"/>
      <c r="G5" s="235"/>
      <c r="H5" s="236"/>
      <c r="I5" s="236"/>
      <c r="J5" s="24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6"/>
      <c r="B6" s="96"/>
      <c r="C6" s="97"/>
      <c r="D6" s="91"/>
      <c r="E6" s="91"/>
      <c r="F6" s="29"/>
      <c r="G6" s="237"/>
      <c r="H6" s="238"/>
      <c r="I6" s="238"/>
      <c r="J6" s="245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" x14ac:dyDescent="0.2">
      <c r="A7" s="299" t="s">
        <v>226</v>
      </c>
      <c r="B7" s="299"/>
      <c r="C7" s="95"/>
      <c r="D7" s="95"/>
      <c r="E7" s="5"/>
      <c r="F7" s="95"/>
      <c r="G7" s="235"/>
      <c r="H7" s="236"/>
      <c r="I7" s="236"/>
      <c r="J7" s="244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0"/>
      <c r="J8" s="244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14</v>
      </c>
      <c r="C9" s="35">
        <v>0.12007900000000001</v>
      </c>
      <c r="D9" s="36">
        <f t="shared" ref="D9:D18" si="0">C9*$C$5</f>
        <v>1.5000028522</v>
      </c>
      <c r="E9" s="37">
        <v>183</v>
      </c>
      <c r="F9" s="38" t="str">
        <f t="array" ref="F9">IF(E9="","",IF(INDEX(A:A,MAX(IF(ISNUMBER($A$36:$A$55),ROW($A$36:$A$55),"")))&lt;&gt;E9,"Corrigez : révolution incorrecte","OK"))</f>
        <v>OK</v>
      </c>
      <c r="G9" s="255" t="s">
        <v>306</v>
      </c>
      <c r="I9" s="251"/>
      <c r="J9" s="24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52</v>
      </c>
      <c r="C10" s="35">
        <v>1.0307E-2</v>
      </c>
      <c r="D10" s="36">
        <f t="shared" si="0"/>
        <v>0.12875298260000001</v>
      </c>
      <c r="E10" s="37">
        <v>124</v>
      </c>
      <c r="F10" s="38" t="str">
        <f t="array" ref="F10">IF(E10="","",IF(INDEX(A:A,MAX(IF(ISNUMBER($A$62:$A$81),ROW($A$62:$A$81),"")))&lt;&gt;E10,"Corrigez : révolution incorrecte","OK"))</f>
        <v>OK</v>
      </c>
      <c r="I10" s="251"/>
      <c r="J10" s="24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1</v>
      </c>
      <c r="C11" s="35">
        <v>1.0307E-2</v>
      </c>
      <c r="D11" s="36">
        <f t="shared" si="0"/>
        <v>0.12875298260000001</v>
      </c>
      <c r="E11" s="37">
        <v>124</v>
      </c>
      <c r="F11" s="38" t="str">
        <f t="array" ref="F11">IF(E11="","",IF(INDEX(A:A,MAX(IF(ISNUMBER($A$88:$A$107),ROW($A$88:$A$107),"")))&lt;&gt;E11,"Corrigez : révolution incorrecte","OK"))</f>
        <v>OK</v>
      </c>
      <c r="H11" s="228"/>
      <c r="I11" s="251"/>
      <c r="J11" s="24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50</v>
      </c>
      <c r="C12" s="35">
        <v>1.0307E-2</v>
      </c>
      <c r="D12" s="36">
        <f t="shared" si="0"/>
        <v>0.12875298260000001</v>
      </c>
      <c r="E12" s="37">
        <v>124</v>
      </c>
      <c r="F12" s="38" t="str">
        <f t="array" ref="F12">IF(E12="","",IF(INDEX(A:A,MAX(IF(ISNUMBER($A$114:$A$133),ROW($A$114:$A$133),"")))&lt;&gt;E12,"Corrigez : révolution incorrecte","OK"))</f>
        <v>OK</v>
      </c>
      <c r="H12" s="228"/>
      <c r="I12" s="251"/>
      <c r="J12" s="24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4</v>
      </c>
      <c r="C13" s="35">
        <v>1.0307E-2</v>
      </c>
      <c r="D13" s="36">
        <f t="shared" si="0"/>
        <v>0.12875298260000001</v>
      </c>
      <c r="E13" s="37">
        <v>90</v>
      </c>
      <c r="F13" s="38" t="str">
        <f t="array" ref="F13">IF(E13="","",IF(INDEX(A:A,MAX(IF(ISNUMBER($A$140:$A$159),ROW($A$140:$A$159),"")))&lt;&gt;E13,"Corrigez : révolution incorrecte","OK"))</f>
        <v>OK</v>
      </c>
      <c r="H13" s="228"/>
      <c r="I13" s="251"/>
      <c r="J13" s="24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>C14*$C$5</f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G14" s="25" t="s">
        <v>324</v>
      </c>
      <c r="H14" s="228"/>
      <c r="I14" s="251"/>
      <c r="J14" s="24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 t="s">
        <v>35</v>
      </c>
      <c r="C15" s="35">
        <v>0.33021699999999998</v>
      </c>
      <c r="D15" s="36">
        <f>C15*$C$5</f>
        <v>4.1250047205999998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28"/>
      <c r="I15" s="251"/>
      <c r="J15" s="24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 t="s">
        <v>36</v>
      </c>
      <c r="C16" s="35">
        <v>0.33021699999999998</v>
      </c>
      <c r="D16" s="36">
        <f>C16*$C$5</f>
        <v>4.1250047205999998</v>
      </c>
      <c r="E16" s="37">
        <v>56</v>
      </c>
      <c r="F16" s="38" t="str">
        <f t="array" ref="F16">IF(E16="","",IF(INDEX(A:A,MAX(IF(ISNUMBER($A$218:$A$237),ROW($A$218:$A$237),"")))&lt;&gt;E16,"Corrigez : révolution incorrecte","OK"))</f>
        <v>OK</v>
      </c>
      <c r="H16" s="228"/>
      <c r="I16" s="251"/>
      <c r="J16" s="24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 t="s">
        <v>125</v>
      </c>
      <c r="C17" s="35">
        <v>0.16795299999999999</v>
      </c>
      <c r="D17" s="36">
        <f>C17*$C$5</f>
        <v>2.0980352853999999</v>
      </c>
      <c r="E17" s="37">
        <v>25</v>
      </c>
      <c r="F17" s="38" t="str">
        <f t="array" ref="F17">IF(E17="","",IF(INDEX(A:A,MAX(IF(ISNUMBER($A$244:$A$263),ROW($A$244:$A$263),"")))&lt;&gt;E17,"Corrigez : révolution incorrecte","OK"))</f>
        <v>OK</v>
      </c>
      <c r="H17" s="228"/>
      <c r="I17" s="251"/>
      <c r="J17" s="24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8"/>
      <c r="I18" s="251"/>
      <c r="J18" s="24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98"/>
      <c r="B19" s="39" t="s">
        <v>175</v>
      </c>
      <c r="C19" s="40">
        <f>SUM(C9:C18)</f>
        <v>0.98969400000000007</v>
      </c>
      <c r="D19" s="41">
        <f>SUM(D9:D18)</f>
        <v>12.363059509199999</v>
      </c>
      <c r="E19" s="5"/>
      <c r="F19" s="99"/>
      <c r="G19" s="239"/>
      <c r="H19" s="240"/>
      <c r="I19" s="239"/>
      <c r="J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98"/>
      <c r="B20" s="42" t="s">
        <v>230</v>
      </c>
      <c r="C20" s="43" t="str">
        <f>IF(C19&gt;100%,"Erreur : corrigez","OK")</f>
        <v>OK</v>
      </c>
      <c r="D20" s="246"/>
      <c r="F20" s="238"/>
      <c r="G20" s="238"/>
      <c r="H20" s="240"/>
      <c r="I20" s="239"/>
      <c r="J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1"/>
      <c r="I21" s="252"/>
      <c r="J21" s="24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298" t="s">
        <v>232</v>
      </c>
      <c r="B22" s="298"/>
      <c r="C22" s="97"/>
      <c r="H22" s="227"/>
      <c r="I22" s="245"/>
      <c r="J22" s="245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">
      <c r="A23" s="5"/>
      <c r="B23" s="5"/>
      <c r="C23" s="5"/>
      <c r="H23" s="218"/>
      <c r="I23" s="244"/>
      <c r="J23" s="24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2"/>
      <c r="H24" s="228"/>
      <c r="I24" s="242"/>
      <c r="J24" s="24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3"/>
      <c r="H25" s="228"/>
      <c r="I25" s="243"/>
      <c r="J25" s="243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0.15</v>
      </c>
      <c r="D26" s="47" t="s">
        <v>234</v>
      </c>
      <c r="E26" s="100"/>
      <c r="F26" s="100"/>
      <c r="G26" s="242"/>
      <c r="I26" s="242"/>
      <c r="J26" s="24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2"/>
      <c r="I27" s="242"/>
      <c r="J27" s="24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4"/>
      <c r="I28" s="244"/>
      <c r="J28" s="24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4"/>
      <c r="I29" s="244"/>
      <c r="J29" s="24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0" t="s">
        <v>227</v>
      </c>
      <c r="B30" s="300"/>
      <c r="D30" s="247"/>
      <c r="H30" s="245"/>
      <c r="I30" s="245"/>
      <c r="J30" s="245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">
      <c r="A31" s="5"/>
      <c r="B31" s="5"/>
      <c r="H31" s="244"/>
      <c r="I31" s="244"/>
      <c r="J31" s="244"/>
      <c r="K31" s="24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Chêne sessile</v>
      </c>
      <c r="D32" s="256" t="s">
        <v>307</v>
      </c>
      <c r="K32" s="247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7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0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8" t="s">
        <v>327</v>
      </c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42</v>
      </c>
      <c r="B36" s="63">
        <v>163.26</v>
      </c>
      <c r="C36" s="63">
        <v>1</v>
      </c>
      <c r="D36" s="63">
        <v>43.21</v>
      </c>
      <c r="E36" s="54">
        <v>0.2</v>
      </c>
      <c r="F36" s="54"/>
      <c r="G36" s="54"/>
      <c r="H36" s="54">
        <v>0.8</v>
      </c>
      <c r="I36" s="52">
        <f>IFERROR(B36/A36,"")</f>
        <v>3.887142857142857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50</v>
      </c>
      <c r="B37" s="63">
        <v>195.02</v>
      </c>
      <c r="C37" s="63">
        <v>2</v>
      </c>
      <c r="D37" s="63">
        <v>35.58</v>
      </c>
      <c r="E37" s="54">
        <v>0.2</v>
      </c>
      <c r="F37" s="54"/>
      <c r="G37" s="54"/>
      <c r="H37" s="54">
        <v>0.8</v>
      </c>
      <c r="I37" s="56">
        <f t="shared" ref="I37:I55" si="1">IF(A37&lt;&gt;0,(B37-(B36-D36))/(A37-A36),"")</f>
        <v>9.3712500000000034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58</v>
      </c>
      <c r="B38" s="63">
        <v>235.87</v>
      </c>
      <c r="C38" s="63">
        <v>3</v>
      </c>
      <c r="D38" s="63">
        <v>44.93</v>
      </c>
      <c r="E38" s="54">
        <v>0.2</v>
      </c>
      <c r="F38" s="54"/>
      <c r="G38" s="54"/>
      <c r="H38" s="54">
        <v>0.8</v>
      </c>
      <c r="I38" s="56">
        <f t="shared" si="1"/>
        <v>9.5537500000000009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66</v>
      </c>
      <c r="B39" s="63">
        <v>264.95999999999998</v>
      </c>
      <c r="C39" s="63">
        <v>4</v>
      </c>
      <c r="D39" s="63">
        <v>49.91</v>
      </c>
      <c r="E39" s="54">
        <v>0.3</v>
      </c>
      <c r="F39" s="54"/>
      <c r="G39" s="54"/>
      <c r="H39" s="54">
        <v>0.7</v>
      </c>
      <c r="I39" s="52">
        <f t="shared" si="1"/>
        <v>9.2524999999999977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74</v>
      </c>
      <c r="B40" s="63">
        <v>285.98</v>
      </c>
      <c r="C40" s="63">
        <v>5</v>
      </c>
      <c r="D40" s="63">
        <v>47.4</v>
      </c>
      <c r="E40" s="54">
        <v>0.4</v>
      </c>
      <c r="F40" s="54"/>
      <c r="G40" s="54"/>
      <c r="H40" s="54">
        <v>0.6</v>
      </c>
      <c r="I40" s="52">
        <f t="shared" si="1"/>
        <v>8.8662500000000044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84</v>
      </c>
      <c r="B41" s="63">
        <v>325.35000000000002</v>
      </c>
      <c r="C41" s="63">
        <v>6</v>
      </c>
      <c r="D41" s="63">
        <v>61.47</v>
      </c>
      <c r="E41" s="54">
        <v>0.4</v>
      </c>
      <c r="F41" s="54"/>
      <c r="G41" s="54"/>
      <c r="H41" s="54">
        <v>0.6</v>
      </c>
      <c r="I41" s="56">
        <f t="shared" si="1"/>
        <v>8.6770000000000014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94</v>
      </c>
      <c r="B42" s="63">
        <v>346.79</v>
      </c>
      <c r="C42" s="63">
        <v>7</v>
      </c>
      <c r="D42" s="63">
        <v>61.85</v>
      </c>
      <c r="E42" s="54">
        <v>0.5</v>
      </c>
      <c r="F42" s="54"/>
      <c r="G42" s="54"/>
      <c r="H42" s="54">
        <v>0.5</v>
      </c>
      <c r="I42" s="56">
        <f t="shared" si="1"/>
        <v>8.2910000000000021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0">
        <v>104</v>
      </c>
      <c r="B43" s="63">
        <v>365.41</v>
      </c>
      <c r="C43" s="63">
        <v>8</v>
      </c>
      <c r="D43" s="63">
        <v>60.19</v>
      </c>
      <c r="E43" s="54">
        <v>0.5</v>
      </c>
      <c r="F43" s="54"/>
      <c r="G43" s="54"/>
      <c r="H43" s="54">
        <v>0.5</v>
      </c>
      <c r="I43" s="52">
        <f t="shared" si="1"/>
        <v>8.0470000000000024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0">
        <v>114</v>
      </c>
      <c r="B44" s="63">
        <v>384.57</v>
      </c>
      <c r="C44" s="63">
        <v>9</v>
      </c>
      <c r="D44" s="63">
        <v>56.07</v>
      </c>
      <c r="E44" s="54">
        <v>0.6</v>
      </c>
      <c r="F44" s="54"/>
      <c r="G44" s="54"/>
      <c r="H44" s="54">
        <v>0.4</v>
      </c>
      <c r="I44" s="52">
        <f t="shared" si="1"/>
        <v>7.9349999999999969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0">
        <v>124</v>
      </c>
      <c r="B45" s="63">
        <v>408.42</v>
      </c>
      <c r="C45" s="63">
        <v>10</v>
      </c>
      <c r="D45" s="63">
        <v>52.53</v>
      </c>
      <c r="E45" s="54">
        <v>0.7</v>
      </c>
      <c r="F45" s="54"/>
      <c r="G45" s="54"/>
      <c r="H45" s="54">
        <v>0.3</v>
      </c>
      <c r="I45" s="52">
        <f t="shared" si="1"/>
        <v>7.9920000000000018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0">
        <v>134</v>
      </c>
      <c r="B46" s="63">
        <v>436.59</v>
      </c>
      <c r="C46" s="63">
        <v>11</v>
      </c>
      <c r="D46" s="63">
        <v>54.95</v>
      </c>
      <c r="E46" s="54">
        <v>0.7</v>
      </c>
      <c r="F46" s="54"/>
      <c r="G46" s="54"/>
      <c r="H46" s="54">
        <v>0.3</v>
      </c>
      <c r="I46" s="52">
        <f t="shared" si="1"/>
        <v>8.0699999999999985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0">
        <v>144</v>
      </c>
      <c r="B47" s="63">
        <v>463.23</v>
      </c>
      <c r="C47" s="63">
        <v>12</v>
      </c>
      <c r="D47" s="63">
        <v>56.01</v>
      </c>
      <c r="E47" s="54">
        <v>0.7</v>
      </c>
      <c r="F47" s="54"/>
      <c r="G47" s="54"/>
      <c r="H47" s="54">
        <v>0.3</v>
      </c>
      <c r="I47" s="52">
        <f t="shared" si="1"/>
        <v>8.1590000000000025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0">
        <v>154</v>
      </c>
      <c r="B48" s="63">
        <v>490.47</v>
      </c>
      <c r="C48" s="63">
        <v>13</v>
      </c>
      <c r="D48" s="63">
        <v>55.13</v>
      </c>
      <c r="E48" s="54">
        <v>0.7</v>
      </c>
      <c r="F48" s="54"/>
      <c r="G48" s="54"/>
      <c r="H48" s="54">
        <v>0.3</v>
      </c>
      <c r="I48" s="52">
        <f t="shared" si="1"/>
        <v>8.3249999999999993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0">
        <v>164</v>
      </c>
      <c r="B49" s="63">
        <v>519.77</v>
      </c>
      <c r="C49" s="63">
        <v>14</v>
      </c>
      <c r="D49" s="63">
        <v>59.58</v>
      </c>
      <c r="E49" s="54">
        <v>0.8</v>
      </c>
      <c r="F49" s="54"/>
      <c r="G49" s="54"/>
      <c r="H49" s="54">
        <v>0.2</v>
      </c>
      <c r="I49" s="52">
        <f t="shared" si="1"/>
        <v>8.4429999999999943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0">
        <v>174</v>
      </c>
      <c r="B50" s="53">
        <v>545.65</v>
      </c>
      <c r="C50" s="53">
        <v>15</v>
      </c>
      <c r="D50" s="53">
        <v>214.77</v>
      </c>
      <c r="E50" s="54">
        <v>0.8</v>
      </c>
      <c r="F50" s="54"/>
      <c r="G50" s="54"/>
      <c r="H50" s="54">
        <v>0.2</v>
      </c>
      <c r="I50" s="52">
        <f t="shared" si="1"/>
        <v>8.5459999999999976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0">
        <v>177</v>
      </c>
      <c r="B51" s="53">
        <v>347.04</v>
      </c>
      <c r="C51" s="53">
        <v>16</v>
      </c>
      <c r="D51" s="53">
        <v>115.19</v>
      </c>
      <c r="E51" s="54">
        <v>0.8</v>
      </c>
      <c r="F51" s="54"/>
      <c r="G51" s="54"/>
      <c r="H51" s="54">
        <v>0.2</v>
      </c>
      <c r="I51" s="52">
        <f t="shared" si="1"/>
        <v>5.3866666666666747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0">
        <v>180</v>
      </c>
      <c r="B52" s="53">
        <v>241.62</v>
      </c>
      <c r="C52" s="53">
        <v>17</v>
      </c>
      <c r="D52" s="53">
        <v>77.72</v>
      </c>
      <c r="E52" s="54">
        <v>0.8</v>
      </c>
      <c r="F52" s="54"/>
      <c r="G52" s="54"/>
      <c r="H52" s="54">
        <v>0.2</v>
      </c>
      <c r="I52" s="52">
        <f t="shared" si="1"/>
        <v>3.2566666666666606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0">
        <v>183</v>
      </c>
      <c r="B53" s="53">
        <v>169.76</v>
      </c>
      <c r="C53" s="53">
        <v>18</v>
      </c>
      <c r="D53" s="53">
        <v>169.76</v>
      </c>
      <c r="E53" s="54">
        <v>0.8</v>
      </c>
      <c r="F53" s="54"/>
      <c r="G53" s="54"/>
      <c r="H53" s="54">
        <v>0.2</v>
      </c>
      <c r="I53" s="52">
        <f t="shared" si="1"/>
        <v>1.9533333333333285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0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0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Cormier</v>
      </c>
      <c r="D58" s="256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0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8" t="s">
        <v>325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42</v>
      </c>
      <c r="B62" s="63">
        <v>163.26</v>
      </c>
      <c r="C62" s="63">
        <v>1</v>
      </c>
      <c r="D62" s="63">
        <v>43.21</v>
      </c>
      <c r="E62" s="54">
        <v>0.2</v>
      </c>
      <c r="F62" s="54"/>
      <c r="G62" s="54"/>
      <c r="H62" s="54">
        <v>0.8</v>
      </c>
      <c r="I62" s="56">
        <f>IFERROR(B62/A62,"")</f>
        <v>3.887142857142857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50</v>
      </c>
      <c r="B63" s="63">
        <v>195.02</v>
      </c>
      <c r="C63" s="63">
        <v>2</v>
      </c>
      <c r="D63" s="63">
        <v>35.58</v>
      </c>
      <c r="E63" s="54">
        <v>0.2</v>
      </c>
      <c r="F63" s="54"/>
      <c r="G63" s="54"/>
      <c r="H63" s="54">
        <v>0.8</v>
      </c>
      <c r="I63" s="52">
        <f>IF(A63&lt;&gt;0,(B63-(B62-D62))/(A63-A62),"")</f>
        <v>9.3712500000000034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58</v>
      </c>
      <c r="B64" s="63">
        <v>235.87</v>
      </c>
      <c r="C64" s="63">
        <v>3</v>
      </c>
      <c r="D64" s="63">
        <v>44.93</v>
      </c>
      <c r="E64" s="54">
        <v>0.2</v>
      </c>
      <c r="F64" s="54"/>
      <c r="G64" s="54"/>
      <c r="H64" s="54">
        <v>0.8</v>
      </c>
      <c r="I64" s="52">
        <f>IF(A64&lt;&gt;0,(B64-(B63-D63))/(A64-A63),"")</f>
        <v>9.5537500000000009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66</v>
      </c>
      <c r="B65" s="63">
        <v>264.95999999999998</v>
      </c>
      <c r="C65" s="63">
        <v>4</v>
      </c>
      <c r="D65" s="63">
        <v>49.91</v>
      </c>
      <c r="E65" s="54">
        <v>0.3</v>
      </c>
      <c r="F65" s="54"/>
      <c r="G65" s="54"/>
      <c r="H65" s="54">
        <v>0.7</v>
      </c>
      <c r="I65" s="52">
        <f>IF(A65&lt;&gt;0,(B65-(B64-D64))/(A65-A64),"")</f>
        <v>9.2524999999999977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74</v>
      </c>
      <c r="B66" s="63">
        <v>285.98</v>
      </c>
      <c r="C66" s="63">
        <v>5</v>
      </c>
      <c r="D66" s="63">
        <v>47.4</v>
      </c>
      <c r="E66" s="54">
        <v>0.4</v>
      </c>
      <c r="F66" s="54"/>
      <c r="G66" s="54"/>
      <c r="H66" s="54">
        <v>0.6</v>
      </c>
      <c r="I66" s="52">
        <f t="shared" ref="I66:I81" si="2">IF(A66&lt;&gt;0,(B66-(B65-D65))/(A66-A65),"")</f>
        <v>8.8662500000000044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84</v>
      </c>
      <c r="B67" s="63">
        <v>325.35000000000002</v>
      </c>
      <c r="C67" s="63">
        <v>6</v>
      </c>
      <c r="D67" s="63">
        <v>61.47</v>
      </c>
      <c r="E67" s="54">
        <v>0.4</v>
      </c>
      <c r="F67" s="54"/>
      <c r="G67" s="54"/>
      <c r="H67" s="54">
        <v>0.6</v>
      </c>
      <c r="I67" s="52">
        <f t="shared" si="2"/>
        <v>8.6770000000000014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94</v>
      </c>
      <c r="B68" s="63">
        <v>346.79</v>
      </c>
      <c r="C68" s="63">
        <v>7</v>
      </c>
      <c r="D68" s="63">
        <v>61.85</v>
      </c>
      <c r="E68" s="54">
        <v>0.5</v>
      </c>
      <c r="F68" s="54"/>
      <c r="G68" s="54"/>
      <c r="H68" s="54">
        <v>0.5</v>
      </c>
      <c r="I68" s="52">
        <f t="shared" si="2"/>
        <v>8.2910000000000021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280">
        <v>104</v>
      </c>
      <c r="B69" s="63">
        <v>365.41</v>
      </c>
      <c r="C69" s="63">
        <v>8</v>
      </c>
      <c r="D69" s="63">
        <v>60.19</v>
      </c>
      <c r="E69" s="54">
        <v>0.5</v>
      </c>
      <c r="F69" s="54"/>
      <c r="G69" s="54"/>
      <c r="H69" s="54">
        <v>0.5</v>
      </c>
      <c r="I69" s="52">
        <f t="shared" si="2"/>
        <v>8.0470000000000024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280">
        <v>114</v>
      </c>
      <c r="B70" s="63">
        <v>384.57</v>
      </c>
      <c r="C70" s="63">
        <v>9</v>
      </c>
      <c r="D70" s="63">
        <v>56.07</v>
      </c>
      <c r="E70" s="54">
        <v>0.6</v>
      </c>
      <c r="F70" s="54"/>
      <c r="G70" s="54"/>
      <c r="H70" s="54">
        <v>0.4</v>
      </c>
      <c r="I70" s="52">
        <f t="shared" si="2"/>
        <v>7.9349999999999969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280">
        <v>124</v>
      </c>
      <c r="B71" s="63">
        <v>408.42</v>
      </c>
      <c r="C71" s="63">
        <v>10</v>
      </c>
      <c r="D71" s="63">
        <v>408.42</v>
      </c>
      <c r="E71" s="54">
        <v>0.7</v>
      </c>
      <c r="F71" s="54"/>
      <c r="G71" s="54"/>
      <c r="H71" s="54">
        <v>0.3</v>
      </c>
      <c r="I71" s="52">
        <f t="shared" si="2"/>
        <v>7.9920000000000018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280"/>
      <c r="B72" s="63"/>
      <c r="C72" s="63"/>
      <c r="D72" s="6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280"/>
      <c r="B73" s="63"/>
      <c r="C73" s="63"/>
      <c r="D73" s="6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280"/>
      <c r="B74" s="63"/>
      <c r="C74" s="63"/>
      <c r="D74" s="6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280"/>
      <c r="B75" s="63"/>
      <c r="C75" s="63"/>
      <c r="D75" s="6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280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280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280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280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Alisier torminal</v>
      </c>
      <c r="D84" s="256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0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J86" s="25" t="s">
        <v>325</v>
      </c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42</v>
      </c>
      <c r="B88" s="63">
        <v>163.26</v>
      </c>
      <c r="C88" s="63">
        <v>1</v>
      </c>
      <c r="D88" s="63">
        <v>43.21</v>
      </c>
      <c r="E88" s="54">
        <v>0.2</v>
      </c>
      <c r="F88" s="54"/>
      <c r="G88" s="54"/>
      <c r="H88" s="54">
        <v>0.8</v>
      </c>
      <c r="I88" s="56">
        <f>IFERROR(B88/A88,"")</f>
        <v>3.887142857142857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50</v>
      </c>
      <c r="B89" s="63">
        <v>195.02</v>
      </c>
      <c r="C89" s="63">
        <v>2</v>
      </c>
      <c r="D89" s="63">
        <v>35.58</v>
      </c>
      <c r="E89" s="54">
        <v>0.2</v>
      </c>
      <c r="F89" s="54"/>
      <c r="G89" s="54"/>
      <c r="H89" s="54">
        <v>0.8</v>
      </c>
      <c r="I89" s="56">
        <f t="shared" ref="I89:I107" si="3">IF(A89&lt;&gt;0,(B89-(B88-D88))/(A89-A88),"")</f>
        <v>9.3712500000000034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58</v>
      </c>
      <c r="B90" s="63">
        <v>235.87</v>
      </c>
      <c r="C90" s="63">
        <v>3</v>
      </c>
      <c r="D90" s="63">
        <v>44.93</v>
      </c>
      <c r="E90" s="54">
        <v>0.2</v>
      </c>
      <c r="F90" s="54"/>
      <c r="G90" s="54"/>
      <c r="H90" s="54">
        <v>0.8</v>
      </c>
      <c r="I90" s="56">
        <f t="shared" si="3"/>
        <v>9.5537500000000009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66</v>
      </c>
      <c r="B91" s="63">
        <v>264.95999999999998</v>
      </c>
      <c r="C91" s="63">
        <v>4</v>
      </c>
      <c r="D91" s="63">
        <v>49.91</v>
      </c>
      <c r="E91" s="54">
        <v>0.3</v>
      </c>
      <c r="F91" s="54"/>
      <c r="G91" s="54"/>
      <c r="H91" s="54">
        <v>0.7</v>
      </c>
      <c r="I91" s="56">
        <f t="shared" si="3"/>
        <v>9.2524999999999977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74</v>
      </c>
      <c r="B92" s="63">
        <v>285.98</v>
      </c>
      <c r="C92" s="63">
        <v>5</v>
      </c>
      <c r="D92" s="63">
        <v>47.4</v>
      </c>
      <c r="E92" s="54">
        <v>0.4</v>
      </c>
      <c r="F92" s="54"/>
      <c r="G92" s="54"/>
      <c r="H92" s="54">
        <v>0.6</v>
      </c>
      <c r="I92" s="56">
        <f t="shared" si="3"/>
        <v>8.8662500000000044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84</v>
      </c>
      <c r="B93" s="63">
        <v>325.35000000000002</v>
      </c>
      <c r="C93" s="63">
        <v>6</v>
      </c>
      <c r="D93" s="63">
        <v>61.47</v>
      </c>
      <c r="E93" s="54">
        <v>0.4</v>
      </c>
      <c r="F93" s="54"/>
      <c r="G93" s="54"/>
      <c r="H93" s="54">
        <v>0.6</v>
      </c>
      <c r="I93" s="56">
        <f t="shared" si="3"/>
        <v>8.6770000000000014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94</v>
      </c>
      <c r="B94" s="63">
        <v>346.79</v>
      </c>
      <c r="C94" s="63">
        <v>7</v>
      </c>
      <c r="D94" s="63">
        <v>61.85</v>
      </c>
      <c r="E94" s="54">
        <v>0.5</v>
      </c>
      <c r="F94" s="54"/>
      <c r="G94" s="54"/>
      <c r="H94" s="54">
        <v>0.5</v>
      </c>
      <c r="I94" s="56">
        <f t="shared" si="3"/>
        <v>8.2910000000000021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280">
        <v>104</v>
      </c>
      <c r="B95" s="63">
        <v>365.41</v>
      </c>
      <c r="C95" s="63">
        <v>8</v>
      </c>
      <c r="D95" s="63">
        <v>60.19</v>
      </c>
      <c r="E95" s="54">
        <v>0.5</v>
      </c>
      <c r="F95" s="54"/>
      <c r="G95" s="54"/>
      <c r="H95" s="54">
        <v>0.5</v>
      </c>
      <c r="I95" s="56">
        <f t="shared" si="3"/>
        <v>8.0470000000000024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280">
        <v>114</v>
      </c>
      <c r="B96" s="63">
        <v>384.57</v>
      </c>
      <c r="C96" s="63">
        <v>9</v>
      </c>
      <c r="D96" s="63">
        <v>56.07</v>
      </c>
      <c r="E96" s="54">
        <v>0.6</v>
      </c>
      <c r="F96" s="54"/>
      <c r="G96" s="54"/>
      <c r="H96" s="54">
        <v>0.4</v>
      </c>
      <c r="I96" s="56">
        <f t="shared" si="3"/>
        <v>7.9349999999999969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280">
        <v>124</v>
      </c>
      <c r="B97" s="63">
        <v>408.42</v>
      </c>
      <c r="C97" s="63">
        <v>10</v>
      </c>
      <c r="D97" s="63">
        <v>408.42</v>
      </c>
      <c r="E97" s="54">
        <v>0.7</v>
      </c>
      <c r="F97" s="54"/>
      <c r="G97" s="54"/>
      <c r="H97" s="54">
        <v>0.3</v>
      </c>
      <c r="I97" s="56">
        <f t="shared" si="3"/>
        <v>7.9920000000000018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280"/>
      <c r="B98" s="63"/>
      <c r="C98" s="63"/>
      <c r="D98" s="63"/>
      <c r="E98" s="54"/>
      <c r="F98" s="54"/>
      <c r="G98" s="54"/>
      <c r="H98" s="5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280"/>
      <c r="B99" s="63"/>
      <c r="C99" s="63"/>
      <c r="D99" s="63"/>
      <c r="E99" s="54"/>
      <c r="F99" s="54"/>
      <c r="G99" s="54"/>
      <c r="H99" s="5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280"/>
      <c r="B100" s="63"/>
      <c r="C100" s="63"/>
      <c r="D100" s="63"/>
      <c r="E100" s="54"/>
      <c r="F100" s="54"/>
      <c r="G100" s="54"/>
      <c r="H100" s="5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280"/>
      <c r="B101" s="63"/>
      <c r="C101" s="63"/>
      <c r="D101" s="63"/>
      <c r="E101" s="54"/>
      <c r="F101" s="54"/>
      <c r="G101" s="54"/>
      <c r="H101" s="5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280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280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280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280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Tilleul</v>
      </c>
      <c r="D110" s="256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0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J112" s="25" t="s">
        <v>325</v>
      </c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>
        <v>42</v>
      </c>
      <c r="B114" s="63">
        <v>163.26</v>
      </c>
      <c r="C114" s="63">
        <v>1</v>
      </c>
      <c r="D114" s="63">
        <v>43.21</v>
      </c>
      <c r="E114" s="54">
        <v>0.2</v>
      </c>
      <c r="F114" s="54"/>
      <c r="G114" s="54"/>
      <c r="H114" s="54">
        <v>0.8</v>
      </c>
      <c r="I114" s="56">
        <f>IFERROR(B114/A114,"")</f>
        <v>3.887142857142857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>
        <v>50</v>
      </c>
      <c r="B115" s="63">
        <v>195.02</v>
      </c>
      <c r="C115" s="63">
        <v>2</v>
      </c>
      <c r="D115" s="63">
        <v>35.58</v>
      </c>
      <c r="E115" s="54">
        <v>0.2</v>
      </c>
      <c r="F115" s="54"/>
      <c r="G115" s="54"/>
      <c r="H115" s="54">
        <v>0.8</v>
      </c>
      <c r="I115" s="56">
        <f t="shared" ref="I115:I133" si="4">IF(A115&lt;&gt;0,(B115-(B114-D114))/(A115-A114),"")</f>
        <v>9.3712500000000034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>
        <v>58</v>
      </c>
      <c r="B116" s="63">
        <v>235.87</v>
      </c>
      <c r="C116" s="63">
        <v>3</v>
      </c>
      <c r="D116" s="63">
        <v>44.93</v>
      </c>
      <c r="E116" s="54">
        <v>0.2</v>
      </c>
      <c r="F116" s="54"/>
      <c r="G116" s="54"/>
      <c r="H116" s="54">
        <v>0.8</v>
      </c>
      <c r="I116" s="56">
        <f t="shared" si="4"/>
        <v>9.5537500000000009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>
        <v>66</v>
      </c>
      <c r="B117" s="63">
        <v>264.95999999999998</v>
      </c>
      <c r="C117" s="63">
        <v>4</v>
      </c>
      <c r="D117" s="63">
        <v>49.91</v>
      </c>
      <c r="E117" s="54">
        <v>0.3</v>
      </c>
      <c r="F117" s="54"/>
      <c r="G117" s="54"/>
      <c r="H117" s="54">
        <v>0.7</v>
      </c>
      <c r="I117" s="56">
        <f t="shared" si="4"/>
        <v>9.2524999999999977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>
        <v>74</v>
      </c>
      <c r="B118" s="63">
        <v>285.98</v>
      </c>
      <c r="C118" s="63">
        <v>5</v>
      </c>
      <c r="D118" s="63">
        <v>47.4</v>
      </c>
      <c r="E118" s="54">
        <v>0.4</v>
      </c>
      <c r="F118" s="54"/>
      <c r="G118" s="54"/>
      <c r="H118" s="54">
        <v>0.6</v>
      </c>
      <c r="I118" s="56">
        <f t="shared" si="4"/>
        <v>8.8662500000000044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>
        <v>84</v>
      </c>
      <c r="B119" s="63">
        <v>325.35000000000002</v>
      </c>
      <c r="C119" s="63">
        <v>6</v>
      </c>
      <c r="D119" s="63">
        <v>61.47</v>
      </c>
      <c r="E119" s="54">
        <v>0.4</v>
      </c>
      <c r="F119" s="54"/>
      <c r="G119" s="54"/>
      <c r="H119" s="54">
        <v>0.6</v>
      </c>
      <c r="I119" s="56">
        <f t="shared" si="4"/>
        <v>8.6770000000000014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53">
        <v>94</v>
      </c>
      <c r="B120" s="63">
        <v>346.79</v>
      </c>
      <c r="C120" s="63">
        <v>7</v>
      </c>
      <c r="D120" s="63">
        <v>61.85</v>
      </c>
      <c r="E120" s="54">
        <v>0.5</v>
      </c>
      <c r="F120" s="54"/>
      <c r="G120" s="54"/>
      <c r="H120" s="54">
        <v>0.5</v>
      </c>
      <c r="I120" s="56">
        <f t="shared" si="4"/>
        <v>8.2910000000000021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280">
        <v>104</v>
      </c>
      <c r="B121" s="63">
        <v>365.41</v>
      </c>
      <c r="C121" s="63">
        <v>8</v>
      </c>
      <c r="D121" s="63">
        <v>60.19</v>
      </c>
      <c r="E121" s="54">
        <v>0.5</v>
      </c>
      <c r="F121" s="54"/>
      <c r="G121" s="54"/>
      <c r="H121" s="54">
        <v>0.5</v>
      </c>
      <c r="I121" s="56">
        <f t="shared" si="4"/>
        <v>8.0470000000000024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280">
        <v>114</v>
      </c>
      <c r="B122" s="63">
        <v>384.57</v>
      </c>
      <c r="C122" s="63">
        <v>9</v>
      </c>
      <c r="D122" s="63">
        <v>56.07</v>
      </c>
      <c r="E122" s="54">
        <v>0.6</v>
      </c>
      <c r="F122" s="54"/>
      <c r="G122" s="54"/>
      <c r="H122" s="54">
        <v>0.4</v>
      </c>
      <c r="I122" s="56">
        <f t="shared" si="4"/>
        <v>7.9349999999999969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280">
        <v>124</v>
      </c>
      <c r="B123" s="63">
        <v>408.42</v>
      </c>
      <c r="C123" s="63">
        <v>10</v>
      </c>
      <c r="D123" s="63">
        <v>408.42</v>
      </c>
      <c r="E123" s="54">
        <v>0.7</v>
      </c>
      <c r="F123" s="54"/>
      <c r="G123" s="54"/>
      <c r="H123" s="54">
        <v>0.3</v>
      </c>
      <c r="I123" s="56">
        <f t="shared" si="4"/>
        <v>7.9920000000000018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280"/>
      <c r="B124" s="63"/>
      <c r="C124" s="63"/>
      <c r="D124" s="63"/>
      <c r="E124" s="54"/>
      <c r="F124" s="54"/>
      <c r="G124" s="54"/>
      <c r="H124" s="5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280"/>
      <c r="B125" s="63"/>
      <c r="C125" s="63"/>
      <c r="D125" s="63"/>
      <c r="E125" s="54"/>
      <c r="F125" s="54"/>
      <c r="G125" s="54"/>
      <c r="H125" s="5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280"/>
      <c r="B126" s="63"/>
      <c r="C126" s="63"/>
      <c r="D126" s="63"/>
      <c r="E126" s="54"/>
      <c r="F126" s="54"/>
      <c r="G126" s="54"/>
      <c r="H126" s="5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280"/>
      <c r="B127" s="63"/>
      <c r="C127" s="63"/>
      <c r="D127" s="63"/>
      <c r="E127" s="54"/>
      <c r="F127" s="54"/>
      <c r="G127" s="54"/>
      <c r="H127" s="54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280"/>
      <c r="B128" s="53"/>
      <c r="C128" s="53"/>
      <c r="D128" s="53"/>
      <c r="E128" s="54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280"/>
      <c r="B129" s="53"/>
      <c r="C129" s="53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280"/>
      <c r="B130" s="53"/>
      <c r="C130" s="53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280"/>
      <c r="B131" s="53"/>
      <c r="C131" s="53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Aulne glutineux</v>
      </c>
      <c r="D136" s="256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0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J138" s="25" t="s">
        <v>326</v>
      </c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>
        <v>10</v>
      </c>
      <c r="B140" s="63">
        <v>11</v>
      </c>
      <c r="C140" s="53">
        <v>1</v>
      </c>
      <c r="D140" s="63">
        <v>1</v>
      </c>
      <c r="E140" s="54">
        <v>0</v>
      </c>
      <c r="F140" s="54"/>
      <c r="G140" s="54"/>
      <c r="H140" s="54">
        <v>1</v>
      </c>
      <c r="I140" s="60">
        <f>IFERROR(B140/A140,"")</f>
        <v>1.1000000000000001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>
        <v>15</v>
      </c>
      <c r="B141" s="63">
        <v>44</v>
      </c>
      <c r="C141" s="53">
        <v>2</v>
      </c>
      <c r="D141" s="63">
        <v>4</v>
      </c>
      <c r="E141" s="54">
        <v>0</v>
      </c>
      <c r="F141" s="54"/>
      <c r="G141" s="54"/>
      <c r="H141" s="54">
        <v>1</v>
      </c>
      <c r="I141" s="60">
        <f t="shared" ref="I141:I159" si="5">IF(A141&lt;&gt;0,(B141-(B140-D140))/(A141-A140),"")</f>
        <v>6.8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>
        <v>20</v>
      </c>
      <c r="B142" s="63">
        <v>100</v>
      </c>
      <c r="C142" s="53">
        <v>3</v>
      </c>
      <c r="D142" s="63">
        <v>10</v>
      </c>
      <c r="E142" s="54">
        <v>0</v>
      </c>
      <c r="F142" s="54"/>
      <c r="G142" s="54"/>
      <c r="H142" s="54">
        <v>1</v>
      </c>
      <c r="I142" s="60">
        <f t="shared" si="5"/>
        <v>12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>
        <v>25</v>
      </c>
      <c r="B143" s="63">
        <v>138</v>
      </c>
      <c r="C143" s="53">
        <v>4</v>
      </c>
      <c r="D143" s="63">
        <v>21</v>
      </c>
      <c r="E143" s="54">
        <v>0</v>
      </c>
      <c r="F143" s="54"/>
      <c r="G143" s="54"/>
      <c r="H143" s="54">
        <v>1</v>
      </c>
      <c r="I143" s="60">
        <f t="shared" si="5"/>
        <v>9.6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>
        <v>30</v>
      </c>
      <c r="B144" s="63">
        <v>161</v>
      </c>
      <c r="C144" s="53">
        <v>5</v>
      </c>
      <c r="D144" s="63">
        <v>23</v>
      </c>
      <c r="E144" s="54">
        <v>0.2</v>
      </c>
      <c r="F144" s="54"/>
      <c r="G144" s="54"/>
      <c r="H144" s="54">
        <v>0.8</v>
      </c>
      <c r="I144" s="60">
        <f t="shared" si="5"/>
        <v>8.8000000000000007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>
        <v>35</v>
      </c>
      <c r="B145" s="63">
        <v>181</v>
      </c>
      <c r="C145" s="53">
        <v>6</v>
      </c>
      <c r="D145" s="63">
        <v>25</v>
      </c>
      <c r="E145" s="54">
        <v>0.2</v>
      </c>
      <c r="F145" s="54"/>
      <c r="G145" s="54"/>
      <c r="H145" s="54">
        <v>0.8</v>
      </c>
      <c r="I145" s="60">
        <f t="shared" si="5"/>
        <v>8.6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>
        <v>40</v>
      </c>
      <c r="B146" s="63">
        <v>195</v>
      </c>
      <c r="C146" s="53">
        <v>7</v>
      </c>
      <c r="D146" s="63">
        <v>25</v>
      </c>
      <c r="E146" s="54">
        <v>0.3</v>
      </c>
      <c r="F146" s="54"/>
      <c r="G146" s="54"/>
      <c r="H146" s="54">
        <v>0.7</v>
      </c>
      <c r="I146" s="60">
        <f t="shared" si="5"/>
        <v>7.8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>
        <v>45</v>
      </c>
      <c r="B147" s="63">
        <v>207</v>
      </c>
      <c r="C147" s="53">
        <v>8</v>
      </c>
      <c r="D147" s="63">
        <v>25</v>
      </c>
      <c r="E147" s="54">
        <v>0.3</v>
      </c>
      <c r="F147" s="54"/>
      <c r="G147" s="54"/>
      <c r="H147" s="54">
        <v>0.7</v>
      </c>
      <c r="I147" s="60">
        <f>IF(A147&lt;&gt;0,(B147-(B146-D146))/(A147-A146),"")</f>
        <v>7.4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>
        <v>50</v>
      </c>
      <c r="B148" s="63">
        <v>215</v>
      </c>
      <c r="C148" s="53">
        <v>9</v>
      </c>
      <c r="D148" s="63">
        <v>24</v>
      </c>
      <c r="E148" s="54">
        <v>0.4</v>
      </c>
      <c r="F148" s="54"/>
      <c r="G148" s="54"/>
      <c r="H148" s="54">
        <v>0.6</v>
      </c>
      <c r="I148" s="60">
        <f t="shared" si="5"/>
        <v>6.6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>
        <v>55</v>
      </c>
      <c r="B149" s="63">
        <v>223</v>
      </c>
      <c r="C149" s="53">
        <v>10</v>
      </c>
      <c r="D149" s="63">
        <v>23</v>
      </c>
      <c r="E149" s="54">
        <v>0.4</v>
      </c>
      <c r="F149" s="54"/>
      <c r="G149" s="54"/>
      <c r="H149" s="54">
        <v>0.6</v>
      </c>
      <c r="I149" s="60">
        <f t="shared" si="5"/>
        <v>6.4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>
        <v>60</v>
      </c>
      <c r="B150" s="63">
        <v>229</v>
      </c>
      <c r="C150" s="53">
        <v>11</v>
      </c>
      <c r="D150" s="63">
        <v>22</v>
      </c>
      <c r="E150" s="54">
        <v>0.5</v>
      </c>
      <c r="F150" s="54"/>
      <c r="G150" s="54"/>
      <c r="H150" s="54">
        <v>0.5</v>
      </c>
      <c r="I150" s="60">
        <f t="shared" si="5"/>
        <v>5.8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>
        <v>65</v>
      </c>
      <c r="B151" s="63">
        <v>233</v>
      </c>
      <c r="C151" s="53">
        <v>12</v>
      </c>
      <c r="D151" s="63">
        <v>20</v>
      </c>
      <c r="E151" s="54">
        <v>0.5</v>
      </c>
      <c r="F151" s="54"/>
      <c r="G151" s="54"/>
      <c r="H151" s="54">
        <v>0.5</v>
      </c>
      <c r="I151" s="60">
        <f t="shared" si="5"/>
        <v>5.2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>
        <v>70</v>
      </c>
      <c r="B152" s="63">
        <v>237</v>
      </c>
      <c r="C152" s="53">
        <v>13</v>
      </c>
      <c r="D152" s="63">
        <v>19</v>
      </c>
      <c r="E152" s="57">
        <v>0.6</v>
      </c>
      <c r="F152" s="57"/>
      <c r="G152" s="57"/>
      <c r="H152" s="57">
        <v>0.4</v>
      </c>
      <c r="I152" s="60">
        <f t="shared" si="5"/>
        <v>4.8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>
        <v>75</v>
      </c>
      <c r="B153" s="63">
        <v>241</v>
      </c>
      <c r="C153" s="53">
        <v>14</v>
      </c>
      <c r="D153" s="63">
        <v>18</v>
      </c>
      <c r="E153" s="57">
        <v>0.6</v>
      </c>
      <c r="F153" s="57"/>
      <c r="G153" s="57"/>
      <c r="H153" s="57">
        <v>0.4</v>
      </c>
      <c r="I153" s="60">
        <f t="shared" si="5"/>
        <v>4.5999999999999996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>
        <v>80</v>
      </c>
      <c r="B154" s="59">
        <v>244</v>
      </c>
      <c r="C154" s="53">
        <v>15</v>
      </c>
      <c r="D154" s="53">
        <v>16</v>
      </c>
      <c r="E154" s="57">
        <v>0.7</v>
      </c>
      <c r="F154" s="57"/>
      <c r="G154" s="57"/>
      <c r="H154" s="57">
        <v>0.3</v>
      </c>
      <c r="I154" s="60">
        <f t="shared" si="5"/>
        <v>4.2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>
        <v>85</v>
      </c>
      <c r="B155" s="59">
        <v>247</v>
      </c>
      <c r="C155" s="53">
        <v>16</v>
      </c>
      <c r="D155" s="53">
        <v>15</v>
      </c>
      <c r="E155" s="57">
        <v>0.7</v>
      </c>
      <c r="F155" s="57"/>
      <c r="G155" s="57"/>
      <c r="H155" s="57">
        <v>0.3</v>
      </c>
      <c r="I155" s="60">
        <f t="shared" si="5"/>
        <v>3.8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>
        <v>90</v>
      </c>
      <c r="B156" s="59">
        <v>250</v>
      </c>
      <c r="C156" s="53">
        <v>17</v>
      </c>
      <c r="D156" s="53">
        <v>250</v>
      </c>
      <c r="E156" s="57">
        <v>0.8</v>
      </c>
      <c r="F156" s="57"/>
      <c r="G156" s="57"/>
      <c r="H156" s="57">
        <v>0.2</v>
      </c>
      <c r="I156" s="60">
        <f t="shared" si="5"/>
        <v>3.6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6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0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J164" s="25" t="s">
        <v>324</v>
      </c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>Pin laricio</v>
      </c>
      <c r="D188" s="256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0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J190" s="25" t="s">
        <v>328</v>
      </c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>
        <v>22</v>
      </c>
      <c r="B192" s="63">
        <v>129.07</v>
      </c>
      <c r="C192" s="63">
        <v>1</v>
      </c>
      <c r="D192" s="63">
        <v>52.41</v>
      </c>
      <c r="E192" s="54">
        <v>0.3</v>
      </c>
      <c r="F192" s="54">
        <v>0.39</v>
      </c>
      <c r="G192" s="54">
        <v>0.31</v>
      </c>
      <c r="H192" s="54"/>
      <c r="I192" s="52">
        <f>IFERROR(B192/A192,"")</f>
        <v>5.8668181818181813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>
        <v>27</v>
      </c>
      <c r="B193" s="63">
        <v>155.49</v>
      </c>
      <c r="C193" s="63">
        <v>2</v>
      </c>
      <c r="D193" s="63">
        <v>37.840000000000003</v>
      </c>
      <c r="E193" s="54">
        <v>0.4</v>
      </c>
      <c r="F193" s="54">
        <v>0.34</v>
      </c>
      <c r="G193" s="54">
        <v>0.26</v>
      </c>
      <c r="H193" s="54"/>
      <c r="I193" s="52">
        <f t="shared" ref="I193:I211" si="7">IF(A193&lt;&gt;0,(B193-(B192-D192))/(A193-A192),"")</f>
        <v>15.766000000000002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>
        <v>33</v>
      </c>
      <c r="B194" s="63">
        <v>217.34</v>
      </c>
      <c r="C194" s="63">
        <v>3</v>
      </c>
      <c r="D194" s="63">
        <v>50.41</v>
      </c>
      <c r="E194" s="54">
        <v>0.5</v>
      </c>
      <c r="F194" s="54">
        <v>0.28000000000000003</v>
      </c>
      <c r="G194" s="54">
        <v>0.22</v>
      </c>
      <c r="H194" s="54"/>
      <c r="I194" s="52">
        <f t="shared" si="7"/>
        <v>16.614999999999998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>
        <v>41</v>
      </c>
      <c r="B195" s="63">
        <v>300.54000000000002</v>
      </c>
      <c r="C195" s="63">
        <v>4</v>
      </c>
      <c r="D195" s="63">
        <v>72.13</v>
      </c>
      <c r="E195" s="54">
        <v>0.6</v>
      </c>
      <c r="F195" s="54">
        <v>0.22</v>
      </c>
      <c r="G195" s="54">
        <v>0.18</v>
      </c>
      <c r="H195" s="54"/>
      <c r="I195" s="52">
        <f t="shared" si="7"/>
        <v>16.701250000000002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>
        <v>50</v>
      </c>
      <c r="B196" s="63">
        <v>369.94</v>
      </c>
      <c r="C196" s="63">
        <v>5</v>
      </c>
      <c r="D196" s="63">
        <v>70.2</v>
      </c>
      <c r="E196" s="54">
        <v>0.7</v>
      </c>
      <c r="F196" s="54">
        <v>0.17</v>
      </c>
      <c r="G196" s="54">
        <v>0.13</v>
      </c>
      <c r="H196" s="54"/>
      <c r="I196" s="52">
        <f t="shared" si="7"/>
        <v>15.725555555555552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>
        <v>60</v>
      </c>
      <c r="B197" s="63">
        <v>440.94</v>
      </c>
      <c r="C197" s="63">
        <v>6</v>
      </c>
      <c r="D197" s="63">
        <v>69.849999999999994</v>
      </c>
      <c r="E197" s="54">
        <v>0.8</v>
      </c>
      <c r="F197" s="54">
        <v>0.11</v>
      </c>
      <c r="G197" s="54">
        <v>0.09</v>
      </c>
      <c r="H197" s="54"/>
      <c r="I197" s="52">
        <f t="shared" si="7"/>
        <v>14.12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>
        <v>70</v>
      </c>
      <c r="B198" s="63">
        <v>490.06</v>
      </c>
      <c r="C198" s="63">
        <v>7</v>
      </c>
      <c r="D198" s="63">
        <v>67.88</v>
      </c>
      <c r="E198" s="54">
        <v>0.8</v>
      </c>
      <c r="F198" s="54">
        <v>0.11</v>
      </c>
      <c r="G198" s="54">
        <v>0.09</v>
      </c>
      <c r="H198" s="54"/>
      <c r="I198" s="52">
        <f t="shared" si="7"/>
        <v>11.896999999999997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>
        <v>80</v>
      </c>
      <c r="B199" s="53">
        <v>520</v>
      </c>
      <c r="C199" s="53">
        <v>8</v>
      </c>
      <c r="D199" s="53">
        <v>520</v>
      </c>
      <c r="E199" s="54">
        <v>0.8</v>
      </c>
      <c r="F199" s="54">
        <v>0.11</v>
      </c>
      <c r="G199" s="54">
        <v>0.09</v>
      </c>
      <c r="H199" s="54"/>
      <c r="I199" s="52">
        <f t="shared" si="7"/>
        <v>9.782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>Pin maritime</v>
      </c>
      <c r="D214" s="256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0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J216" s="25" t="s">
        <v>329</v>
      </c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>
        <v>15</v>
      </c>
      <c r="B218" s="63">
        <v>142.76</v>
      </c>
      <c r="C218" s="53">
        <v>1</v>
      </c>
      <c r="D218" s="63">
        <v>50.01</v>
      </c>
      <c r="E218" s="54">
        <v>0.3</v>
      </c>
      <c r="F218" s="54">
        <v>0.39</v>
      </c>
      <c r="G218" s="54">
        <v>0.31</v>
      </c>
      <c r="H218" s="66"/>
      <c r="I218" s="56">
        <f>IFERROR(B218/A218,"")</f>
        <v>9.5173333333333332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>
        <v>20</v>
      </c>
      <c r="B219" s="63">
        <v>207.09</v>
      </c>
      <c r="C219" s="53">
        <v>2</v>
      </c>
      <c r="D219" s="63">
        <v>54.89</v>
      </c>
      <c r="E219" s="54">
        <v>0.4</v>
      </c>
      <c r="F219" s="54">
        <v>0.34</v>
      </c>
      <c r="G219" s="54">
        <v>0.26</v>
      </c>
      <c r="H219" s="66"/>
      <c r="I219" s="56">
        <f t="shared" ref="I219:I237" si="8">IF(A219&lt;&gt;0,(B219-(B218-D218))/(A219-A218),"")</f>
        <v>22.868000000000002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>
        <v>26</v>
      </c>
      <c r="B220" s="63">
        <v>297.39999999999998</v>
      </c>
      <c r="C220" s="53">
        <v>3</v>
      </c>
      <c r="D220" s="63">
        <v>55.94</v>
      </c>
      <c r="E220" s="54">
        <v>0.5</v>
      </c>
      <c r="F220" s="54">
        <v>0.28000000000000003</v>
      </c>
      <c r="G220" s="54">
        <v>0.22</v>
      </c>
      <c r="H220" s="66"/>
      <c r="I220" s="56">
        <f t="shared" si="8"/>
        <v>24.2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>
        <v>32</v>
      </c>
      <c r="B221" s="58">
        <v>391.32</v>
      </c>
      <c r="C221" s="58">
        <v>4</v>
      </c>
      <c r="D221" s="58">
        <v>79.400000000000006</v>
      </c>
      <c r="E221" s="54">
        <v>0.6</v>
      </c>
      <c r="F221" s="54">
        <v>0.22</v>
      </c>
      <c r="G221" s="54">
        <v>0.18</v>
      </c>
      <c r="H221" s="66"/>
      <c r="I221" s="56">
        <f t="shared" si="8"/>
        <v>24.97666666666667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>
        <v>40</v>
      </c>
      <c r="B222" s="58">
        <v>498.39</v>
      </c>
      <c r="C222" s="58">
        <v>5</v>
      </c>
      <c r="D222" s="58">
        <v>116.49</v>
      </c>
      <c r="E222" s="54">
        <v>0.7</v>
      </c>
      <c r="F222" s="54">
        <v>0.17</v>
      </c>
      <c r="G222" s="54">
        <v>0.13</v>
      </c>
      <c r="H222" s="66"/>
      <c r="I222" s="56">
        <f t="shared" si="8"/>
        <v>23.308750000000003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>
        <v>48</v>
      </c>
      <c r="B223" s="58">
        <v>538.1</v>
      </c>
      <c r="C223" s="58">
        <v>6</v>
      </c>
      <c r="D223" s="58">
        <v>106.15</v>
      </c>
      <c r="E223" s="54">
        <v>0.8</v>
      </c>
      <c r="F223" s="54">
        <v>0.11</v>
      </c>
      <c r="G223" s="54">
        <v>0.09</v>
      </c>
      <c r="H223" s="66"/>
      <c r="I223" s="56">
        <f t="shared" si="8"/>
        <v>19.525000000000006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>
        <v>56</v>
      </c>
      <c r="B224" s="58">
        <v>562.74</v>
      </c>
      <c r="C224" s="58">
        <v>7</v>
      </c>
      <c r="D224" s="58">
        <v>562.74</v>
      </c>
      <c r="E224" s="54">
        <v>0.8</v>
      </c>
      <c r="F224" s="54">
        <v>0.11</v>
      </c>
      <c r="G224" s="54">
        <v>0.09</v>
      </c>
      <c r="H224" s="66"/>
      <c r="I224" s="56">
        <f t="shared" si="8"/>
        <v>16.348749999999995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54"/>
      <c r="F225" s="54"/>
      <c r="G225" s="54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2"/>
      <c r="B231" s="63"/>
      <c r="C231" s="92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>Peuplier Fritzi Pauley</v>
      </c>
      <c r="D240" s="256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0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J242" s="25" t="s">
        <v>330</v>
      </c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>
        <v>8</v>
      </c>
      <c r="B244" s="63">
        <v>8</v>
      </c>
      <c r="C244" s="63"/>
      <c r="D244" s="63"/>
      <c r="E244" s="54"/>
      <c r="F244" s="54"/>
      <c r="G244" s="54"/>
      <c r="H244" s="66"/>
      <c r="I244" s="56">
        <f>IFERROR(B244/A244,"")</f>
        <v>1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>
        <v>9</v>
      </c>
      <c r="B245" s="63">
        <v>29</v>
      </c>
      <c r="C245" s="63"/>
      <c r="D245" s="63"/>
      <c r="E245" s="66"/>
      <c r="F245" s="66"/>
      <c r="G245" s="66"/>
      <c r="H245" s="66"/>
      <c r="I245" s="56">
        <f>IF(A245&lt;&gt;0,(B245-(B244-D244))/(A245-A244),"")</f>
        <v>21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>
        <v>10</v>
      </c>
      <c r="B246" s="63">
        <v>52</v>
      </c>
      <c r="C246" s="63"/>
      <c r="D246" s="63"/>
      <c r="E246" s="66"/>
      <c r="F246" s="66"/>
      <c r="G246" s="66"/>
      <c r="H246" s="66"/>
      <c r="I246" s="56">
        <f>IF(A246&lt;&gt;0,(B246-(B245-D245))/(A246-A245),"")</f>
        <v>23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>
        <v>11</v>
      </c>
      <c r="B247" s="63">
        <v>76</v>
      </c>
      <c r="C247" s="63"/>
      <c r="D247" s="63"/>
      <c r="E247" s="66"/>
      <c r="F247" s="66"/>
      <c r="G247" s="66"/>
      <c r="H247" s="66"/>
      <c r="I247" s="56">
        <f t="shared" ref="I247:I263" si="9">IF(A247&lt;&gt;0,(B247-(B246-D246))/(A247-A246),"")</f>
        <v>24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>
        <v>12</v>
      </c>
      <c r="B248" s="63">
        <v>102</v>
      </c>
      <c r="C248" s="63"/>
      <c r="D248" s="63"/>
      <c r="E248" s="66"/>
      <c r="F248" s="66"/>
      <c r="G248" s="66"/>
      <c r="H248" s="66"/>
      <c r="I248" s="56">
        <f t="shared" si="9"/>
        <v>26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>
        <v>13</v>
      </c>
      <c r="B249" s="63">
        <v>125</v>
      </c>
      <c r="C249" s="63"/>
      <c r="D249" s="63"/>
      <c r="E249" s="66"/>
      <c r="F249" s="66"/>
      <c r="G249" s="66"/>
      <c r="H249" s="66"/>
      <c r="I249" s="56">
        <f t="shared" si="9"/>
        <v>23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>
        <v>14</v>
      </c>
      <c r="B250" s="63">
        <v>149</v>
      </c>
      <c r="C250" s="63"/>
      <c r="D250" s="63"/>
      <c r="E250" s="66"/>
      <c r="F250" s="66"/>
      <c r="G250" s="66"/>
      <c r="H250" s="66"/>
      <c r="I250" s="56">
        <f t="shared" si="9"/>
        <v>24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>
        <v>15</v>
      </c>
      <c r="B251" s="58">
        <v>172</v>
      </c>
      <c r="C251" s="58"/>
      <c r="D251" s="58"/>
      <c r="E251" s="66"/>
      <c r="F251" s="66"/>
      <c r="G251" s="66"/>
      <c r="H251" s="66"/>
      <c r="I251" s="56">
        <f t="shared" si="9"/>
        <v>23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>
        <v>16</v>
      </c>
      <c r="B252" s="58">
        <v>193</v>
      </c>
      <c r="C252" s="58"/>
      <c r="D252" s="58"/>
      <c r="E252" s="66"/>
      <c r="F252" s="66"/>
      <c r="G252" s="66"/>
      <c r="H252" s="66"/>
      <c r="I252" s="56">
        <f t="shared" si="9"/>
        <v>21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>
        <v>17</v>
      </c>
      <c r="B253" s="58">
        <v>212</v>
      </c>
      <c r="C253" s="58"/>
      <c r="D253" s="58"/>
      <c r="E253" s="66"/>
      <c r="F253" s="66"/>
      <c r="G253" s="66"/>
      <c r="H253" s="66"/>
      <c r="I253" s="56">
        <f t="shared" si="9"/>
        <v>19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>
        <v>18</v>
      </c>
      <c r="B254" s="58">
        <v>230</v>
      </c>
      <c r="C254" s="58"/>
      <c r="D254" s="58"/>
      <c r="E254" s="66"/>
      <c r="F254" s="66"/>
      <c r="G254" s="66"/>
      <c r="H254" s="66"/>
      <c r="I254" s="56">
        <f t="shared" si="9"/>
        <v>18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>
        <v>19</v>
      </c>
      <c r="B255" s="58">
        <v>245</v>
      </c>
      <c r="C255" s="58"/>
      <c r="D255" s="58"/>
      <c r="E255" s="66"/>
      <c r="F255" s="66"/>
      <c r="G255" s="66"/>
      <c r="H255" s="66"/>
      <c r="I255" s="56">
        <f t="shared" si="9"/>
        <v>15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>
        <v>20</v>
      </c>
      <c r="B256" s="58">
        <v>259</v>
      </c>
      <c r="C256" s="58"/>
      <c r="D256" s="58"/>
      <c r="E256" s="67"/>
      <c r="F256" s="67"/>
      <c r="G256" s="67"/>
      <c r="H256" s="67"/>
      <c r="I256" s="56">
        <f t="shared" si="9"/>
        <v>14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2">
        <v>21</v>
      </c>
      <c r="B257" s="63">
        <v>272</v>
      </c>
      <c r="C257" s="92"/>
      <c r="D257" s="63"/>
      <c r="E257" s="57"/>
      <c r="F257" s="57"/>
      <c r="G257" s="57"/>
      <c r="H257" s="57"/>
      <c r="I257" s="56">
        <f t="shared" si="9"/>
        <v>13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>
        <v>22</v>
      </c>
      <c r="B258" s="53">
        <v>279</v>
      </c>
      <c r="C258" s="53"/>
      <c r="D258" s="53"/>
      <c r="E258" s="57"/>
      <c r="F258" s="57"/>
      <c r="G258" s="57"/>
      <c r="H258" s="57"/>
      <c r="I258" s="56">
        <f t="shared" si="9"/>
        <v>7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>
        <v>23</v>
      </c>
      <c r="B259" s="53">
        <v>290</v>
      </c>
      <c r="C259" s="53"/>
      <c r="D259" s="53"/>
      <c r="E259" s="57"/>
      <c r="F259" s="57"/>
      <c r="G259" s="57"/>
      <c r="H259" s="57"/>
      <c r="I259" s="56">
        <f t="shared" si="9"/>
        <v>11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>
        <v>24</v>
      </c>
      <c r="B260" s="53">
        <v>298</v>
      </c>
      <c r="C260" s="53"/>
      <c r="D260" s="53"/>
      <c r="E260" s="57"/>
      <c r="F260" s="57"/>
      <c r="G260" s="57"/>
      <c r="H260" s="57"/>
      <c r="I260" s="56">
        <f t="shared" si="9"/>
        <v>8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>
        <v>25</v>
      </c>
      <c r="B261" s="53">
        <v>303</v>
      </c>
      <c r="C261" s="53">
        <v>1</v>
      </c>
      <c r="D261" s="53">
        <v>303</v>
      </c>
      <c r="E261" s="57">
        <v>0.47</v>
      </c>
      <c r="F261" s="57">
        <v>0.21</v>
      </c>
      <c r="G261" s="57"/>
      <c r="H261" s="57">
        <v>0.31</v>
      </c>
      <c r="I261" s="56">
        <f t="shared" si="9"/>
        <v>5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6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0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6" sqref="G16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4"/>
      <c r="C6" s="234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6"/>
      <c r="B7" s="29" t="s">
        <v>295</v>
      </c>
      <c r="C7" s="107" t="s">
        <v>214</v>
      </c>
      <c r="D7" s="232"/>
      <c r="E7" s="108"/>
      <c r="F7" s="29" t="s">
        <v>295</v>
      </c>
      <c r="G7" s="107" t="s">
        <v>215</v>
      </c>
      <c r="H7" s="233"/>
      <c r="I7" s="233"/>
      <c r="J7" s="233"/>
      <c r="K7" s="233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">
      <c r="A8" s="112">
        <v>1</v>
      </c>
      <c r="B8" s="64">
        <v>0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2">
        <v>2</v>
      </c>
      <c r="B9" s="64">
        <v>1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3"/>
      <c r="B13" s="114"/>
      <c r="C13" s="105" t="s">
        <v>273</v>
      </c>
      <c r="D13" s="233"/>
      <c r="E13" s="106"/>
      <c r="F13" s="114"/>
      <c r="G13" s="105" t="s">
        <v>301</v>
      </c>
      <c r="H13" s="233"/>
      <c r="I13" s="233"/>
      <c r="J13" s="233"/>
      <c r="K13" s="233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">
      <c r="A14" s="233"/>
      <c r="B14" s="114"/>
      <c r="C14" s="105" t="s">
        <v>309</v>
      </c>
      <c r="D14" s="233"/>
      <c r="E14" s="106"/>
      <c r="F14" s="114"/>
      <c r="G14" s="105" t="s">
        <v>294</v>
      </c>
      <c r="H14" s="233"/>
      <c r="I14" s="233"/>
      <c r="J14" s="233"/>
      <c r="K14" s="233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3">
        <f>SUM(B16:B18)</f>
        <v>0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0" bestFit="1" customWidth="1"/>
    <col min="2" max="4" width="11.5" style="70"/>
    <col min="5" max="5" width="9.5" style="70" customWidth="1"/>
    <col min="6" max="7" width="11.5" style="70"/>
    <col min="8" max="8" width="10.6640625" style="70" customWidth="1"/>
    <col min="9" max="9" width="9.5" style="70" customWidth="1"/>
    <col min="10" max="11" width="10.5" style="70" bestFit="1" customWidth="1"/>
    <col min="12" max="12" width="14" style="70" bestFit="1" customWidth="1"/>
    <col min="13" max="13" width="14" style="70" customWidth="1"/>
    <col min="14" max="23" width="11.5" style="70"/>
    <col min="24" max="24" width="11.6640625" style="70" bestFit="1" customWidth="1"/>
    <col min="25" max="25" width="14.5" style="70" bestFit="1" customWidth="1"/>
    <col min="26" max="26" width="12.5" style="70" bestFit="1" customWidth="1"/>
    <col min="27" max="27" width="9.6640625" style="70" bestFit="1" customWidth="1"/>
    <col min="28" max="28" width="11" style="70" bestFit="1" customWidth="1"/>
    <col min="29" max="29" width="9.5" style="70" bestFit="1" customWidth="1"/>
    <col min="30" max="31" width="9.5" style="70" customWidth="1"/>
    <col min="32" max="32" width="11.5" style="70"/>
    <col min="33" max="34" width="14" style="70" bestFit="1" customWidth="1"/>
    <col min="35" max="35" width="10.5" style="70" bestFit="1" customWidth="1"/>
    <col min="36" max="36" width="9.5" style="70" bestFit="1" customWidth="1"/>
    <col min="37" max="38" width="10.5" style="70" bestFit="1" customWidth="1"/>
    <col min="39" max="41" width="10.5" style="70" customWidth="1"/>
    <col min="42" max="42" width="9" style="70" bestFit="1" customWidth="1"/>
    <col min="43" max="43" width="10.5" style="70" bestFit="1" customWidth="1"/>
    <col min="44" max="44" width="9.33203125" style="70" bestFit="1" customWidth="1"/>
    <col min="45" max="45" width="11.6640625" style="70" bestFit="1" customWidth="1"/>
    <col min="46" max="46" width="8.5" style="70" bestFit="1" customWidth="1"/>
    <col min="47" max="47" width="9.5" style="70" bestFit="1" customWidth="1"/>
    <col min="48" max="48" width="9.6640625" style="70" bestFit="1" customWidth="1"/>
    <col min="49" max="49" width="11" style="70" bestFit="1" customWidth="1"/>
    <col min="50" max="50" width="9.5" style="70" bestFit="1" customWidth="1"/>
    <col min="51" max="52" width="9.5" style="70" customWidth="1"/>
    <col min="53" max="53" width="10.5" style="70" bestFit="1" customWidth="1"/>
    <col min="54" max="54" width="14.33203125" style="70" customWidth="1"/>
    <col min="55" max="55" width="14" style="70" customWidth="1"/>
    <col min="56" max="56" width="10.5" style="70" bestFit="1" customWidth="1"/>
    <col min="57" max="57" width="9.5" style="70" bestFit="1" customWidth="1"/>
    <col min="58" max="59" width="10.5" style="70" bestFit="1" customWidth="1"/>
    <col min="60" max="62" width="10.5" style="70" customWidth="1"/>
    <col min="63" max="63" width="9" style="70" bestFit="1" customWidth="1"/>
    <col min="64" max="64" width="10.5" style="70" bestFit="1" customWidth="1"/>
    <col min="65" max="65" width="9.33203125" style="70" bestFit="1" customWidth="1"/>
    <col min="66" max="66" width="11.6640625" style="70" bestFit="1" customWidth="1"/>
    <col min="67" max="67" width="8.5" style="70" bestFit="1" customWidth="1"/>
    <col min="68" max="68" width="9.5" style="70" bestFit="1" customWidth="1"/>
    <col min="69" max="69" width="9.6640625" style="70" bestFit="1" customWidth="1"/>
    <col min="70" max="70" width="11" style="70" bestFit="1" customWidth="1"/>
    <col min="71" max="71" width="9.5" style="70" bestFit="1" customWidth="1"/>
    <col min="72" max="73" width="9.5" style="70" customWidth="1"/>
    <col min="74" max="74" width="10.5" style="70" bestFit="1" customWidth="1"/>
    <col min="75" max="75" width="14" style="70" bestFit="1" customWidth="1"/>
    <col min="76" max="76" width="13.83203125" style="70" customWidth="1"/>
    <col min="77" max="77" width="10.5" style="70" bestFit="1" customWidth="1"/>
    <col min="78" max="78" width="9.5" style="70" bestFit="1" customWidth="1"/>
    <col min="79" max="80" width="10.5" style="70" bestFit="1" customWidth="1"/>
    <col min="81" max="83" width="10.5" style="70" customWidth="1"/>
    <col min="84" max="84" width="11.5" style="70"/>
    <col min="85" max="85" width="10.5" style="70" bestFit="1" customWidth="1"/>
    <col min="86" max="86" width="9.33203125" style="70" bestFit="1" customWidth="1"/>
    <col min="87" max="87" width="11.6640625" style="70" bestFit="1" customWidth="1"/>
    <col min="88" max="88" width="8.5" style="70" bestFit="1" customWidth="1"/>
    <col min="89" max="89" width="9.5" style="70" bestFit="1" customWidth="1"/>
    <col min="90" max="90" width="9.6640625" style="70" bestFit="1" customWidth="1"/>
    <col min="91" max="91" width="11" style="70" bestFit="1" customWidth="1"/>
    <col min="92" max="92" width="9.5" style="70" bestFit="1" customWidth="1"/>
    <col min="93" max="94" width="9.5" style="70" customWidth="1"/>
    <col min="95" max="95" width="11.5" style="70"/>
    <col min="96" max="97" width="14" style="70" customWidth="1"/>
    <col min="98" max="98" width="10.5" style="70" bestFit="1" customWidth="1"/>
    <col min="99" max="99" width="9.5" style="70" bestFit="1" customWidth="1"/>
    <col min="100" max="101" width="10.5" style="70" bestFit="1" customWidth="1"/>
    <col min="102" max="104" width="10.5" style="70" customWidth="1"/>
    <col min="105" max="105" width="9" style="70" bestFit="1" customWidth="1"/>
    <col min="106" max="106" width="10.5" style="70" bestFit="1" customWidth="1"/>
    <col min="107" max="107" width="9.33203125" style="70" bestFit="1" customWidth="1"/>
    <col min="108" max="108" width="11.6640625" style="70" bestFit="1" customWidth="1"/>
    <col min="109" max="109" width="8.5" style="70" bestFit="1" customWidth="1"/>
    <col min="110" max="110" width="9.5" style="70" bestFit="1" customWidth="1"/>
    <col min="111" max="111" width="9.6640625" style="70" bestFit="1" customWidth="1"/>
    <col min="112" max="112" width="11" style="70" bestFit="1" customWidth="1"/>
    <col min="113" max="113" width="9.5" style="70" bestFit="1" customWidth="1"/>
    <col min="114" max="115" width="9.5" style="70" customWidth="1"/>
    <col min="116" max="116" width="10.5" style="70" bestFit="1" customWidth="1"/>
    <col min="117" max="117" width="14.33203125" style="70" customWidth="1"/>
    <col min="118" max="118" width="14" style="70" bestFit="1" customWidth="1"/>
    <col min="119" max="119" width="10.5" style="70" bestFit="1" customWidth="1"/>
    <col min="120" max="120" width="9.5" style="70" bestFit="1" customWidth="1"/>
    <col min="121" max="122" width="10.5" style="70" bestFit="1" customWidth="1"/>
    <col min="123" max="125" width="10.5" style="70" customWidth="1"/>
    <col min="126" max="126" width="9" style="70" bestFit="1" customWidth="1"/>
    <col min="127" max="127" width="10.5" style="70" bestFit="1" customWidth="1"/>
    <col min="128" max="128" width="9.33203125" style="70" bestFit="1" customWidth="1"/>
    <col min="129" max="129" width="11.6640625" style="70" bestFit="1" customWidth="1"/>
    <col min="130" max="130" width="8.5" style="70" bestFit="1" customWidth="1"/>
    <col min="131" max="131" width="9.5" style="70" bestFit="1" customWidth="1"/>
    <col min="132" max="132" width="9.6640625" style="70" bestFit="1" customWidth="1"/>
    <col min="133" max="133" width="11" style="70" bestFit="1" customWidth="1"/>
    <col min="134" max="134" width="9.5" style="70" bestFit="1" customWidth="1"/>
    <col min="135" max="136" width="9.5" style="70" customWidth="1"/>
    <col min="137" max="137" width="10.5" style="70" bestFit="1" customWidth="1"/>
    <col min="138" max="139" width="14" style="70" customWidth="1"/>
    <col min="140" max="140" width="10.5" style="70" bestFit="1" customWidth="1"/>
    <col min="141" max="141" width="9.5" style="70" bestFit="1" customWidth="1"/>
    <col min="142" max="143" width="10.5" style="70" bestFit="1" customWidth="1"/>
    <col min="144" max="146" width="10.5" style="70" customWidth="1"/>
    <col min="147" max="147" width="9" style="70" bestFit="1" customWidth="1"/>
    <col min="148" max="148" width="10.5" style="70" bestFit="1" customWidth="1"/>
    <col min="149" max="149" width="9.33203125" style="70" bestFit="1" customWidth="1"/>
    <col min="150" max="150" width="11.6640625" style="70" bestFit="1" customWidth="1"/>
    <col min="151" max="151" width="8.5" style="70" bestFit="1" customWidth="1"/>
    <col min="152" max="152" width="9.5" style="70" bestFit="1" customWidth="1"/>
    <col min="153" max="153" width="9.6640625" style="70" bestFit="1" customWidth="1"/>
    <col min="154" max="154" width="11" style="70" bestFit="1" customWidth="1"/>
    <col min="155" max="155" width="9.5" style="70" bestFit="1" customWidth="1"/>
    <col min="156" max="157" width="9.5" style="70" customWidth="1"/>
    <col min="158" max="158" width="11.5" style="70"/>
    <col min="159" max="160" width="14" style="70" bestFit="1" customWidth="1"/>
    <col min="161" max="161" width="10.5" style="70" bestFit="1" customWidth="1"/>
    <col min="162" max="162" width="9.5" style="70" bestFit="1" customWidth="1"/>
    <col min="163" max="164" width="10.5" style="70" bestFit="1" customWidth="1"/>
    <col min="165" max="167" width="10.5" style="70" customWidth="1"/>
    <col min="168" max="168" width="9" style="70" bestFit="1" customWidth="1"/>
    <col min="169" max="169" width="10.5" style="70" bestFit="1" customWidth="1"/>
    <col min="170" max="170" width="9.33203125" style="70" bestFit="1" customWidth="1"/>
    <col min="171" max="171" width="11.6640625" style="70" bestFit="1" customWidth="1"/>
    <col min="172" max="172" width="8.1640625" style="70" bestFit="1" customWidth="1"/>
    <col min="173" max="173" width="9.5" style="70" bestFit="1" customWidth="1"/>
    <col min="174" max="174" width="9.6640625" style="70" bestFit="1" customWidth="1"/>
    <col min="175" max="175" width="11" style="70" bestFit="1" customWidth="1"/>
    <col min="176" max="176" width="9.5" style="70" bestFit="1" customWidth="1"/>
    <col min="177" max="178" width="9.5" style="70" customWidth="1"/>
    <col min="179" max="179" width="10.5" style="70" bestFit="1" customWidth="1"/>
    <col min="180" max="181" width="14" style="70" bestFit="1" customWidth="1"/>
    <col min="182" max="182" width="10.5" style="70" bestFit="1" customWidth="1"/>
    <col min="183" max="183" width="9.5" style="70" bestFit="1" customWidth="1"/>
    <col min="184" max="185" width="10.5" style="70" bestFit="1" customWidth="1"/>
    <col min="186" max="188" width="10.5" style="70" customWidth="1"/>
    <col min="189" max="189" width="9" style="70" bestFit="1" customWidth="1"/>
    <col min="190" max="190" width="10.5" style="70" bestFit="1" customWidth="1"/>
    <col min="191" max="191" width="9.33203125" style="70" bestFit="1" customWidth="1"/>
    <col min="192" max="192" width="11.5" style="70"/>
    <col min="193" max="193" width="8.5" style="70" bestFit="1" customWidth="1"/>
    <col min="194" max="194" width="9.5" style="70" bestFit="1" customWidth="1"/>
    <col min="195" max="195" width="9.6640625" style="70" bestFit="1" customWidth="1"/>
    <col min="196" max="196" width="11" style="70" bestFit="1" customWidth="1"/>
    <col min="197" max="197" width="9.5" style="70" bestFit="1" customWidth="1"/>
    <col min="198" max="199" width="9.5" style="70" customWidth="1"/>
    <col min="200" max="200" width="10.5" style="70" bestFit="1" customWidth="1"/>
    <col min="201" max="201" width="14" style="70" customWidth="1"/>
    <col min="202" max="202" width="14.33203125" style="70" customWidth="1"/>
    <col min="203" max="203" width="10.5" style="70" bestFit="1" customWidth="1"/>
    <col min="204" max="204" width="9.5" style="70" bestFit="1" customWidth="1"/>
    <col min="205" max="206" width="10.5" style="70" bestFit="1" customWidth="1"/>
    <col min="207" max="209" width="10.5" style="70" customWidth="1"/>
    <col min="210" max="210" width="9" style="70" bestFit="1" customWidth="1"/>
    <col min="211" max="211" width="10.5" style="70" bestFit="1" customWidth="1"/>
    <col min="212" max="212" width="9.33203125" style="70" bestFit="1" customWidth="1"/>
    <col min="213" max="213" width="11.6640625" style="70" bestFit="1" customWidth="1"/>
    <col min="214" max="214" width="8.5" style="70" bestFit="1" customWidth="1"/>
    <col min="215" max="215" width="9.5" style="70" bestFit="1" customWidth="1"/>
    <col min="216" max="216" width="9.6640625" style="70" bestFit="1" customWidth="1"/>
    <col min="217" max="217" width="11" style="70" bestFit="1" customWidth="1"/>
    <col min="218" max="218" width="9.5" style="70" bestFit="1" customWidth="1"/>
    <col min="219" max="16384" width="11.5" style="70"/>
  </cols>
  <sheetData>
    <row r="1" spans="1:218" s="5" customFormat="1" ht="27" thickBot="1" x14ac:dyDescent="0.35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Chêne sessile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Cormier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Alisier torminal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Tilleul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>Aulne glutineux</v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/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>Pin laricio</v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>Pin maritime</v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>Peuplier Fritzi Pauley</v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65" thickBot="1" x14ac:dyDescent="0.25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401.86262166363821</v>
      </c>
      <c r="T3" s="62">
        <f>IF('Données projet'!E9&gt;30,$R$33-$H$33,LOOKUP('Données projet'!$E$9,$A$3:$A$203,R3:R203)-LOOKUP('Données projet'!$E$9,$A$3:$A$203,$H$3:$H$203))</f>
        <v>208.60314230781432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407.22515465568205</v>
      </c>
      <c r="AO3" s="62">
        <f>IF('Données projet'!E10&gt;30,$AM$33-$H$33,LOOKUP('Données projet'!$E$10,$A$3:$A$203,AM3:AM203)-LOOKUP('Données projet'!$E$10,$A$3:$A$203,$H$3:$H$203))</f>
        <v>251.6218558398258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357.76044008074308</v>
      </c>
      <c r="BJ3" s="62">
        <f>IF('Données projet'!E11&gt;30,$BH$33-$H$33,LOOKUP('Données projet'!$E$11,$A$3:$A$203,BH3:BH203)-LOOKUP('Données projet'!$E$11,$A$3:$A$203,$H$3:$H$203))</f>
        <v>224.26555772810445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222.86701323374945</v>
      </c>
      <c r="CE3" s="62">
        <f>IF('Données projet'!E12&gt;30,$CC$33-$H$33,LOOKUP('Données projet'!$E$12,$A$3:$A$203,CC3:CC203)-LOOKUP('Données projet'!$E$12,$A$3:$A$203,$H$3:$H$203))</f>
        <v>149.63671045240511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173.15672762188746</v>
      </c>
      <c r="CZ3" s="62">
        <f>IF('Données projet'!E13&gt;30,$CX$33-$H$33,LOOKUP('Données projet'!$E$13,$A$3:$A$203,CX3:CX203)-LOOKUP('Données projet'!$E$13,$A$3:$A$203,$H$3:$H$203))</f>
        <v>208.54841796921414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269.18638759204373</v>
      </c>
      <c r="EP3" s="62">
        <f>IF('Données projet'!E15&gt;30,$EN$33-$H$33,LOOKUP('Données projet'!$E$15,$A$3:$A$203,EN3:EN203)-LOOKUP('Données projet'!$E$15,$A$3:$A$203,$H$3:$H$203))</f>
        <v>197.07126167823969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330.48891719033065</v>
      </c>
      <c r="FK3" s="62">
        <f>IF('Données projet'!E16&gt;30,$FI$33-$H$33,LOOKUP('Données projet'!$E$16,$A$3:$A$203,FI3:FI203)-LOOKUP('Données projet'!$E$16,$A$3:$A$203,$H$3:$H$203))</f>
        <v>419.35494198427284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132.18258156780018</v>
      </c>
      <c r="GF3" s="62">
        <f>IF('Données projet'!E17&gt;30,$GD$33-$H$33,LOOKUP('Données projet'!$E$17,$A$3:$A$203,GD3:GD203)-LOOKUP('Données projet'!$E$17,$A$3:$A$203,$H$3:$H$203))</f>
        <v>315.58133946947294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9">
        <f t="shared" ref="H4:H67" si="1">(B4+E4+F4)*44/12+(C4+D4)*0.475*44/12</f>
        <v>258.93888080135036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3.887142857142857</v>
      </c>
      <c r="N4" s="14">
        <f>IF('Données projet'!$A$36&gt;35,N3+M4-V3,IF(A4&lt;'Données projet'!$A$36,$K$205^A4,IF(A4='Données projet'!$A$36,'Données projet'!$B$36,N3+M4-V3)))</f>
        <v>3.887142857142857</v>
      </c>
      <c r="O4" s="14">
        <f>N4*VLOOKUP('Données projet'!$B$9,Paramètres!$A$1:$I$89,3,0)*VLOOKUP('Données projet'!$B$9,Paramètres!$A$1:$I$89,5,0)</f>
        <v>3.5170868571428571</v>
      </c>
      <c r="P4" s="14">
        <f>EXP(-1.0587+0.8836*LN(O4)+0.284)</f>
        <v>1.400101260019349</v>
      </c>
      <c r="Q4" s="22">
        <f t="shared" ref="Q4:Q34" si="2">(O4+P4)*0.475*44/12</f>
        <v>8.5641026373908407</v>
      </c>
      <c r="R4" s="62">
        <f t="shared" si="0"/>
        <v>266.45299152627967</v>
      </c>
      <c r="S4" s="62">
        <f ca="1">AVERAGE(OFFSET($R$3,0,0,'Données projet'!$E$9+1,1))-AVERAGE(OFFSET($H$3,0,0,'Données projet'!$E$9+1,1))</f>
        <v>401.86262166363821</v>
      </c>
      <c r="T4" s="62">
        <f>$T$3</f>
        <v>208.60314230781432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3.887142857142857</v>
      </c>
      <c r="AI4" s="14">
        <f>IF('Données projet'!$A$62&gt;35,AI3+AH4-AQ3,IF(A4&lt;'Données projet'!$A$62,$AF$205^A4,IF(A4='Données projet'!$A$62,'Données projet'!$B$62,AI3+AH4-AQ3)))</f>
        <v>3.887142857142857</v>
      </c>
      <c r="AJ4" s="14">
        <f>AI4*VLOOKUP('Données projet'!$B$10,Paramètres!$A$1:$I$89,3,0)*VLOOKUP('Données projet'!$B$10,Paramètres!$A$1:$I$89,5,0)</f>
        <v>4.1841205714285712</v>
      </c>
      <c r="AK4" s="14">
        <f>EXP(-1.0587+0.8836*LN(AJ4)+0.284)</f>
        <v>1.6323058154975432</v>
      </c>
      <c r="AL4" s="22">
        <f t="shared" ref="AL4:AL67" si="4">(AJ4+AK4)*0.475*44/12</f>
        <v>10.130275957229648</v>
      </c>
      <c r="AM4" s="62">
        <f t="shared" ref="AM4:AM67" si="5">AL4+(AD4+AE4)*44/12</f>
        <v>268.01916484611849</v>
      </c>
      <c r="AN4" s="62">
        <f ca="1">AVERAGE(OFFSET($AM$3,0,0,'Données projet'!$E$10+1,1))-AVERAGE(OFFSET($H$3,0,0,'Données projet'!$E$10+1,1))</f>
        <v>407.22515465568205</v>
      </c>
      <c r="AO4" s="62">
        <f>$AO$3</f>
        <v>251.6218558398258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3.887142857142857</v>
      </c>
      <c r="BD4" s="13">
        <f>IF('Données projet'!$A$88&gt;35,BD3+BC4-BL3,IF(A4&lt;'Données projet'!$A$88,$BA$205^A4,IF(A4='Données projet'!$A$88,'Données projet'!$B$88,BD3+BC4-BL3)))</f>
        <v>3.887142857142857</v>
      </c>
      <c r="BE4" s="14">
        <f>BD4*VLOOKUP('Données projet'!$B$11,Paramètres!$A$1:$I$89,3,0)*VLOOKUP('Données projet'!$B$11,Paramètres!$A$1:$I$89,5,0)</f>
        <v>3.7596445714285713</v>
      </c>
      <c r="BF4" s="14">
        <f>EXP(-1.0587+0.8836*LN(BE4)+0.284)</f>
        <v>1.4850865614549704</v>
      </c>
      <c r="BG4" s="22">
        <f t="shared" ref="BG4:BG67" si="7">(BE4+BF4)*0.475*44/12</f>
        <v>9.1345733897721697</v>
      </c>
      <c r="BH4" s="62">
        <f t="shared" ref="BH4:BH67" si="8">BG4+(AY4+AZ4)*44/12</f>
        <v>267.02346227866104</v>
      </c>
      <c r="BI4" s="62">
        <f ca="1">AVERAGE(OFFSET($BH$3,0,0,'Données projet'!$E$11+1,1))-AVERAGE(OFFSET($H$3,0,0,'Données projet'!$E$11+1,1))</f>
        <v>357.76044008074308</v>
      </c>
      <c r="BJ4" s="62">
        <f>$BJ$3</f>
        <v>224.26555772810445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3.887142857142857</v>
      </c>
      <c r="BY4" s="13">
        <f>IF('Données projet'!$A$114&gt;35,BY3+BX4-CG3,IF(A4&lt;'Données projet'!$A$114,$BV$205^A4,IF(A4='Données projet'!$A$114,'Données projet'!$B$114,BY3+BX4-CG3)))</f>
        <v>3.887142857142857</v>
      </c>
      <c r="BZ4" s="14">
        <f>BY4*VLOOKUP('Données projet'!$B$12,Paramètres!$A$1:$I$89,3,0)*VLOOKUP('Données projet'!$B$12,Paramètres!$A$1:$I$89,5,0)</f>
        <v>2.6074954285714287</v>
      </c>
      <c r="CA4" s="14">
        <f>EXP(-1.0587+0.8836*LN(BZ4)+0.284)</f>
        <v>1.0747988638721822</v>
      </c>
      <c r="CB4" s="22">
        <f t="shared" ref="CB4:CB67" si="10">(BZ4+CA4)*0.475*44/12</f>
        <v>6.4133292260059553</v>
      </c>
      <c r="CC4" s="62">
        <f t="shared" ref="CC4:CC67" si="11">CB4+(BT4+BU4)*44/12</f>
        <v>264.3022181148948</v>
      </c>
      <c r="CD4" s="62">
        <f ca="1">AVERAGE(OFFSET($CC$3,0,0,'Données projet'!$E$12+1,1))-AVERAGE(OFFSET($H$3,0,0,'Données projet'!$E$12+1,1))</f>
        <v>222.86701323374945</v>
      </c>
      <c r="CE4" s="62">
        <f>$CE$3</f>
        <v>149.63671045240511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1.1000000000000001</v>
      </c>
      <c r="CT4" s="13">
        <f>IF('Données projet'!$A$140&gt;35,CT3+CS4-DB3,IF(A4&lt;'Données projet'!$A$140,$CQ$205^A4,IF(A4='Données projet'!$A$140,'Données projet'!$B$140,CT3+CS4-DB3)))</f>
        <v>1.2709816152101407</v>
      </c>
      <c r="CU4" s="18">
        <f>CT4*VLOOKUP('Données projet'!$B$13,Paramètres!$A$1:$I$89,3,0)*VLOOKUP('Données projet'!$B$13,Paramètres!$A$1:$I$89,5,0)</f>
        <v>0.83274715428568413</v>
      </c>
      <c r="CV4" s="14">
        <f>EXP(-1.0587+0.8836*LN(CU4)+0.284)</f>
        <v>0.39202836439738087</v>
      </c>
      <c r="CW4" s="22">
        <f t="shared" ref="CW4:CW67" si="13">(CU4+CV4)*0.475*44/12</f>
        <v>2.1331506950396717</v>
      </c>
      <c r="CX4" s="62">
        <f t="shared" ref="CX4:CX67" si="14">CW4+(CO4+CP4)*44/12</f>
        <v>260.02203958392852</v>
      </c>
      <c r="CY4" s="62">
        <f ca="1">AVERAGE(OFFSET($CX$3,0,0,'Données projet'!$E$13+1,1))-AVERAGE(OFFSET($H$3,0,0,'Données projet'!$E$13+1,1))</f>
        <v>173.15672762188746</v>
      </c>
      <c r="CZ4" s="62">
        <f>$CZ$3</f>
        <v>208.54841796921414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5.8668181818181813</v>
      </c>
      <c r="EJ4" s="13">
        <f>IF('Données projet'!$A$192&gt;35,EJ3+EI4-ER3,IF(A4&lt;'Données projet'!$A$192,$EG$205^A4,IF(A4='Données projet'!$A$192,'Données projet'!$B$192,EJ3+EI4-ER3)))</f>
        <v>1.2472301622014093</v>
      </c>
      <c r="EK4" s="18">
        <f>EJ4*VLOOKUP('Données projet'!$B$15,Paramètres!$A$1:$I$89,3,0)*VLOOKUP('Données projet'!$B$15,Paramètres!$A$1:$I$89,5,0)</f>
        <v>0.74584363699644274</v>
      </c>
      <c r="EL4" s="14">
        <f>EXP(-1.0587+0.8836*LN(EK4)+0.284)</f>
        <v>0.35565068640491565</v>
      </c>
      <c r="EM4" s="22">
        <f t="shared" ref="EM4:EM67" si="19">(EK4+EL4)*0.475*44/12</f>
        <v>1.918435946590699</v>
      </c>
      <c r="EN4" s="62">
        <f t="shared" ref="EN4:EN67" si="20">EM4+(EE4+EF4)*44/12</f>
        <v>259.80732483547956</v>
      </c>
      <c r="EO4" s="62">
        <f ca="1">AVERAGE(OFFSET($EN$3,0,0,'Données projet'!$E$15+1,1))-AVERAGE(OFFSET($H$3,0,0,'Données projet'!$E$15+1,1))</f>
        <v>269.18638759204373</v>
      </c>
      <c r="EP4" s="62">
        <f>$EP$3</f>
        <v>197.07126167823969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9.5173333333333332</v>
      </c>
      <c r="FE4" s="13">
        <f>IF('Données projet'!$A$218&gt;35,FE3+FD4-FM3,IF(A4&lt;'Données projet'!$A$218,$FB$205^A4,IF(A4='Données projet'!$A$218,'Données projet'!$B$218,FE3+FD4-FM3)))</f>
        <v>1.3920038484156163</v>
      </c>
      <c r="FF4" s="18">
        <f>FE4*VLOOKUP('Données projet'!$B$16,Paramètres!$A$1:$I$89,3,0)*VLOOKUP('Données projet'!$B$16,Paramètres!$A$1:$I$89,5,0)</f>
        <v>0.83241830135253858</v>
      </c>
      <c r="FG4" s="14">
        <f>EXP(-1.0587+0.8836*LN(FF4)+0.284)</f>
        <v>0.39189156891876969</v>
      </c>
      <c r="FH4" s="22">
        <f t="shared" ref="FH4:FH67" si="22">(FF4+FG4)*0.475*44/12</f>
        <v>2.1323396907225285</v>
      </c>
      <c r="FI4" s="62">
        <f t="shared" ref="FI4:FI67" si="23">FH4+(EZ4+FA4)*44/12</f>
        <v>260.02122857961137</v>
      </c>
      <c r="FJ4" s="62">
        <f ca="1">AVERAGE(OFFSET($FI$3,0,0,'Données projet'!$E$16+1,1))-AVERAGE(OFFSET($H$3,0,0,'Données projet'!$E$16+1,1))</f>
        <v>330.48891719033065</v>
      </c>
      <c r="FK4" s="62">
        <f>$FK$3</f>
        <v>419.35494198427284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1</v>
      </c>
      <c r="FZ4" s="13">
        <f>IF('Données projet'!$A$244&gt;35,FZ3+FY4-GH3,IF(A4&lt;'Données projet'!$A$244,$FW$205^A4,IF(A4='Données projet'!$A$244,'Données projet'!$B$244,FZ3+FY4-GH3)))</f>
        <v>1.2968395546510096</v>
      </c>
      <c r="GA4" s="18">
        <f>FZ4*VLOOKUP('Données projet'!$B$17,Paramètres!$A$1:$I$89,3,0)*VLOOKUP('Données projet'!$B$17,Paramètres!$A$1:$I$89,5,0)</f>
        <v>0.65749765420806194</v>
      </c>
      <c r="GB4" s="14">
        <f>EXP(-1.0587+0.8836*LN(GA4)+0.284)</f>
        <v>0.31815839476779184</v>
      </c>
      <c r="GC4" s="22">
        <f t="shared" ref="GC4:GC67" si="25">(GA4+GB4)*0.475*44/12</f>
        <v>1.6992676186329454</v>
      </c>
      <c r="GD4" s="62">
        <f t="shared" ref="GD4:GD67" si="26">GC4+(FU4+FV4)*44/12</f>
        <v>259.58815650752183</v>
      </c>
      <c r="GE4" s="62">
        <f ca="1">AVERAGE(OFFSET($GD$3,0,0,'Données projet'!$E$17+1,1))-AVERAGE(OFFSET($H$3,0,0,'Données projet'!$E$17+1,1))</f>
        <v>132.18258156780018</v>
      </c>
      <c r="GF4" s="62">
        <f>$GF$3</f>
        <v>315.58133946947294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9">
        <f t="shared" si="1"/>
        <v>261.0989294343297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3.887142857142857</v>
      </c>
      <c r="N5" s="14">
        <f>IF('Données projet'!$A$36&gt;35,N4+M5-V4,IF(A5&lt;'Données projet'!$A$36,$K$205^A5,IF(A5='Données projet'!$A$36,'Données projet'!$B$36,N4+M5-V4)))</f>
        <v>7.774285714285714</v>
      </c>
      <c r="O5" s="14">
        <f>N5*VLOOKUP('Données projet'!$B$9,Paramètres!$A$1:$I$89,3,0)*VLOOKUP('Données projet'!$B$9,Paramètres!$A$1:$I$89,5,0)</f>
        <v>7.0341737142857141</v>
      </c>
      <c r="P5" s="14">
        <f t="shared" ref="P5:P68" si="33">EXP(-1.0587+0.8836*LN(O5)+0.284)</f>
        <v>2.5831495528484112</v>
      </c>
      <c r="Q5" s="22">
        <f t="shared" si="2"/>
        <v>16.750171356925268</v>
      </c>
      <c r="R5" s="62">
        <f t="shared" si="0"/>
        <v>275.86128246803639</v>
      </c>
      <c r="S5" s="62">
        <f ca="1">AVERAGE(OFFSET($R$3,0,0,'Données projet'!$E$9+1,1))-AVERAGE(OFFSET($H$3,0,0,'Données projet'!$E$9+1,1))</f>
        <v>401.86262166363821</v>
      </c>
      <c r="T5" s="62">
        <f t="shared" ref="T5:T68" si="34">$T$3</f>
        <v>208.60314230781432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3.887142857142857</v>
      </c>
      <c r="AI5" s="14">
        <f>IF('Données projet'!$A$62&gt;35,AI4+AH5-AQ4,IF(A5&lt;'Données projet'!$A$62,$AF$205^A5,IF(A5='Données projet'!$A$62,'Données projet'!$B$62,AI4+AH5-AQ4)))</f>
        <v>7.774285714285714</v>
      </c>
      <c r="AJ5" s="14">
        <f>AI5*VLOOKUP('Données projet'!$B$10,Paramètres!$A$1:$I$89,3,0)*VLOOKUP('Données projet'!$B$10,Paramètres!$A$1:$I$89,5,0)</f>
        <v>8.3682411428571424</v>
      </c>
      <c r="AK5" s="14">
        <f t="shared" ref="AK5:AK68" si="35">EXP(-1.0587+0.8836*LN(AJ5)+0.284)</f>
        <v>3.0115607762227636</v>
      </c>
      <c r="AL5" s="22">
        <f t="shared" si="4"/>
        <v>19.819821675730836</v>
      </c>
      <c r="AM5" s="62">
        <f t="shared" si="5"/>
        <v>278.93093278684199</v>
      </c>
      <c r="AN5" s="62">
        <f ca="1">AVERAGE(OFFSET($AM$3,0,0,'Données projet'!$E$10+1,1))-AVERAGE(OFFSET($H$3,0,0,'Données projet'!$E$10+1,1))</f>
        <v>407.22515465568205</v>
      </c>
      <c r="AO5" s="62">
        <f t="shared" ref="AO5:AO68" si="36">$AO$3</f>
        <v>251.6218558398258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3.887142857142857</v>
      </c>
      <c r="BD5" s="13">
        <f>IF('Données projet'!$A$88&gt;35,BD4+BC5-BL4,IF(A5&lt;'Données projet'!$A$88,$BA$205^A5,IF(A5='Données projet'!$A$88,'Données projet'!$B$88,BD4+BC5-BL4)))</f>
        <v>7.774285714285714</v>
      </c>
      <c r="BE5" s="14">
        <f>BD5*VLOOKUP('Données projet'!$B$11,Paramètres!$A$1:$I$89,3,0)*VLOOKUP('Données projet'!$B$11,Paramètres!$A$1:$I$89,5,0)</f>
        <v>7.5192891428571427</v>
      </c>
      <c r="BF5" s="14">
        <f t="shared" ref="BF5:BF68" si="37">EXP(-1.0587+0.8836*LN(BE5)+0.284)</f>
        <v>2.7399451716160708</v>
      </c>
      <c r="BG5" s="22">
        <f t="shared" si="7"/>
        <v>17.868166431040844</v>
      </c>
      <c r="BH5" s="62">
        <f t="shared" si="8"/>
        <v>276.97927754215198</v>
      </c>
      <c r="BI5" s="62">
        <f ca="1">AVERAGE(OFFSET($BH$3,0,0,'Données projet'!$E$11+1,1))-AVERAGE(OFFSET($H$3,0,0,'Données projet'!$E$11+1,1))</f>
        <v>357.76044008074308</v>
      </c>
      <c r="BJ5" s="62">
        <f t="shared" ref="BJ5:BJ68" si="38">$BJ$3</f>
        <v>224.26555772810445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3.887142857142857</v>
      </c>
      <c r="BY5" s="13">
        <f>IF('Données projet'!$A$114&gt;35,BY4+BX5-CG4,IF(A5&lt;'Données projet'!$A$114,$BV$205^A5,IF(A5='Données projet'!$A$114,'Données projet'!$B$114,BY4+BX5-CG4)))</f>
        <v>7.774285714285714</v>
      </c>
      <c r="BZ5" s="14">
        <f>BY5*VLOOKUP('Données projet'!$B$12,Paramètres!$A$1:$I$89,3,0)*VLOOKUP('Données projet'!$B$12,Paramètres!$A$1:$I$89,5,0)</f>
        <v>5.2149908571428574</v>
      </c>
      <c r="CA5" s="14">
        <f t="shared" ref="CA5:CA68" si="39">EXP(-1.0587+0.8836*LN(BZ5)+0.284)</f>
        <v>1.982975291783567</v>
      </c>
      <c r="CB5" s="22">
        <f t="shared" si="10"/>
        <v>12.536457709380189</v>
      </c>
      <c r="CC5" s="62">
        <f t="shared" si="11"/>
        <v>271.64756882049136</v>
      </c>
      <c r="CD5" s="62">
        <f ca="1">AVERAGE(OFFSET($CC$3,0,0,'Données projet'!$E$12+1,1))-AVERAGE(OFFSET($H$3,0,0,'Données projet'!$E$12+1,1))</f>
        <v>222.86701323374945</v>
      </c>
      <c r="CE5" s="62">
        <f t="shared" ref="CE5:CE68" si="40">$CE$3</f>
        <v>149.63671045240511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1.1000000000000001</v>
      </c>
      <c r="CT5" s="13">
        <f>IF('Données projet'!$A$140&gt;35,CT4+CS5-DB4,IF(A5&lt;'Données projet'!$A$140,$CQ$205^A5,IF(A5='Données projet'!$A$140,'Données projet'!$B$140,CT4+CS5-DB4)))</f>
        <v>1.6153942662021783</v>
      </c>
      <c r="CU5" s="18">
        <f>CT5*VLOOKUP('Données projet'!$B$13,Paramètres!$A$1:$I$89,3,0)*VLOOKUP('Données projet'!$B$13,Paramètres!$A$1:$I$89,5,0)</f>
        <v>1.0584063232156671</v>
      </c>
      <c r="CV5" s="14">
        <f t="shared" ref="CV5:CV68" si="41">EXP(-1.0587+0.8836*LN(CU5)+0.284)</f>
        <v>0.48454592807852009</v>
      </c>
      <c r="CW5" s="22">
        <f t="shared" si="13"/>
        <v>2.6873085043373757</v>
      </c>
      <c r="CX5" s="62">
        <f t="shared" si="14"/>
        <v>261.79841961544849</v>
      </c>
      <c r="CY5" s="62">
        <f ca="1">AVERAGE(OFFSET($CX$3,0,0,'Données projet'!$E$13+1,1))-AVERAGE(OFFSET($H$3,0,0,'Données projet'!$E$13+1,1))</f>
        <v>173.15672762188746</v>
      </c>
      <c r="CZ5" s="62">
        <f t="shared" ref="CZ5:CZ68" si="42">$CZ$3</f>
        <v>208.54841796921414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5.8668181818181813</v>
      </c>
      <c r="EJ5" s="13">
        <f>IF('Données projet'!$A$192&gt;35,EJ4+EI5-ER4,IF(A5&lt;'Données projet'!$A$192,$EG$205^A5,IF(A5='Données projet'!$A$192,'Données projet'!$B$192,EJ4+EI5-ER4)))</f>
        <v>1.5555830775049537</v>
      </c>
      <c r="EK5" s="18">
        <f>EJ5*VLOOKUP('Données projet'!$B$15,Paramètres!$A$1:$I$89,3,0)*VLOOKUP('Données projet'!$B$15,Paramètres!$A$1:$I$89,5,0)</f>
        <v>0.93023868034796242</v>
      </c>
      <c r="EL5" s="14">
        <f t="shared" ref="EL5:EL68" si="45">EXP(-1.0587+0.8836*LN(EK5)+0.284)</f>
        <v>0.43231675887518456</v>
      </c>
      <c r="EM5" s="22">
        <f t="shared" si="19"/>
        <v>2.373117389980314</v>
      </c>
      <c r="EN5" s="62">
        <f t="shared" si="20"/>
        <v>261.48422850109148</v>
      </c>
      <c r="EO5" s="62">
        <f ca="1">AVERAGE(OFFSET($EN$3,0,0,'Données projet'!$E$15+1,1))-AVERAGE(OFFSET($H$3,0,0,'Données projet'!$E$15+1,1))</f>
        <v>269.18638759204373</v>
      </c>
      <c r="EP5" s="62">
        <f t="shared" ref="EP5:EP68" si="46">$EP$3</f>
        <v>197.07126167823969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9.5173333333333332</v>
      </c>
      <c r="FE5" s="13">
        <f>IF('Données projet'!$A$218&gt;35,FE4+FD5-FM4,IF(A5&lt;'Données projet'!$A$218,$FB$205^A5,IF(A5='Données projet'!$A$218,'Données projet'!$B$218,FE4+FD5-FM4)))</f>
        <v>1.9376747140038861</v>
      </c>
      <c r="FF5" s="18">
        <f>FE5*VLOOKUP('Données projet'!$B$16,Paramètres!$A$1:$I$89,3,0)*VLOOKUP('Données projet'!$B$16,Paramètres!$A$1:$I$89,5,0)</f>
        <v>1.1587294789743241</v>
      </c>
      <c r="FG5" s="14">
        <f t="shared" ref="FG5:FG68" si="47">EXP(-1.0587+0.8836*LN(FF5)+0.284)</f>
        <v>0.52491213075187837</v>
      </c>
      <c r="FH5" s="22">
        <f t="shared" si="22"/>
        <v>2.9323424702731358</v>
      </c>
      <c r="FI5" s="62">
        <f t="shared" si="23"/>
        <v>262.04345358138426</v>
      </c>
      <c r="FJ5" s="62">
        <f ca="1">AVERAGE(OFFSET($FI$3,0,0,'Données projet'!$E$16+1,1))-AVERAGE(OFFSET($H$3,0,0,'Données projet'!$E$16+1,1))</f>
        <v>330.48891719033065</v>
      </c>
      <c r="FK5" s="62">
        <f t="shared" ref="FK5:FK68" si="48">$FK$3</f>
        <v>419.35494198427284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1</v>
      </c>
      <c r="FZ5" s="13">
        <f>IF('Données projet'!$A$244&gt;35,FZ4+FY5-GH4,IF(A5&lt;'Données projet'!$A$244,$FW$205^A5,IF(A5='Données projet'!$A$244,'Données projet'!$B$244,FZ4+FY5-GH4)))</f>
        <v>1.681792830507429</v>
      </c>
      <c r="GA5" s="18">
        <f>FZ5*VLOOKUP('Données projet'!$B$17,Paramètres!$A$1:$I$89,3,0)*VLOOKUP('Données projet'!$B$17,Paramètres!$A$1:$I$89,5,0)</f>
        <v>0.85266896506726653</v>
      </c>
      <c r="GB5" s="14">
        <f t="shared" ref="GB5:GB68" si="49">EXP(-1.0587+0.8836*LN(GA5)+0.284)</f>
        <v>0.4003037659621515</v>
      </c>
      <c r="GC5" s="22">
        <f t="shared" si="25"/>
        <v>2.1822608398762364</v>
      </c>
      <c r="GD5" s="62">
        <f t="shared" si="26"/>
        <v>261.29337195098736</v>
      </c>
      <c r="GE5" s="62">
        <f ca="1">AVERAGE(OFFSET($GD$3,0,0,'Données projet'!$E$17+1,1))-AVERAGE(OFFSET($H$3,0,0,'Données projet'!$E$17+1,1))</f>
        <v>132.18258156780018</v>
      </c>
      <c r="GF5" s="62">
        <f t="shared" ref="GF5:GF68" si="50">$GF$3</f>
        <v>315.58133946947294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9">
        <f t="shared" si="1"/>
        <v>263.22275424061456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3.887142857142857</v>
      </c>
      <c r="N6" s="14">
        <f>IF('Données projet'!$A$36&gt;35,N5+M6-V5,IF(A6&lt;'Données projet'!$A$36,$K$205^A6,IF(A6='Données projet'!$A$36,'Données projet'!$B$36,N5+M6-V5)))</f>
        <v>11.661428571428571</v>
      </c>
      <c r="O6" s="14">
        <f>N6*VLOOKUP('Données projet'!$B$9,Paramètres!$A$1:$I$89,3,0)*VLOOKUP('Données projet'!$B$9,Paramètres!$A$1:$I$89,5,0)</f>
        <v>10.551260571428571</v>
      </c>
      <c r="P6" s="14">
        <f t="shared" si="33"/>
        <v>3.6961006326523931</v>
      </c>
      <c r="Q6" s="22">
        <f t="shared" si="2"/>
        <v>24.814154097107675</v>
      </c>
      <c r="R6" s="62">
        <f t="shared" si="0"/>
        <v>285.147487430441</v>
      </c>
      <c r="S6" s="62">
        <f ca="1">AVERAGE(OFFSET($R$3,0,0,'Données projet'!$E$9+1,1))-AVERAGE(OFFSET($H$3,0,0,'Données projet'!$E$9+1,1))</f>
        <v>401.86262166363821</v>
      </c>
      <c r="T6" s="62">
        <f t="shared" si="34"/>
        <v>208.60314230781432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3.887142857142857</v>
      </c>
      <c r="AI6" s="14">
        <f>IF('Données projet'!$A$62&gt;35,AI5+AH6-AQ5,IF(A6&lt;'Données projet'!$A$62,$AF$205^A6,IF(A6='Données projet'!$A$62,'Données projet'!$B$62,AI5+AH6-AQ5)))</f>
        <v>11.661428571428571</v>
      </c>
      <c r="AJ6" s="14">
        <f>AI6*VLOOKUP('Données projet'!$B$10,Paramètres!$A$1:$I$89,3,0)*VLOOKUP('Données projet'!$B$10,Paramètres!$A$1:$I$89,5,0)</f>
        <v>12.552361714285714</v>
      </c>
      <c r="AK6" s="14">
        <f t="shared" si="35"/>
        <v>4.3090930132148255</v>
      </c>
      <c r="AL6" s="22">
        <f t="shared" si="4"/>
        <v>29.367033650396774</v>
      </c>
      <c r="AM6" s="62">
        <f t="shared" si="5"/>
        <v>289.70036698373008</v>
      </c>
      <c r="AN6" s="62">
        <f ca="1">AVERAGE(OFFSET($AM$3,0,0,'Données projet'!$E$10+1,1))-AVERAGE(OFFSET($H$3,0,0,'Données projet'!$E$10+1,1))</f>
        <v>407.22515465568205</v>
      </c>
      <c r="AO6" s="62">
        <f t="shared" si="36"/>
        <v>251.6218558398258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3.887142857142857</v>
      </c>
      <c r="BD6" s="13">
        <f>IF('Données projet'!$A$88&gt;35,BD5+BC6-BL5,IF(A6&lt;'Données projet'!$A$88,$BA$205^A6,IF(A6='Données projet'!$A$88,'Données projet'!$B$88,BD5+BC6-BL5)))</f>
        <v>11.661428571428571</v>
      </c>
      <c r="BE6" s="14">
        <f>BD6*VLOOKUP('Données projet'!$B$11,Paramètres!$A$1:$I$89,3,0)*VLOOKUP('Données projet'!$B$11,Paramètres!$A$1:$I$89,5,0)</f>
        <v>11.278933714285714</v>
      </c>
      <c r="BF6" s="14">
        <f t="shared" si="37"/>
        <v>3.9204517102294627</v>
      </c>
      <c r="BG6" s="22">
        <f t="shared" si="7"/>
        <v>26.472262947697264</v>
      </c>
      <c r="BH6" s="62">
        <f t="shared" si="8"/>
        <v>286.8055962810306</v>
      </c>
      <c r="BI6" s="62">
        <f ca="1">AVERAGE(OFFSET($BH$3,0,0,'Données projet'!$E$11+1,1))-AVERAGE(OFFSET($H$3,0,0,'Données projet'!$E$11+1,1))</f>
        <v>357.76044008074308</v>
      </c>
      <c r="BJ6" s="62">
        <f t="shared" si="38"/>
        <v>224.26555772810445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3.887142857142857</v>
      </c>
      <c r="BY6" s="13">
        <f>IF('Données projet'!$A$114&gt;35,BY5+BX6-CG5,IF(A6&lt;'Données projet'!$A$114,$BV$205^A6,IF(A6='Données projet'!$A$114,'Données projet'!$B$114,BY5+BX6-CG5)))</f>
        <v>11.661428571428571</v>
      </c>
      <c r="BZ6" s="14">
        <f>BY6*VLOOKUP('Données projet'!$B$12,Paramètres!$A$1:$I$89,3,0)*VLOOKUP('Données projet'!$B$12,Paramètres!$A$1:$I$89,5,0)</f>
        <v>7.8224862857142856</v>
      </c>
      <c r="CA6" s="14">
        <f t="shared" si="39"/>
        <v>2.8373410368026852</v>
      </c>
      <c r="CB6" s="22">
        <f t="shared" si="10"/>
        <v>18.565865920050392</v>
      </c>
      <c r="CC6" s="62">
        <f t="shared" si="11"/>
        <v>278.8991992533837</v>
      </c>
      <c r="CD6" s="62">
        <f ca="1">AVERAGE(OFFSET($CC$3,0,0,'Données projet'!$E$12+1,1))-AVERAGE(OFFSET($H$3,0,0,'Données projet'!$E$12+1,1))</f>
        <v>222.86701323374945</v>
      </c>
      <c r="CE6" s="62">
        <f t="shared" si="40"/>
        <v>149.63671045240511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1.1000000000000001</v>
      </c>
      <c r="CT6" s="13">
        <f>IF('Données projet'!$A$140&gt;35,CT5+CS6-DB5,IF(A6&lt;'Données projet'!$A$140,$CQ$205^A6,IF(A6='Données projet'!$A$140,'Données projet'!$B$140,CT5+CS6-DB5)))</f>
        <v>2.0531364136588448</v>
      </c>
      <c r="CU6" s="18">
        <f>CT6*VLOOKUP('Données projet'!$B$13,Paramètres!$A$1:$I$89,3,0)*VLOOKUP('Données projet'!$B$13,Paramètres!$A$1:$I$89,5,0)</f>
        <v>1.3452149782292753</v>
      </c>
      <c r="CV6" s="14">
        <f t="shared" si="41"/>
        <v>0.59889737003693966</v>
      </c>
      <c r="CW6" s="22">
        <f t="shared" si="13"/>
        <v>3.3859956732303242</v>
      </c>
      <c r="CX6" s="62">
        <f t="shared" si="14"/>
        <v>263.71932900656361</v>
      </c>
      <c r="CY6" s="62">
        <f ca="1">AVERAGE(OFFSET($CX$3,0,0,'Données projet'!$E$13+1,1))-AVERAGE(OFFSET($H$3,0,0,'Données projet'!$E$13+1,1))</f>
        <v>173.15672762188746</v>
      </c>
      <c r="CZ6" s="62">
        <f t="shared" si="42"/>
        <v>208.54841796921414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5.8668181818181813</v>
      </c>
      <c r="EJ6" s="13">
        <f>IF('Données projet'!$A$192&gt;35,EJ5+EI6-ER5,IF(A6&lt;'Données projet'!$A$192,$EG$205^A6,IF(A6='Données projet'!$A$192,'Données projet'!$B$192,EJ5+EI6-ER5)))</f>
        <v>1.9401701340742707</v>
      </c>
      <c r="EK6" s="18">
        <f>EJ6*VLOOKUP('Données projet'!$B$15,Paramètres!$A$1:$I$89,3,0)*VLOOKUP('Données projet'!$B$15,Paramètres!$A$1:$I$89,5,0)</f>
        <v>1.1602217401764139</v>
      </c>
      <c r="EL6" s="14">
        <f t="shared" si="45"/>
        <v>0.52550940332379237</v>
      </c>
      <c r="EM6" s="22">
        <f t="shared" si="19"/>
        <v>2.9359817415961924</v>
      </c>
      <c r="EN6" s="62">
        <f t="shared" si="20"/>
        <v>263.26931507492952</v>
      </c>
      <c r="EO6" s="62">
        <f ca="1">AVERAGE(OFFSET($EN$3,0,0,'Données projet'!$E$15+1,1))-AVERAGE(OFFSET($H$3,0,0,'Données projet'!$E$15+1,1))</f>
        <v>269.18638759204373</v>
      </c>
      <c r="EP6" s="62">
        <f t="shared" si="46"/>
        <v>197.07126167823969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9.5173333333333332</v>
      </c>
      <c r="FE6" s="13">
        <f>IF('Données projet'!$A$218&gt;35,FE5+FD6-FM5,IF(A6&lt;'Données projet'!$A$218,$FB$205^A6,IF(A6='Données projet'!$A$218,'Données projet'!$B$218,FE5+FD6-FM5)))</f>
        <v>2.6972506588710381</v>
      </c>
      <c r="FF6" s="18">
        <f>FE6*VLOOKUP('Données projet'!$B$16,Paramètres!$A$1:$I$89,3,0)*VLOOKUP('Données projet'!$B$16,Paramètres!$A$1:$I$89,5,0)</f>
        <v>1.6129558940048809</v>
      </c>
      <c r="FG6" s="14">
        <f t="shared" si="47"/>
        <v>0.70308413567220385</v>
      </c>
      <c r="FH6" s="22">
        <f t="shared" si="22"/>
        <v>4.0337697183542565</v>
      </c>
      <c r="FI6" s="62">
        <f t="shared" si="23"/>
        <v>264.36710305168759</v>
      </c>
      <c r="FJ6" s="62">
        <f ca="1">AVERAGE(OFFSET($FI$3,0,0,'Données projet'!$E$16+1,1))-AVERAGE(OFFSET($H$3,0,0,'Données projet'!$E$16+1,1))</f>
        <v>330.48891719033065</v>
      </c>
      <c r="FK6" s="62">
        <f t="shared" si="48"/>
        <v>419.35494198427284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1</v>
      </c>
      <c r="FZ6" s="13">
        <f>IF('Données projet'!$A$244&gt;35,FZ5+FY6-GH5,IF(A6&lt;'Données projet'!$A$244,$FW$205^A6,IF(A6='Données projet'!$A$244,'Données projet'!$B$244,FZ5+FY6-GH5)))</f>
        <v>2.1810154653305154</v>
      </c>
      <c r="GA6" s="18">
        <f>FZ6*VLOOKUP('Données projet'!$B$17,Paramètres!$A$1:$I$89,3,0)*VLOOKUP('Données projet'!$B$17,Paramètres!$A$1:$I$89,5,0)</f>
        <v>1.1057748409225714</v>
      </c>
      <c r="GB6" s="14">
        <f t="shared" si="49"/>
        <v>0.50365826480999987</v>
      </c>
      <c r="GC6" s="22">
        <f t="shared" si="25"/>
        <v>2.8030959924842285</v>
      </c>
      <c r="GD6" s="62">
        <f t="shared" si="26"/>
        <v>263.13642932581752</v>
      </c>
      <c r="GE6" s="62">
        <f ca="1">AVERAGE(OFFSET($GD$3,0,0,'Données projet'!$E$17+1,1))-AVERAGE(OFFSET($H$3,0,0,'Données projet'!$E$17+1,1))</f>
        <v>132.18258156780018</v>
      </c>
      <c r="GF6" s="62">
        <f t="shared" si="50"/>
        <v>315.58133946947294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9">
        <f t="shared" si="1"/>
        <v>265.32424983728947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3.887142857142857</v>
      </c>
      <c r="N7" s="14">
        <f>IF('Données projet'!$A$36&gt;35,N6+M7-V6,IF(A7&lt;'Données projet'!$A$36,$K$205^A7,IF(A7='Données projet'!$A$36,'Données projet'!$B$36,N6+M7-V6)))</f>
        <v>15.548571428571428</v>
      </c>
      <c r="O7" s="14">
        <f>N7*VLOOKUP('Données projet'!$B$9,Paramètres!$A$1:$I$89,3,0)*VLOOKUP('Données projet'!$B$9,Paramètres!$A$1:$I$89,5,0)</f>
        <v>14.068347428571428</v>
      </c>
      <c r="P7" s="14">
        <f t="shared" si="33"/>
        <v>4.7658421593654818</v>
      </c>
      <c r="Q7" s="22">
        <f t="shared" si="2"/>
        <v>32.802880198990124</v>
      </c>
      <c r="R7" s="62">
        <f t="shared" si="0"/>
        <v>294.35843575454567</v>
      </c>
      <c r="S7" s="62">
        <f ca="1">AVERAGE(OFFSET($R$3,0,0,'Données projet'!$E$9+1,1))-AVERAGE(OFFSET($H$3,0,0,'Données projet'!$E$9+1,1))</f>
        <v>401.86262166363821</v>
      </c>
      <c r="T7" s="62">
        <f t="shared" si="34"/>
        <v>208.60314230781432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3.887142857142857</v>
      </c>
      <c r="AI7" s="14">
        <f>IF('Données projet'!$A$62&gt;35,AI6+AH7-AQ6,IF(A7&lt;'Données projet'!$A$62,$AF$205^A7,IF(A7='Données projet'!$A$62,'Données projet'!$B$62,AI6+AH7-AQ6)))</f>
        <v>15.548571428571428</v>
      </c>
      <c r="AJ7" s="14">
        <f>AI7*VLOOKUP('Données projet'!$B$10,Paramètres!$A$1:$I$89,3,0)*VLOOKUP('Données projet'!$B$10,Paramètres!$A$1:$I$89,5,0)</f>
        <v>16.736482285714285</v>
      </c>
      <c r="AK7" s="14">
        <f t="shared" si="35"/>
        <v>5.55624946181974</v>
      </c>
      <c r="AL7" s="22">
        <f t="shared" si="4"/>
        <v>38.826507793621758</v>
      </c>
      <c r="AM7" s="62">
        <f t="shared" si="5"/>
        <v>300.38206334917732</v>
      </c>
      <c r="AN7" s="62">
        <f ca="1">AVERAGE(OFFSET($AM$3,0,0,'Données projet'!$E$10+1,1))-AVERAGE(OFFSET($H$3,0,0,'Données projet'!$E$10+1,1))</f>
        <v>407.22515465568205</v>
      </c>
      <c r="AO7" s="62">
        <f t="shared" si="36"/>
        <v>251.6218558398258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3.887142857142857</v>
      </c>
      <c r="BD7" s="13">
        <f>IF('Données projet'!$A$88&gt;35,BD6+BC7-BL6,IF(A7&lt;'Données projet'!$A$88,$BA$205^A7,IF(A7='Données projet'!$A$88,'Données projet'!$B$88,BD6+BC7-BL6)))</f>
        <v>15.548571428571428</v>
      </c>
      <c r="BE7" s="14">
        <f>BD7*VLOOKUP('Données projet'!$B$11,Paramètres!$A$1:$I$89,3,0)*VLOOKUP('Données projet'!$B$11,Paramètres!$A$1:$I$89,5,0)</f>
        <v>15.038578285714285</v>
      </c>
      <c r="BF7" s="14">
        <f t="shared" si="37"/>
        <v>5.0551259019589807</v>
      </c>
      <c r="BG7" s="22">
        <f t="shared" si="7"/>
        <v>34.996534793530941</v>
      </c>
      <c r="BH7" s="62">
        <f t="shared" si="8"/>
        <v>296.55209034908648</v>
      </c>
      <c r="BI7" s="62">
        <f ca="1">AVERAGE(OFFSET($BH$3,0,0,'Données projet'!$E$11+1,1))-AVERAGE(OFFSET($H$3,0,0,'Données projet'!$E$11+1,1))</f>
        <v>357.76044008074308</v>
      </c>
      <c r="BJ7" s="62">
        <f t="shared" si="38"/>
        <v>224.26555772810445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3.887142857142857</v>
      </c>
      <c r="BY7" s="13">
        <f>IF('Données projet'!$A$114&gt;35,BY6+BX7-CG6,IF(A7&lt;'Données projet'!$A$114,$BV$205^A7,IF(A7='Données projet'!$A$114,'Données projet'!$B$114,BY6+BX7-CG6)))</f>
        <v>15.548571428571428</v>
      </c>
      <c r="BZ7" s="14">
        <f>BY7*VLOOKUP('Données projet'!$B$12,Paramètres!$A$1:$I$89,3,0)*VLOOKUP('Données projet'!$B$12,Paramètres!$A$1:$I$89,5,0)</f>
        <v>10.429981714285715</v>
      </c>
      <c r="CA7" s="14">
        <f t="shared" si="39"/>
        <v>3.6585366248505338</v>
      </c>
      <c r="CB7" s="22">
        <f t="shared" si="10"/>
        <v>24.53750277399563</v>
      </c>
      <c r="CC7" s="62">
        <f t="shared" si="11"/>
        <v>286.09305832955118</v>
      </c>
      <c r="CD7" s="62">
        <f ca="1">AVERAGE(OFFSET($CC$3,0,0,'Données projet'!$E$12+1,1))-AVERAGE(OFFSET($H$3,0,0,'Données projet'!$E$12+1,1))</f>
        <v>222.86701323374945</v>
      </c>
      <c r="CE7" s="62">
        <f t="shared" si="40"/>
        <v>149.63671045240511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1.1000000000000001</v>
      </c>
      <c r="CT7" s="13">
        <f>IF('Données projet'!$A$140&gt;35,CT6+CS7-DB6,IF(A7&lt;'Données projet'!$A$140,$CQ$205^A7,IF(A7='Données projet'!$A$140,'Données projet'!$B$140,CT6+CS7-DB6)))</f>
        <v>2.6094986352788743</v>
      </c>
      <c r="CU7" s="18">
        <f>CT7*VLOOKUP('Données projet'!$B$13,Paramètres!$A$1:$I$89,3,0)*VLOOKUP('Données projet'!$B$13,Paramètres!$A$1:$I$89,5,0)</f>
        <v>1.7097435058347183</v>
      </c>
      <c r="CV7" s="14">
        <f t="shared" si="41"/>
        <v>0.74023542259349984</v>
      </c>
      <c r="CW7" s="22">
        <f t="shared" si="13"/>
        <v>4.2670466336791462</v>
      </c>
      <c r="CX7" s="62">
        <f t="shared" si="14"/>
        <v>265.82260218923471</v>
      </c>
      <c r="CY7" s="62">
        <f ca="1">AVERAGE(OFFSET($CX$3,0,0,'Données projet'!$E$13+1,1))-AVERAGE(OFFSET($H$3,0,0,'Données projet'!$E$13+1,1))</f>
        <v>173.15672762188746</v>
      </c>
      <c r="CZ7" s="62">
        <f t="shared" si="42"/>
        <v>208.54841796921414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5.8668181818181813</v>
      </c>
      <c r="EJ7" s="13">
        <f>IF('Données projet'!$A$192&gt;35,EJ6+EI7-ER6,IF(A7&lt;'Données projet'!$A$192,$EG$205^A7,IF(A7='Données projet'!$A$192,'Données projet'!$B$192,EJ6+EI7-ER6)))</f>
        <v>2.419838711019783</v>
      </c>
      <c r="EK7" s="18">
        <f>EJ7*VLOOKUP('Données projet'!$B$15,Paramètres!$A$1:$I$89,3,0)*VLOOKUP('Données projet'!$B$15,Paramètres!$A$1:$I$89,5,0)</f>
        <v>1.4470635491898303</v>
      </c>
      <c r="EL7" s="14">
        <f t="shared" si="45"/>
        <v>0.63879118103182142</v>
      </c>
      <c r="EM7" s="22">
        <f t="shared" si="19"/>
        <v>3.6328636551360431</v>
      </c>
      <c r="EN7" s="62">
        <f t="shared" si="20"/>
        <v>265.18841921069156</v>
      </c>
      <c r="EO7" s="62">
        <f ca="1">AVERAGE(OFFSET($EN$3,0,0,'Données projet'!$E$15+1,1))-AVERAGE(OFFSET($H$3,0,0,'Données projet'!$E$15+1,1))</f>
        <v>269.18638759204373</v>
      </c>
      <c r="EP7" s="62">
        <f t="shared" si="46"/>
        <v>197.07126167823969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9.5173333333333332</v>
      </c>
      <c r="FE7" s="13">
        <f>IF('Données projet'!$A$218&gt;35,FE6+FD7-FM6,IF(A7&lt;'Données projet'!$A$218,$FB$205^A7,IF(A7='Données projet'!$A$218,'Données projet'!$B$218,FE6+FD7-FM6)))</f>
        <v>3.7545832972900421</v>
      </c>
      <c r="FF7" s="18">
        <f>FE7*VLOOKUP('Données projet'!$B$16,Paramètres!$A$1:$I$89,3,0)*VLOOKUP('Données projet'!$B$16,Paramètres!$A$1:$I$89,5,0)</f>
        <v>2.2452408117794453</v>
      </c>
      <c r="FG7" s="14">
        <f t="shared" si="47"/>
        <v>0.94173343093797601</v>
      </c>
      <c r="FH7" s="22">
        <f t="shared" si="22"/>
        <v>5.550646806066176</v>
      </c>
      <c r="FI7" s="62">
        <f t="shared" si="23"/>
        <v>267.10620236162174</v>
      </c>
      <c r="FJ7" s="62">
        <f ca="1">AVERAGE(OFFSET($FI$3,0,0,'Données projet'!$E$16+1,1))-AVERAGE(OFFSET($H$3,0,0,'Données projet'!$E$16+1,1))</f>
        <v>330.48891719033065</v>
      </c>
      <c r="FK7" s="62">
        <f t="shared" si="48"/>
        <v>419.35494198427284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1</v>
      </c>
      <c r="FZ7" s="13">
        <f>IF('Données projet'!$A$244&gt;35,FZ6+FY7-GH6,IF(A7&lt;'Données projet'!$A$244,$FW$205^A7,IF(A7='Données projet'!$A$244,'Données projet'!$B$244,FZ6+FY7-GH6)))</f>
        <v>2.8284271247461898</v>
      </c>
      <c r="GA7" s="18">
        <f>FZ7*VLOOKUP('Données projet'!$B$17,Paramètres!$A$1:$I$89,3,0)*VLOOKUP('Données projet'!$B$17,Paramètres!$A$1:$I$89,5,0)</f>
        <v>1.4340125522463183</v>
      </c>
      <c r="GB7" s="14">
        <f t="shared" si="49"/>
        <v>0.63369787966322677</v>
      </c>
      <c r="GC7" s="22">
        <f t="shared" si="25"/>
        <v>3.6012623355757909</v>
      </c>
      <c r="GD7" s="62">
        <f t="shared" si="26"/>
        <v>265.15681789113131</v>
      </c>
      <c r="GE7" s="62">
        <f ca="1">AVERAGE(OFFSET($GD$3,0,0,'Données projet'!$E$17+1,1))-AVERAGE(OFFSET($H$3,0,0,'Données projet'!$E$17+1,1))</f>
        <v>132.18258156780018</v>
      </c>
      <c r="GF7" s="62">
        <f t="shared" si="50"/>
        <v>315.58133946947294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9">
        <f t="shared" si="1"/>
        <v>267.40971372031277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3.887142857142857</v>
      </c>
      <c r="N8" s="14">
        <f>IF('Données projet'!$A$36&gt;35,N7+M8-V7,IF(A8&lt;'Données projet'!$A$36,$K$205^A8,IF(A8='Données projet'!$A$36,'Données projet'!$B$36,N7+M8-V7)))</f>
        <v>19.435714285714283</v>
      </c>
      <c r="O8" s="14">
        <f>N8*VLOOKUP('Données projet'!$B$9,Paramètres!$A$1:$I$89,3,0)*VLOOKUP('Données projet'!$B$9,Paramètres!$A$1:$I$89,5,0)</f>
        <v>17.585434285714282</v>
      </c>
      <c r="P8" s="14">
        <f t="shared" si="33"/>
        <v>5.804560501905633</v>
      </c>
      <c r="Q8" s="22">
        <f t="shared" si="2"/>
        <v>40.737574255104683</v>
      </c>
      <c r="R8" s="62">
        <f t="shared" si="0"/>
        <v>303.51535203288245</v>
      </c>
      <c r="S8" s="62">
        <f ca="1">AVERAGE(OFFSET($R$3,0,0,'Données projet'!$E$9+1,1))-AVERAGE(OFFSET($H$3,0,0,'Données projet'!$E$9+1,1))</f>
        <v>401.86262166363821</v>
      </c>
      <c r="T8" s="62">
        <f t="shared" si="34"/>
        <v>208.60314230781432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3.887142857142857</v>
      </c>
      <c r="AI8" s="14">
        <f>IF('Données projet'!$A$62&gt;35,AI7+AH8-AQ7,IF(A8&lt;'Données projet'!$A$62,$AF$205^A8,IF(A8='Données projet'!$A$62,'Données projet'!$B$62,AI7+AH8-AQ7)))</f>
        <v>19.435714285714283</v>
      </c>
      <c r="AJ8" s="14">
        <f>AI8*VLOOKUP('Données projet'!$B$10,Paramètres!$A$1:$I$89,3,0)*VLOOKUP('Données projet'!$B$10,Paramètres!$A$1:$I$89,5,0)</f>
        <v>20.920602857142853</v>
      </c>
      <c r="AK8" s="14">
        <f t="shared" si="35"/>
        <v>6.767237580756813</v>
      </c>
      <c r="AL8" s="22">
        <f t="shared" si="4"/>
        <v>48.22298876267525</v>
      </c>
      <c r="AM8" s="62">
        <f t="shared" si="5"/>
        <v>311.00076654045301</v>
      </c>
      <c r="AN8" s="62">
        <f ca="1">AVERAGE(OFFSET($AM$3,0,0,'Données projet'!$E$10+1,1))-AVERAGE(OFFSET($H$3,0,0,'Données projet'!$E$10+1,1))</f>
        <v>407.22515465568205</v>
      </c>
      <c r="AO8" s="62">
        <f t="shared" si="36"/>
        <v>251.6218558398258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3.887142857142857</v>
      </c>
      <c r="BD8" s="13">
        <f>IF('Données projet'!$A$88&gt;35,BD7+BC8-BL7,IF(A8&lt;'Données projet'!$A$88,$BA$205^A8,IF(A8='Données projet'!$A$88,'Données projet'!$B$88,BD7+BC8-BL7)))</f>
        <v>19.435714285714283</v>
      </c>
      <c r="BE8" s="14">
        <f>BD8*VLOOKUP('Données projet'!$B$11,Paramètres!$A$1:$I$89,3,0)*VLOOKUP('Données projet'!$B$11,Paramètres!$A$1:$I$89,5,0)</f>
        <v>18.798222857142854</v>
      </c>
      <c r="BF8" s="14">
        <f t="shared" si="37"/>
        <v>6.1568938209606667</v>
      </c>
      <c r="BG8" s="22">
        <f t="shared" si="7"/>
        <v>43.4634948810303</v>
      </c>
      <c r="BH8" s="62">
        <f t="shared" si="8"/>
        <v>306.24127265880804</v>
      </c>
      <c r="BI8" s="62">
        <f ca="1">AVERAGE(OFFSET($BH$3,0,0,'Données projet'!$E$11+1,1))-AVERAGE(OFFSET($H$3,0,0,'Données projet'!$E$11+1,1))</f>
        <v>357.76044008074308</v>
      </c>
      <c r="BJ8" s="62">
        <f t="shared" si="38"/>
        <v>224.26555772810445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3.887142857142857</v>
      </c>
      <c r="BY8" s="13">
        <f>IF('Données projet'!$A$114&gt;35,BY7+BX8-CG7,IF(A8&lt;'Données projet'!$A$114,$BV$205^A8,IF(A8='Données projet'!$A$114,'Données projet'!$B$114,BY7+BX8-CG7)))</f>
        <v>19.435714285714283</v>
      </c>
      <c r="BZ8" s="14">
        <f>BY8*VLOOKUP('Données projet'!$B$12,Paramètres!$A$1:$I$89,3,0)*VLOOKUP('Données projet'!$B$12,Paramètres!$A$1:$I$89,5,0)</f>
        <v>13.037477142857142</v>
      </c>
      <c r="CA8" s="14">
        <f t="shared" si="39"/>
        <v>4.4559170189156907</v>
      </c>
      <c r="CB8" s="22">
        <f t="shared" si="10"/>
        <v>30.46766149842102</v>
      </c>
      <c r="CC8" s="62">
        <f t="shared" si="11"/>
        <v>293.24543927619879</v>
      </c>
      <c r="CD8" s="62">
        <f ca="1">AVERAGE(OFFSET($CC$3,0,0,'Données projet'!$E$12+1,1))-AVERAGE(OFFSET($H$3,0,0,'Données projet'!$E$12+1,1))</f>
        <v>222.86701323374945</v>
      </c>
      <c r="CE8" s="62">
        <f t="shared" si="40"/>
        <v>149.63671045240511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1.1000000000000001</v>
      </c>
      <c r="CT8" s="13">
        <f>IF('Données projet'!$A$140&gt;35,CT7+CS8-DB7,IF(A8&lt;'Données projet'!$A$140,$CQ$205^A8,IF(A8='Données projet'!$A$140,'Données projet'!$B$140,CT7+CS8-DB7)))</f>
        <v>3.3166247903554016</v>
      </c>
      <c r="CU8" s="18">
        <f>CT8*VLOOKUP('Données projet'!$B$13,Paramètres!$A$1:$I$89,3,0)*VLOOKUP('Données projet'!$B$13,Paramètres!$A$1:$I$89,5,0)</f>
        <v>2.173052562640859</v>
      </c>
      <c r="CV8" s="14">
        <f t="shared" si="41"/>
        <v>0.91492884804015795</v>
      </c>
      <c r="CW8" s="22">
        <f t="shared" si="13"/>
        <v>5.3782342902694369</v>
      </c>
      <c r="CX8" s="62">
        <f t="shared" si="14"/>
        <v>268.15601206804723</v>
      </c>
      <c r="CY8" s="62">
        <f ca="1">AVERAGE(OFFSET($CX$3,0,0,'Données projet'!$E$13+1,1))-AVERAGE(OFFSET($H$3,0,0,'Données projet'!$E$13+1,1))</f>
        <v>173.15672762188746</v>
      </c>
      <c r="CZ8" s="62">
        <f t="shared" si="42"/>
        <v>208.54841796921414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5.8668181818181813</v>
      </c>
      <c r="EJ8" s="13">
        <f>IF('Données projet'!$A$192&gt;35,EJ7+EI8-ER7,IF(A8&lt;'Données projet'!$A$192,$EG$205^A8,IF(A8='Données projet'!$A$192,'Données projet'!$B$192,EJ7+EI8-ER7)))</f>
        <v>3.0180958280464529</v>
      </c>
      <c r="EK8" s="18">
        <f>EJ8*VLOOKUP('Données projet'!$B$15,Paramètres!$A$1:$I$89,3,0)*VLOOKUP('Données projet'!$B$15,Paramètres!$A$1:$I$89,5,0)</f>
        <v>1.804821305171779</v>
      </c>
      <c r="EL8" s="14">
        <f t="shared" si="45"/>
        <v>0.77649261912941803</v>
      </c>
      <c r="EM8" s="22">
        <f t="shared" si="19"/>
        <v>4.4957884181579182</v>
      </c>
      <c r="EN8" s="62">
        <f t="shared" si="20"/>
        <v>267.2735661959357</v>
      </c>
      <c r="EO8" s="62">
        <f ca="1">AVERAGE(OFFSET($EN$3,0,0,'Données projet'!$E$15+1,1))-AVERAGE(OFFSET($H$3,0,0,'Données projet'!$E$15+1,1))</f>
        <v>269.18638759204373</v>
      </c>
      <c r="EP8" s="62">
        <f t="shared" si="46"/>
        <v>197.07126167823969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9.5173333333333332</v>
      </c>
      <c r="FE8" s="13">
        <f>IF('Données projet'!$A$218&gt;35,FE7+FD8-FM7,IF(A8&lt;'Données projet'!$A$218,$FB$205^A8,IF(A8='Données projet'!$A$218,'Données projet'!$B$218,FE7+FD8-FM7)))</f>
        <v>5.2263943990247324</v>
      </c>
      <c r="FF8" s="18">
        <f>FE8*VLOOKUP('Données projet'!$B$16,Paramètres!$A$1:$I$89,3,0)*VLOOKUP('Données projet'!$B$16,Paramètres!$A$1:$I$89,5,0)</f>
        <v>3.1253838506167906</v>
      </c>
      <c r="FG8" s="14">
        <f t="shared" si="47"/>
        <v>1.261387947686093</v>
      </c>
      <c r="FH8" s="22">
        <f t="shared" si="22"/>
        <v>7.640294215377522</v>
      </c>
      <c r="FI8" s="62">
        <f t="shared" si="23"/>
        <v>270.41807199315531</v>
      </c>
      <c r="FJ8" s="62">
        <f ca="1">AVERAGE(OFFSET($FI$3,0,0,'Données projet'!$E$16+1,1))-AVERAGE(OFFSET($H$3,0,0,'Données projet'!$E$16+1,1))</f>
        <v>330.48891719033065</v>
      </c>
      <c r="FK8" s="62">
        <f t="shared" si="48"/>
        <v>419.35494198427284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1</v>
      </c>
      <c r="FZ8" s="13">
        <f>IF('Données projet'!$A$244&gt;35,FZ7+FY8-GH7,IF(A8&lt;'Données projet'!$A$244,$FW$205^A8,IF(A8='Données projet'!$A$244,'Données projet'!$B$244,FZ7+FY8-GH7)))</f>
        <v>3.6680161728186844</v>
      </c>
      <c r="GA8" s="18">
        <f>FZ8*VLOOKUP('Données projet'!$B$17,Paramètres!$A$1:$I$89,3,0)*VLOOKUP('Données projet'!$B$17,Paramètres!$A$1:$I$89,5,0)</f>
        <v>1.8596841996190732</v>
      </c>
      <c r="GB8" s="14">
        <f t="shared" si="49"/>
        <v>0.79731244525721989</v>
      </c>
      <c r="GC8" s="22">
        <f t="shared" si="25"/>
        <v>4.6276024898262103</v>
      </c>
      <c r="GD8" s="62">
        <f t="shared" si="26"/>
        <v>267.40538026760396</v>
      </c>
      <c r="GE8" s="62">
        <f ca="1">AVERAGE(OFFSET($GD$3,0,0,'Données projet'!$E$17+1,1))-AVERAGE(OFFSET($H$3,0,0,'Données projet'!$E$17+1,1))</f>
        <v>132.18258156780018</v>
      </c>
      <c r="GF8" s="62">
        <f t="shared" si="50"/>
        <v>315.58133946947294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9">
        <f t="shared" si="1"/>
        <v>269.48273824430697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3.887142857142857</v>
      </c>
      <c r="N9" s="14">
        <f>IF('Données projet'!$A$36&gt;35,N8+M9-V8,IF(A9&lt;'Données projet'!$A$36,$K$205^A9,IF(A9='Données projet'!$A$36,'Données projet'!$B$36,N8+M9-V8)))</f>
        <v>23.322857142857139</v>
      </c>
      <c r="O9" s="14">
        <f>N9*VLOOKUP('Données projet'!$B$9,Paramètres!$A$1:$I$89,3,0)*VLOOKUP('Données projet'!$B$9,Paramètres!$A$1:$I$89,5,0)</f>
        <v>21.102521142857139</v>
      </c>
      <c r="P9" s="14">
        <f t="shared" si="33"/>
        <v>6.8192072738987575</v>
      </c>
      <c r="Q9" s="22">
        <f t="shared" si="2"/>
        <v>48.630343659183183</v>
      </c>
      <c r="R9" s="62">
        <f t="shared" si="0"/>
        <v>312.63034365918315</v>
      </c>
      <c r="S9" s="62">
        <f ca="1">AVERAGE(OFFSET($R$3,0,0,'Données projet'!$E$9+1,1))-AVERAGE(OFFSET($H$3,0,0,'Données projet'!$E$9+1,1))</f>
        <v>401.86262166363821</v>
      </c>
      <c r="T9" s="62">
        <f t="shared" si="34"/>
        <v>208.60314230781432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3.887142857142857</v>
      </c>
      <c r="AI9" s="14">
        <f>IF('Données projet'!$A$62&gt;35,AI8+AH9-AQ8,IF(A9&lt;'Données projet'!$A$62,$AF$205^A9,IF(A9='Données projet'!$A$62,'Données projet'!$B$62,AI8+AH9-AQ8)))</f>
        <v>23.322857142857139</v>
      </c>
      <c r="AJ9" s="14">
        <f>AI9*VLOOKUP('Données projet'!$B$10,Paramètres!$A$1:$I$89,3,0)*VLOOKUP('Données projet'!$B$10,Paramètres!$A$1:$I$89,5,0)</f>
        <v>25.104723428571422</v>
      </c>
      <c r="AK9" s="14">
        <f t="shared" si="35"/>
        <v>7.9501618976574999</v>
      </c>
      <c r="AL9" s="22">
        <f t="shared" si="4"/>
        <v>57.570591943182031</v>
      </c>
      <c r="AM9" s="62">
        <f t="shared" si="5"/>
        <v>321.57059194318202</v>
      </c>
      <c r="AN9" s="62">
        <f ca="1">AVERAGE(OFFSET($AM$3,0,0,'Données projet'!$E$10+1,1))-AVERAGE(OFFSET($H$3,0,0,'Données projet'!$E$10+1,1))</f>
        <v>407.22515465568205</v>
      </c>
      <c r="AO9" s="62">
        <f t="shared" si="36"/>
        <v>251.6218558398258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3.887142857142857</v>
      </c>
      <c r="BD9" s="13">
        <f>IF('Données projet'!$A$88&gt;35,BD8+BC9-BL8,IF(A9&lt;'Données projet'!$A$88,$BA$205^A9,IF(A9='Données projet'!$A$88,'Données projet'!$B$88,BD8+BC9-BL8)))</f>
        <v>23.322857142857139</v>
      </c>
      <c r="BE9" s="14">
        <f>BD9*VLOOKUP('Données projet'!$B$11,Paramètres!$A$1:$I$89,3,0)*VLOOKUP('Données projet'!$B$11,Paramètres!$A$1:$I$89,5,0)</f>
        <v>22.557867428571427</v>
      </c>
      <c r="BF9" s="14">
        <f t="shared" si="37"/>
        <v>7.2331290396118018</v>
      </c>
      <c r="BG9" s="22">
        <f t="shared" si="7"/>
        <v>51.885985515419122</v>
      </c>
      <c r="BH9" s="62">
        <f t="shared" si="8"/>
        <v>315.88598551541912</v>
      </c>
      <c r="BI9" s="62">
        <f ca="1">AVERAGE(OFFSET($BH$3,0,0,'Données projet'!$E$11+1,1))-AVERAGE(OFFSET($H$3,0,0,'Données projet'!$E$11+1,1))</f>
        <v>357.76044008074308</v>
      </c>
      <c r="BJ9" s="62">
        <f t="shared" si="38"/>
        <v>224.26555772810445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3.887142857142857</v>
      </c>
      <c r="BY9" s="13">
        <f>IF('Données projet'!$A$114&gt;35,BY8+BX9-CG8,IF(A9&lt;'Données projet'!$A$114,$BV$205^A9,IF(A9='Données projet'!$A$114,'Données projet'!$B$114,BY8+BX9-CG8)))</f>
        <v>23.322857142857139</v>
      </c>
      <c r="BZ9" s="14">
        <f>BY9*VLOOKUP('Données projet'!$B$12,Paramètres!$A$1:$I$89,3,0)*VLOOKUP('Données projet'!$B$12,Paramètres!$A$1:$I$89,5,0)</f>
        <v>15.644972571428568</v>
      </c>
      <c r="CA9" s="14">
        <f t="shared" si="39"/>
        <v>5.234818680467451</v>
      </c>
      <c r="CB9" s="22">
        <f t="shared" si="10"/>
        <v>36.365636430385564</v>
      </c>
      <c r="CC9" s="62">
        <f t="shared" si="11"/>
        <v>300.36563643038556</v>
      </c>
      <c r="CD9" s="62">
        <f ca="1">AVERAGE(OFFSET($CC$3,0,0,'Données projet'!$E$12+1,1))-AVERAGE(OFFSET($H$3,0,0,'Données projet'!$E$12+1,1))</f>
        <v>222.86701323374945</v>
      </c>
      <c r="CE9" s="62">
        <f t="shared" si="40"/>
        <v>149.63671045240511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1.1000000000000001</v>
      </c>
      <c r="CT9" s="13">
        <f>IF('Données projet'!$A$140&gt;35,CT8+CS9-DB8,IF(A9&lt;'Données projet'!$A$140,$CQ$205^A9,IF(A9='Données projet'!$A$140,'Données projet'!$B$140,CT8+CS9-DB8)))</f>
        <v>4.2153691330919028</v>
      </c>
      <c r="CU9" s="18">
        <f>CT9*VLOOKUP('Données projet'!$B$13,Paramètres!$A$1:$I$89,3,0)*VLOOKUP('Données projet'!$B$13,Paramètres!$A$1:$I$89,5,0)</f>
        <v>2.7619098560018145</v>
      </c>
      <c r="CV9" s="14">
        <f t="shared" si="41"/>
        <v>1.1308494182070246</v>
      </c>
      <c r="CW9" s="22">
        <f t="shared" si="13"/>
        <v>6.7798890692470613</v>
      </c>
      <c r="CX9" s="62">
        <f t="shared" si="14"/>
        <v>270.77988906924708</v>
      </c>
      <c r="CY9" s="62">
        <f ca="1">AVERAGE(OFFSET($CX$3,0,0,'Données projet'!$E$13+1,1))-AVERAGE(OFFSET($H$3,0,0,'Données projet'!$E$13+1,1))</f>
        <v>173.15672762188746</v>
      </c>
      <c r="CZ9" s="62">
        <f t="shared" si="42"/>
        <v>208.54841796921414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5.8668181818181813</v>
      </c>
      <c r="EJ9" s="13">
        <f>IF('Données projet'!$A$192&gt;35,EJ8+EI9-ER8,IF(A9&lt;'Données projet'!$A$192,$EG$205^A9,IF(A9='Données projet'!$A$192,'Données projet'!$B$192,EJ8+EI9-ER8)))</f>
        <v>3.7642601491537744</v>
      </c>
      <c r="EK9" s="18">
        <f>EJ9*VLOOKUP('Données projet'!$B$15,Paramètres!$A$1:$I$89,3,0)*VLOOKUP('Données projet'!$B$15,Paramètres!$A$1:$I$89,5,0)</f>
        <v>2.251027569193957</v>
      </c>
      <c r="EL9" s="14">
        <f t="shared" si="45"/>
        <v>0.94387775765556148</v>
      </c>
      <c r="EM9" s="22">
        <f t="shared" si="19"/>
        <v>5.5644601109295779</v>
      </c>
      <c r="EN9" s="62">
        <f t="shared" si="20"/>
        <v>269.56446011092959</v>
      </c>
      <c r="EO9" s="62">
        <f ca="1">AVERAGE(OFFSET($EN$3,0,0,'Données projet'!$E$15+1,1))-AVERAGE(OFFSET($H$3,0,0,'Données projet'!$E$15+1,1))</f>
        <v>269.18638759204373</v>
      </c>
      <c r="EP9" s="62">
        <f t="shared" si="46"/>
        <v>197.07126167823969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9.5173333333333332</v>
      </c>
      <c r="FE9" s="13">
        <f>IF('Données projet'!$A$218&gt;35,FE8+FD9-FM8,IF(A9&lt;'Données projet'!$A$218,$FB$205^A9,IF(A9='Données projet'!$A$218,'Données projet'!$B$218,FE8+FD9-FM8)))</f>
        <v>7.2751611167802501</v>
      </c>
      <c r="FF9" s="18">
        <f>FE9*VLOOKUP('Données projet'!$B$16,Paramètres!$A$1:$I$89,3,0)*VLOOKUP('Données projet'!$B$16,Paramètres!$A$1:$I$89,5,0)</f>
        <v>4.35054634783459</v>
      </c>
      <c r="FG9" s="14">
        <f t="shared" si="47"/>
        <v>1.6895434549700357</v>
      </c>
      <c r="FH9" s="22">
        <f t="shared" si="22"/>
        <v>10.519823073218054</v>
      </c>
      <c r="FI9" s="62">
        <f t="shared" si="23"/>
        <v>274.51982307321805</v>
      </c>
      <c r="FJ9" s="62">
        <f ca="1">AVERAGE(OFFSET($FI$3,0,0,'Données projet'!$E$16+1,1))-AVERAGE(OFFSET($H$3,0,0,'Données projet'!$E$16+1,1))</f>
        <v>330.48891719033065</v>
      </c>
      <c r="FK9" s="62">
        <f t="shared" si="48"/>
        <v>419.35494198427284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1</v>
      </c>
      <c r="FZ9" s="13">
        <f>IF('Données projet'!$A$244&gt;35,FZ8+FY9-GH8,IF(A9&lt;'Données projet'!$A$244,$FW$205^A9,IF(A9='Données projet'!$A$244,'Données projet'!$B$244,FZ8+FY9-GH8)))</f>
        <v>4.7568284600108832</v>
      </c>
      <c r="GA9" s="18">
        <f>FZ9*VLOOKUP('Données projet'!$B$17,Paramètres!$A$1:$I$89,3,0)*VLOOKUP('Données projet'!$B$17,Paramètres!$A$1:$I$89,5,0)</f>
        <v>2.4117120292255181</v>
      </c>
      <c r="GB9" s="14">
        <f t="shared" si="49"/>
        <v>1.0031706839541397</v>
      </c>
      <c r="GC9" s="22">
        <f t="shared" si="25"/>
        <v>5.9475873921212363</v>
      </c>
      <c r="GD9" s="62">
        <f t="shared" si="26"/>
        <v>269.94758739212125</v>
      </c>
      <c r="GE9" s="62">
        <f ca="1">AVERAGE(OFFSET($GD$3,0,0,'Données projet'!$E$17+1,1))-AVERAGE(OFFSET($H$3,0,0,'Données projet'!$E$17+1,1))</f>
        <v>132.18258156780018</v>
      </c>
      <c r="GF9" s="62">
        <f t="shared" si="50"/>
        <v>315.58133946947294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9">
        <f t="shared" si="1"/>
        <v>271.54563926139667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3.887142857142857</v>
      </c>
      <c r="N10" s="14">
        <f>IF('Données projet'!$A$36&gt;35,N9+M10-V9,IF(A10&lt;'Données projet'!$A$36,$K$205^A10,IF(A10='Données projet'!$A$36,'Données projet'!$B$36,N9+M10-V9)))</f>
        <v>27.209999999999994</v>
      </c>
      <c r="O10" s="14">
        <f>N10*VLOOKUP('Données projet'!$B$9,Paramètres!$A$1:$I$89,3,0)*VLOOKUP('Données projet'!$B$9,Paramètres!$A$1:$I$89,5,0)</f>
        <v>24.619607999999992</v>
      </c>
      <c r="P10" s="14">
        <f t="shared" si="33"/>
        <v>7.8142639118614152</v>
      </c>
      <c r="Q10" s="22">
        <f t="shared" si="2"/>
        <v>56.488993579825284</v>
      </c>
      <c r="R10" s="62">
        <f t="shared" si="0"/>
        <v>321.71121580204749</v>
      </c>
      <c r="S10" s="62">
        <f ca="1">AVERAGE(OFFSET($R$3,0,0,'Données projet'!$E$9+1,1))-AVERAGE(OFFSET($H$3,0,0,'Données projet'!$E$9+1,1))</f>
        <v>401.86262166363821</v>
      </c>
      <c r="T10" s="62">
        <f t="shared" si="34"/>
        <v>208.60314230781432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3.887142857142857</v>
      </c>
      <c r="AI10" s="14">
        <f>IF('Données projet'!$A$62&gt;35,AI9+AH10-AQ9,IF(A10&lt;'Données projet'!$A$62,$AF$205^A10,IF(A10='Données projet'!$A$62,'Données projet'!$B$62,AI9+AH10-AQ9)))</f>
        <v>27.209999999999994</v>
      </c>
      <c r="AJ10" s="14">
        <f>AI10*VLOOKUP('Données projet'!$B$10,Paramètres!$A$1:$I$89,3,0)*VLOOKUP('Données projet'!$B$10,Paramètres!$A$1:$I$89,5,0)</f>
        <v>29.288843999999994</v>
      </c>
      <c r="AK10" s="14">
        <f t="shared" si="35"/>
        <v>9.1102470881196833</v>
      </c>
      <c r="AL10" s="22">
        <f t="shared" si="4"/>
        <v>66.878416978475101</v>
      </c>
      <c r="AM10" s="62">
        <f t="shared" si="5"/>
        <v>332.10063920069734</v>
      </c>
      <c r="AN10" s="62">
        <f ca="1">AVERAGE(OFFSET($AM$3,0,0,'Données projet'!$E$10+1,1))-AVERAGE(OFFSET($H$3,0,0,'Données projet'!$E$10+1,1))</f>
        <v>407.22515465568205</v>
      </c>
      <c r="AO10" s="62">
        <f t="shared" si="36"/>
        <v>251.6218558398258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3.887142857142857</v>
      </c>
      <c r="BD10" s="13">
        <f>IF('Données projet'!$A$88&gt;35,BD9+BC10-BL9,IF(A10&lt;'Données projet'!$A$88,$BA$205^A10,IF(A10='Données projet'!$A$88,'Données projet'!$B$88,BD9+BC10-BL9)))</f>
        <v>27.209999999999994</v>
      </c>
      <c r="BE10" s="14">
        <f>BD10*VLOOKUP('Données projet'!$B$11,Paramètres!$A$1:$I$89,3,0)*VLOOKUP('Données projet'!$B$11,Paramètres!$A$1:$I$89,5,0)</f>
        <v>26.317511999999997</v>
      </c>
      <c r="BF10" s="14">
        <f t="shared" si="37"/>
        <v>8.288585014920681</v>
      </c>
      <c r="BG10" s="22">
        <f t="shared" si="7"/>
        <v>60.272285634320177</v>
      </c>
      <c r="BH10" s="62">
        <f t="shared" si="8"/>
        <v>325.49450785654238</v>
      </c>
      <c r="BI10" s="62">
        <f ca="1">AVERAGE(OFFSET($BH$3,0,0,'Données projet'!$E$11+1,1))-AVERAGE(OFFSET($H$3,0,0,'Données projet'!$E$11+1,1))</f>
        <v>357.76044008074308</v>
      </c>
      <c r="BJ10" s="62">
        <f t="shared" si="38"/>
        <v>224.26555772810445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3.887142857142857</v>
      </c>
      <c r="BY10" s="13">
        <f>IF('Données projet'!$A$114&gt;35,BY9+BX10-CG9,IF(A10&lt;'Données projet'!$A$114,$BV$205^A10,IF(A10='Données projet'!$A$114,'Données projet'!$B$114,BY9+BX10-CG9)))</f>
        <v>27.209999999999994</v>
      </c>
      <c r="BZ10" s="14">
        <f>BY10*VLOOKUP('Données projet'!$B$12,Paramètres!$A$1:$I$89,3,0)*VLOOKUP('Données projet'!$B$12,Paramètres!$A$1:$I$89,5,0)</f>
        <v>18.252467999999997</v>
      </c>
      <c r="CA10" s="14">
        <f t="shared" si="39"/>
        <v>5.9986818198777838</v>
      </c>
      <c r="CB10" s="22">
        <f t="shared" si="10"/>
        <v>42.237419269620467</v>
      </c>
      <c r="CC10" s="62">
        <f t="shared" si="11"/>
        <v>307.45964149184272</v>
      </c>
      <c r="CD10" s="62">
        <f ca="1">AVERAGE(OFFSET($CC$3,0,0,'Données projet'!$E$12+1,1))-AVERAGE(OFFSET($H$3,0,0,'Données projet'!$E$12+1,1))</f>
        <v>222.86701323374945</v>
      </c>
      <c r="CE10" s="62">
        <f t="shared" si="40"/>
        <v>149.63671045240511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1.1000000000000001</v>
      </c>
      <c r="CT10" s="13">
        <f>IF('Données projet'!$A$140&gt;35,CT9+CS10-DB9,IF(A10&lt;'Données projet'!$A$140,$CQ$205^A10,IF(A10='Données projet'!$A$140,'Données projet'!$B$140,CT9+CS10-DB9)))</f>
        <v>5.3576566694841175</v>
      </c>
      <c r="CU10" s="18">
        <f>CT10*VLOOKUP('Données projet'!$B$13,Paramètres!$A$1:$I$89,3,0)*VLOOKUP('Données projet'!$B$13,Paramètres!$A$1:$I$89,5,0)</f>
        <v>3.510336649845994</v>
      </c>
      <c r="CV10" s="14">
        <f t="shared" si="41"/>
        <v>1.397726620379814</v>
      </c>
      <c r="CW10" s="22">
        <f t="shared" si="13"/>
        <v>8.5482101956432839</v>
      </c>
      <c r="CX10" s="62">
        <f t="shared" si="14"/>
        <v>273.77043241786549</v>
      </c>
      <c r="CY10" s="62">
        <f ca="1">AVERAGE(OFFSET($CX$3,0,0,'Données projet'!$E$13+1,1))-AVERAGE(OFFSET($H$3,0,0,'Données projet'!$E$13+1,1))</f>
        <v>173.15672762188746</v>
      </c>
      <c r="CZ10" s="62">
        <f t="shared" si="42"/>
        <v>208.54841796921414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5.8668181818181813</v>
      </c>
      <c r="EJ10" s="13">
        <f>IF('Données projet'!$A$192&gt;35,EJ9+EI10-ER9,IF(A10&lt;'Données projet'!$A$192,$EG$205^A10,IF(A10='Données projet'!$A$192,'Données projet'!$B$192,EJ9+EI10-ER9)))</f>
        <v>4.6948987963973625</v>
      </c>
      <c r="EK10" s="18">
        <f>EJ10*VLOOKUP('Données projet'!$B$15,Paramètres!$A$1:$I$89,3,0)*VLOOKUP('Données projet'!$B$15,Paramètres!$A$1:$I$89,5,0)</f>
        <v>2.8075494802456231</v>
      </c>
      <c r="EL10" s="14">
        <f t="shared" si="45"/>
        <v>1.1473453828778812</v>
      </c>
      <c r="EM10" s="22">
        <f t="shared" si="19"/>
        <v>6.8881085532734367</v>
      </c>
      <c r="EN10" s="62">
        <f t="shared" si="20"/>
        <v>272.11033077549564</v>
      </c>
      <c r="EO10" s="62">
        <f ca="1">AVERAGE(OFFSET($EN$3,0,0,'Données projet'!$E$15+1,1))-AVERAGE(OFFSET($H$3,0,0,'Données projet'!$E$15+1,1))</f>
        <v>269.18638759204373</v>
      </c>
      <c r="EP10" s="62">
        <f t="shared" si="46"/>
        <v>197.07126167823969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9.5173333333333332</v>
      </c>
      <c r="FE10" s="13">
        <f>IF('Données projet'!$A$218&gt;35,FE9+FD10-FM9,IF(A10&lt;'Données projet'!$A$218,$FB$205^A10,IF(A10='Données projet'!$A$218,'Données projet'!$B$218,FE9+FD10-FM9)))</f>
        <v>10.127052272401761</v>
      </c>
      <c r="FF10" s="18">
        <f>FE10*VLOOKUP('Données projet'!$B$16,Paramètres!$A$1:$I$89,3,0)*VLOOKUP('Données projet'!$B$16,Paramètres!$A$1:$I$89,5,0)</f>
        <v>6.0559772588962533</v>
      </c>
      <c r="FG10" s="14">
        <f t="shared" si="47"/>
        <v>2.2630286673251656</v>
      </c>
      <c r="FH10" s="22">
        <f t="shared" si="22"/>
        <v>14.488935321502304</v>
      </c>
      <c r="FI10" s="62">
        <f t="shared" si="23"/>
        <v>279.71115754372454</v>
      </c>
      <c r="FJ10" s="62">
        <f ca="1">AVERAGE(OFFSET($FI$3,0,0,'Données projet'!$E$16+1,1))-AVERAGE(OFFSET($H$3,0,0,'Données projet'!$E$16+1,1))</f>
        <v>330.48891719033065</v>
      </c>
      <c r="FK10" s="62">
        <f t="shared" si="48"/>
        <v>419.35494198427284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1</v>
      </c>
      <c r="FZ10" s="13">
        <f>IF('Données projet'!$A$244&gt;35,FZ9+FY10-GH9,IF(A10&lt;'Données projet'!$A$244,$FW$205^A10,IF(A10='Données projet'!$A$244,'Données projet'!$B$244,FZ9+FY10-GH9)))</f>
        <v>6.168843301631763</v>
      </c>
      <c r="GA10" s="18">
        <f>FZ10*VLOOKUP('Données projet'!$B$17,Paramètres!$A$1:$I$89,3,0)*VLOOKUP('Données projet'!$B$17,Paramètres!$A$1:$I$89,5,0)</f>
        <v>3.1276035539273042</v>
      </c>
      <c r="GB10" s="14">
        <f t="shared" si="49"/>
        <v>1.2621794970481854</v>
      </c>
      <c r="GC10" s="22">
        <f t="shared" si="25"/>
        <v>7.6455388137823119</v>
      </c>
      <c r="GD10" s="62">
        <f t="shared" si="26"/>
        <v>272.86776103600454</v>
      </c>
      <c r="GE10" s="62">
        <f ca="1">AVERAGE(OFFSET($GD$3,0,0,'Données projet'!$E$17+1,1))-AVERAGE(OFFSET($H$3,0,0,'Données projet'!$E$17+1,1))</f>
        <v>132.18258156780018</v>
      </c>
      <c r="GF10" s="62">
        <f t="shared" si="50"/>
        <v>315.58133946947294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9">
        <f t="shared" si="1"/>
        <v>273.60002985401661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3.887142857142857</v>
      </c>
      <c r="N11" s="14">
        <f>IF('Données projet'!$A$36&gt;35,N10+M11-V10,IF(A11&lt;'Données projet'!$A$36,$K$205^A11,IF(A11='Données projet'!$A$36,'Données projet'!$B$36,N10+M11-V10)))</f>
        <v>31.097142857142849</v>
      </c>
      <c r="O11" s="14">
        <f>N11*VLOOKUP('Données projet'!$B$9,Paramètres!$A$1:$I$89,3,0)*VLOOKUP('Données projet'!$B$9,Paramètres!$A$1:$I$89,5,0)</f>
        <v>28.136694857142849</v>
      </c>
      <c r="P11" s="14">
        <f t="shared" si="33"/>
        <v>8.792851913254415</v>
      </c>
      <c r="Q11" s="22">
        <f t="shared" si="2"/>
        <v>64.318960625108559</v>
      </c>
      <c r="R11" s="62">
        <f t="shared" si="0"/>
        <v>330.76340506955302</v>
      </c>
      <c r="S11" s="62">
        <f ca="1">AVERAGE(OFFSET($R$3,0,0,'Données projet'!$E$9+1,1))-AVERAGE(OFFSET($H$3,0,0,'Données projet'!$E$9+1,1))</f>
        <v>401.86262166363821</v>
      </c>
      <c r="T11" s="62">
        <f t="shared" si="34"/>
        <v>208.60314230781432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3.887142857142857</v>
      </c>
      <c r="AI11" s="14">
        <f>IF('Données projet'!$A$62&gt;35,AI10+AH11-AQ10,IF(A11&lt;'Données projet'!$A$62,$AF$205^A11,IF(A11='Données projet'!$A$62,'Données projet'!$B$62,AI10+AH11-AQ10)))</f>
        <v>31.097142857142849</v>
      </c>
      <c r="AJ11" s="14">
        <f>AI11*VLOOKUP('Données projet'!$B$10,Paramètres!$A$1:$I$89,3,0)*VLOOKUP('Données projet'!$B$10,Paramètres!$A$1:$I$89,5,0)</f>
        <v>33.472964571428555</v>
      </c>
      <c r="AK11" s="14">
        <f t="shared" si="35"/>
        <v>10.251132344967342</v>
      </c>
      <c r="AL11" s="22">
        <f t="shared" si="4"/>
        <v>76.152802129389514</v>
      </c>
      <c r="AM11" s="62">
        <f t="shared" si="5"/>
        <v>342.59724657383396</v>
      </c>
      <c r="AN11" s="62">
        <f ca="1">AVERAGE(OFFSET($AM$3,0,0,'Données projet'!$E$10+1,1))-AVERAGE(OFFSET($H$3,0,0,'Données projet'!$E$10+1,1))</f>
        <v>407.22515465568205</v>
      </c>
      <c r="AO11" s="62">
        <f t="shared" si="36"/>
        <v>251.6218558398258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3.887142857142857</v>
      </c>
      <c r="BD11" s="13">
        <f>IF('Données projet'!$A$88&gt;35,BD10+BC11-BL10,IF(A11&lt;'Données projet'!$A$88,$BA$205^A11,IF(A11='Données projet'!$A$88,'Données projet'!$B$88,BD10+BC11-BL10)))</f>
        <v>31.097142857142849</v>
      </c>
      <c r="BE11" s="14">
        <f>BD11*VLOOKUP('Données projet'!$B$11,Paramètres!$A$1:$I$89,3,0)*VLOOKUP('Données projet'!$B$11,Paramètres!$A$1:$I$89,5,0)</f>
        <v>30.077156571428564</v>
      </c>
      <c r="BF11" s="14">
        <f t="shared" si="37"/>
        <v>9.3265727173599551</v>
      </c>
      <c r="BG11" s="22">
        <f t="shared" si="7"/>
        <v>68.62816184463999</v>
      </c>
      <c r="BH11" s="62">
        <f t="shared" si="8"/>
        <v>335.07260628908443</v>
      </c>
      <c r="BI11" s="62">
        <f ca="1">AVERAGE(OFFSET($BH$3,0,0,'Données projet'!$E$11+1,1))-AVERAGE(OFFSET($H$3,0,0,'Données projet'!$E$11+1,1))</f>
        <v>357.76044008074308</v>
      </c>
      <c r="BJ11" s="62">
        <f t="shared" si="38"/>
        <v>224.26555772810445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3.887142857142857</v>
      </c>
      <c r="BY11" s="13">
        <f>IF('Données projet'!$A$114&gt;35,BY10+BX11-CG10,IF(A11&lt;'Données projet'!$A$114,$BV$205^A11,IF(A11='Données projet'!$A$114,'Données projet'!$B$114,BY10+BX11-CG10)))</f>
        <v>31.097142857142849</v>
      </c>
      <c r="BZ11" s="14">
        <f>BY11*VLOOKUP('Données projet'!$B$12,Paramètres!$A$1:$I$89,3,0)*VLOOKUP('Données projet'!$B$12,Paramètres!$A$1:$I$89,5,0)</f>
        <v>20.859963428571422</v>
      </c>
      <c r="CA11" s="14">
        <f t="shared" si="39"/>
        <v>6.7499026794901864</v>
      </c>
      <c r="CB11" s="22">
        <f t="shared" si="10"/>
        <v>48.087183471540634</v>
      </c>
      <c r="CC11" s="62">
        <f t="shared" si="11"/>
        <v>314.5316279159851</v>
      </c>
      <c r="CD11" s="62">
        <f ca="1">AVERAGE(OFFSET($CC$3,0,0,'Données projet'!$E$12+1,1))-AVERAGE(OFFSET($H$3,0,0,'Données projet'!$E$12+1,1))</f>
        <v>222.86701323374945</v>
      </c>
      <c r="CE11" s="62">
        <f t="shared" si="40"/>
        <v>149.63671045240511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1.1000000000000001</v>
      </c>
      <c r="CT11" s="13">
        <f>IF('Données projet'!$A$140&gt;35,CT10+CS11-DB10,IF(A11&lt;'Données projet'!$A$140,$CQ$205^A11,IF(A11='Données projet'!$A$140,'Données projet'!$B$140,CT10+CS11-DB10)))</f>
        <v>6.8094831275223076</v>
      </c>
      <c r="CU11" s="18">
        <f>CT11*VLOOKUP('Données projet'!$B$13,Paramètres!$A$1:$I$89,3,0)*VLOOKUP('Données projet'!$B$13,Paramètres!$A$1:$I$89,5,0)</f>
        <v>4.4615733451526163</v>
      </c>
      <c r="CV11" s="14">
        <f t="shared" si="41"/>
        <v>1.7275860727911023</v>
      </c>
      <c r="CW11" s="22">
        <f t="shared" si="13"/>
        <v>10.779452652918643</v>
      </c>
      <c r="CX11" s="62">
        <f t="shared" si="14"/>
        <v>277.22389709736308</v>
      </c>
      <c r="CY11" s="62">
        <f ca="1">AVERAGE(OFFSET($CX$3,0,0,'Données projet'!$E$13+1,1))-AVERAGE(OFFSET($H$3,0,0,'Données projet'!$E$13+1,1))</f>
        <v>173.15672762188746</v>
      </c>
      <c r="CZ11" s="62">
        <f t="shared" si="42"/>
        <v>208.54841796921414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5.8668181818181813</v>
      </c>
      <c r="EJ11" s="13">
        <f>IF('Données projet'!$A$192&gt;35,EJ10+EI11-ER10,IF(A11&lt;'Données projet'!$A$192,$EG$205^A11,IF(A11='Données projet'!$A$192,'Données projet'!$B$192,EJ10+EI11-ER10)))</f>
        <v>5.8556193873498845</v>
      </c>
      <c r="EK11" s="18">
        <f>EJ11*VLOOKUP('Données projet'!$B$15,Paramètres!$A$1:$I$89,3,0)*VLOOKUP('Données projet'!$B$15,Paramètres!$A$1:$I$89,5,0)</f>
        <v>3.5016603936352309</v>
      </c>
      <c r="EL11" s="14">
        <f t="shared" si="45"/>
        <v>1.3946736396044743</v>
      </c>
      <c r="EM11" s="22">
        <f t="shared" si="19"/>
        <v>8.5277817745591538</v>
      </c>
      <c r="EN11" s="62">
        <f t="shared" si="20"/>
        <v>274.97222621900363</v>
      </c>
      <c r="EO11" s="62">
        <f ca="1">AVERAGE(OFFSET($EN$3,0,0,'Données projet'!$E$15+1,1))-AVERAGE(OFFSET($H$3,0,0,'Données projet'!$E$15+1,1))</f>
        <v>269.18638759204373</v>
      </c>
      <c r="EP11" s="62">
        <f t="shared" si="46"/>
        <v>197.07126167823969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9.5173333333333332</v>
      </c>
      <c r="FE11" s="13">
        <f>IF('Données projet'!$A$218&gt;35,FE10+FD11-FM10,IF(A11&lt;'Données projet'!$A$218,$FB$205^A11,IF(A11='Données projet'!$A$218,'Données projet'!$B$218,FE10+FD11-FM10)))</f>
        <v>14.096895736289365</v>
      </c>
      <c r="FF11" s="18">
        <f>FE11*VLOOKUP('Données projet'!$B$16,Paramètres!$A$1:$I$89,3,0)*VLOOKUP('Données projet'!$B$16,Paramètres!$A$1:$I$89,5,0)</f>
        <v>8.4299436503010412</v>
      </c>
      <c r="FG11" s="14">
        <f t="shared" si="47"/>
        <v>3.0311731456627986</v>
      </c>
      <c r="FH11" s="22">
        <f t="shared" si="22"/>
        <v>19.961445086303687</v>
      </c>
      <c r="FI11" s="62">
        <f t="shared" si="23"/>
        <v>286.40588953074814</v>
      </c>
      <c r="FJ11" s="62">
        <f ca="1">AVERAGE(OFFSET($FI$3,0,0,'Données projet'!$E$16+1,1))-AVERAGE(OFFSET($H$3,0,0,'Données projet'!$E$16+1,1))</f>
        <v>330.48891719033065</v>
      </c>
      <c r="FK11" s="62">
        <f t="shared" si="48"/>
        <v>419.35494198427284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>
        <f>VLOOKUP(A11,'Données projet'!$A$243:$I$263,2,0)</f>
        <v>8</v>
      </c>
      <c r="FX11" s="13">
        <f>VLOOKUP(A11,'Données projet'!$A$243:$I$263,9,0)</f>
        <v>1</v>
      </c>
      <c r="FY11" s="13">
        <f t="array" ref="FY11">INDEX(FX:FX,MIN(IF(ISNUMBER(FX11:FX207),ROW(FX11:FX207),"")))</f>
        <v>1</v>
      </c>
      <c r="FZ11" s="13">
        <f>IF('Données projet'!$A$244&gt;35,FZ10+FY11-GH10,IF(A11&lt;'Données projet'!$A$244,$FW$205^A11,IF(A11='Données projet'!$A$244,'Données projet'!$B$244,FZ10+FY11-GH10)))</f>
        <v>8</v>
      </c>
      <c r="GA11" s="18">
        <f>FZ11*VLOOKUP('Données projet'!$B$17,Paramètres!$A$1:$I$89,3,0)*VLOOKUP('Données projet'!$B$17,Paramètres!$A$1:$I$89,5,0)</f>
        <v>4.056</v>
      </c>
      <c r="GB11" s="14">
        <f t="shared" si="49"/>
        <v>1.588061840572724</v>
      </c>
      <c r="GC11" s="22">
        <f t="shared" si="25"/>
        <v>9.8300743723308273</v>
      </c>
      <c r="GD11" s="62">
        <f t="shared" si="26"/>
        <v>276.2745188167753</v>
      </c>
      <c r="GE11" s="62">
        <f ca="1">AVERAGE(OFFSET($GD$3,0,0,'Données projet'!$E$17+1,1))-AVERAGE(OFFSET($H$3,0,0,'Données projet'!$E$17+1,1))</f>
        <v>132.18258156780018</v>
      </c>
      <c r="GF11" s="62">
        <f t="shared" si="50"/>
        <v>315.58133946947294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9">
        <f t="shared" si="1"/>
        <v>275.64709565827621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3.887142857142857</v>
      </c>
      <c r="N12" s="14">
        <f>IF('Données projet'!$A$36&gt;35,N11+M12-V11,IF(A12&lt;'Données projet'!$A$36,$K$205^A12,IF(A12='Données projet'!$A$36,'Données projet'!$B$36,N11+M12-V11)))</f>
        <v>34.984285714285704</v>
      </c>
      <c r="O12" s="14">
        <f>N12*VLOOKUP('Données projet'!$B$9,Paramètres!$A$1:$I$89,3,0)*VLOOKUP('Données projet'!$B$9,Paramètres!$A$1:$I$89,5,0)</f>
        <v>31.653781714285703</v>
      </c>
      <c r="P12" s="14">
        <f t="shared" si="33"/>
        <v>9.757265618420071</v>
      </c>
      <c r="Q12" s="22">
        <f t="shared" si="2"/>
        <v>72.124240771129223</v>
      </c>
      <c r="R12" s="62">
        <f t="shared" si="0"/>
        <v>339.79090743779591</v>
      </c>
      <c r="S12" s="62">
        <f ca="1">AVERAGE(OFFSET($R$3,0,0,'Données projet'!$E$9+1,1))-AVERAGE(OFFSET($H$3,0,0,'Données projet'!$E$9+1,1))</f>
        <v>401.86262166363821</v>
      </c>
      <c r="T12" s="62">
        <f t="shared" si="34"/>
        <v>208.60314230781432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3.887142857142857</v>
      </c>
      <c r="AI12" s="14">
        <f>IF('Données projet'!$A$62&gt;35,AI11+AH12-AQ11,IF(A12&lt;'Données projet'!$A$62,$AF$205^A12,IF(A12='Données projet'!$A$62,'Données projet'!$B$62,AI11+AH12-AQ11)))</f>
        <v>34.984285714285704</v>
      </c>
      <c r="AJ12" s="14">
        <f>AI12*VLOOKUP('Données projet'!$B$10,Paramètres!$A$1:$I$89,3,0)*VLOOKUP('Données projet'!$B$10,Paramètres!$A$1:$I$89,5,0)</f>
        <v>37.657085142857127</v>
      </c>
      <c r="AK12" s="14">
        <f t="shared" si="35"/>
        <v>11.375492521220362</v>
      </c>
      <c r="AL12" s="22">
        <f t="shared" si="4"/>
        <v>85.39840609826831</v>
      </c>
      <c r="AM12" s="62">
        <f t="shared" si="5"/>
        <v>353.065072764935</v>
      </c>
      <c r="AN12" s="62">
        <f ca="1">AVERAGE(OFFSET($AM$3,0,0,'Données projet'!$E$10+1,1))-AVERAGE(OFFSET($H$3,0,0,'Données projet'!$E$10+1,1))</f>
        <v>407.22515465568205</v>
      </c>
      <c r="AO12" s="62">
        <f t="shared" si="36"/>
        <v>251.6218558398258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3.887142857142857</v>
      </c>
      <c r="BD12" s="13">
        <f>IF('Données projet'!$A$88&gt;35,BD11+BC12-BL11,IF(A12&lt;'Données projet'!$A$88,$BA$205^A12,IF(A12='Données projet'!$A$88,'Données projet'!$B$88,BD11+BC12-BL11)))</f>
        <v>34.984285714285704</v>
      </c>
      <c r="BE12" s="14">
        <f>BD12*VLOOKUP('Données projet'!$B$11,Paramètres!$A$1:$I$89,3,0)*VLOOKUP('Données projet'!$B$11,Paramètres!$A$1:$I$89,5,0)</f>
        <v>33.836801142857134</v>
      </c>
      <c r="BF12" s="14">
        <f t="shared" si="37"/>
        <v>10.349525752345953</v>
      </c>
      <c r="BG12" s="22">
        <f t="shared" si="7"/>
        <v>76.957852675812049</v>
      </c>
      <c r="BH12" s="62">
        <f t="shared" si="8"/>
        <v>344.62451934247872</v>
      </c>
      <c r="BI12" s="62">
        <f ca="1">AVERAGE(OFFSET($BH$3,0,0,'Données projet'!$E$11+1,1))-AVERAGE(OFFSET($H$3,0,0,'Données projet'!$E$11+1,1))</f>
        <v>357.76044008074308</v>
      </c>
      <c r="BJ12" s="62">
        <f t="shared" si="38"/>
        <v>224.26555772810445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3.887142857142857</v>
      </c>
      <c r="BY12" s="13">
        <f>IF('Données projet'!$A$114&gt;35,BY11+BX12-CG11,IF(A12&lt;'Données projet'!$A$114,$BV$205^A12,IF(A12='Données projet'!$A$114,'Données projet'!$B$114,BY11+BX12-CG11)))</f>
        <v>34.984285714285704</v>
      </c>
      <c r="BZ12" s="14">
        <f>BY12*VLOOKUP('Données projet'!$B$12,Paramètres!$A$1:$I$89,3,0)*VLOOKUP('Données projet'!$B$12,Paramètres!$A$1:$I$89,5,0)</f>
        <v>23.467458857142852</v>
      </c>
      <c r="CA12" s="14">
        <f t="shared" si="39"/>
        <v>7.4902425279097828</v>
      </c>
      <c r="CB12" s="22">
        <f t="shared" si="10"/>
        <v>53.917996578966665</v>
      </c>
      <c r="CC12" s="62">
        <f t="shared" si="11"/>
        <v>321.58466324563335</v>
      </c>
      <c r="CD12" s="62">
        <f ca="1">AVERAGE(OFFSET($CC$3,0,0,'Données projet'!$E$12+1,1))-AVERAGE(OFFSET($H$3,0,0,'Données projet'!$E$12+1,1))</f>
        <v>222.86701323374945</v>
      </c>
      <c r="CE12" s="62">
        <f t="shared" si="40"/>
        <v>149.63671045240511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1.1000000000000001</v>
      </c>
      <c r="CT12" s="13">
        <f>IF('Données projet'!$A$140&gt;35,CT11+CS12-DB11,IF(A12&lt;'Données projet'!$A$140,$CQ$205^A12,IF(A12='Données projet'!$A$140,'Données projet'!$B$140,CT11+CS12-DB11)))</f>
        <v>8.6547278641645029</v>
      </c>
      <c r="CU12" s="18">
        <f>CT12*VLOOKUP('Données projet'!$B$13,Paramètres!$A$1:$I$89,3,0)*VLOOKUP('Données projet'!$B$13,Paramètres!$A$1:$I$89,5,0)</f>
        <v>5.6705776966005823</v>
      </c>
      <c r="CV12" s="14">
        <f t="shared" si="41"/>
        <v>2.1352914049034637</v>
      </c>
      <c r="CW12" s="22">
        <f t="shared" si="13"/>
        <v>13.59522201845288</v>
      </c>
      <c r="CX12" s="62">
        <f t="shared" si="14"/>
        <v>281.26188868511957</v>
      </c>
      <c r="CY12" s="62">
        <f ca="1">AVERAGE(OFFSET($CX$3,0,0,'Données projet'!$E$13+1,1))-AVERAGE(OFFSET($H$3,0,0,'Données projet'!$E$13+1,1))</f>
        <v>173.15672762188746</v>
      </c>
      <c r="CZ12" s="62">
        <f t="shared" si="42"/>
        <v>208.54841796921414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5.8668181818181813</v>
      </c>
      <c r="EJ12" s="13">
        <f>IF('Données projet'!$A$192&gt;35,EJ11+EI12-ER11,IF(A12&lt;'Données projet'!$A$192,$EG$205^A12,IF(A12='Données projet'!$A$192,'Données projet'!$B$192,EJ11+EI12-ER11)))</f>
        <v>7.3033051182741131</v>
      </c>
      <c r="EK12" s="18">
        <f>EJ12*VLOOKUP('Données projet'!$B$15,Paramètres!$A$1:$I$89,3,0)*VLOOKUP('Données projet'!$B$15,Paramètres!$A$1:$I$89,5,0)</f>
        <v>4.36737646072792</v>
      </c>
      <c r="EL12" s="14">
        <f t="shared" si="45"/>
        <v>1.6953173735084623</v>
      </c>
      <c r="EM12" s="22">
        <f t="shared" si="19"/>
        <v>10.559191761295033</v>
      </c>
      <c r="EN12" s="62">
        <f t="shared" si="20"/>
        <v>278.22585842796173</v>
      </c>
      <c r="EO12" s="62">
        <f ca="1">AVERAGE(OFFSET($EN$3,0,0,'Données projet'!$E$15+1,1))-AVERAGE(OFFSET($H$3,0,0,'Données projet'!$E$15+1,1))</f>
        <v>269.18638759204373</v>
      </c>
      <c r="EP12" s="62">
        <f t="shared" si="46"/>
        <v>197.07126167823969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9.5173333333333332</v>
      </c>
      <c r="FE12" s="13">
        <f>IF('Données projet'!$A$218&gt;35,FE11+FD12-FM11,IF(A12&lt;'Données projet'!$A$218,$FB$205^A12,IF(A12='Données projet'!$A$218,'Données projet'!$B$218,FE11+FD12-FM11)))</f>
        <v>19.622933115628491</v>
      </c>
      <c r="FF12" s="18">
        <f>FE12*VLOOKUP('Données projet'!$B$16,Paramètres!$A$1:$I$89,3,0)*VLOOKUP('Données projet'!$B$16,Paramètres!$A$1:$I$89,5,0)</f>
        <v>11.734514003145838</v>
      </c>
      <c r="FG12" s="14">
        <f t="shared" si="47"/>
        <v>4.0600504852849548</v>
      </c>
      <c r="FH12" s="22">
        <f t="shared" si="22"/>
        <v>27.508866484016963</v>
      </c>
      <c r="FI12" s="62">
        <f t="shared" si="23"/>
        <v>295.17553315068363</v>
      </c>
      <c r="FJ12" s="62">
        <f ca="1">AVERAGE(OFFSET($FI$3,0,0,'Données projet'!$E$16+1,1))-AVERAGE(OFFSET($H$3,0,0,'Données projet'!$E$16+1,1))</f>
        <v>330.48891719033065</v>
      </c>
      <c r="FK12" s="62">
        <f t="shared" si="48"/>
        <v>419.35494198427284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>
        <f>VLOOKUP(A12,'Données projet'!$A$243:$I$263,2,0)</f>
        <v>29</v>
      </c>
      <c r="FX12" s="13">
        <f>VLOOKUP(A12,'Données projet'!$A$243:$I$263,9,0)</f>
        <v>21</v>
      </c>
      <c r="FY12" s="13">
        <f t="array" ref="FY12">INDEX(FX:FX,MIN(IF(ISNUMBER(FX12:FX208),ROW(FX12:FX208),"")))</f>
        <v>21</v>
      </c>
      <c r="FZ12" s="13">
        <f>IF('Données projet'!$A$244&gt;35,FZ11+FY12-GH11,IF(A12&lt;'Données projet'!$A$244,$FW$205^A12,IF(A12='Données projet'!$A$244,'Données projet'!$B$244,FZ11+FY12-GH11)))</f>
        <v>29</v>
      </c>
      <c r="GA12" s="18">
        <f>FZ12*VLOOKUP('Données projet'!$B$17,Paramètres!$A$1:$I$89,3,0)*VLOOKUP('Données projet'!$B$17,Paramètres!$A$1:$I$89,5,0)</f>
        <v>14.703000000000001</v>
      </c>
      <c r="GB12" s="14">
        <f t="shared" si="49"/>
        <v>4.9553230064572276</v>
      </c>
      <c r="GC12" s="22">
        <f t="shared" si="25"/>
        <v>34.238245902913015</v>
      </c>
      <c r="GD12" s="62">
        <f t="shared" si="26"/>
        <v>301.90491256957972</v>
      </c>
      <c r="GE12" s="62">
        <f ca="1">AVERAGE(OFFSET($GD$3,0,0,'Données projet'!$E$17+1,1))-AVERAGE(OFFSET($H$3,0,0,'Données projet'!$E$17+1,1))</f>
        <v>132.18258156780018</v>
      </c>
      <c r="GF12" s="62">
        <f t="shared" si="50"/>
        <v>315.58133946947294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9">
        <f t="shared" si="1"/>
        <v>277.68774337881695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3.887142857142857</v>
      </c>
      <c r="N13" s="14">
        <f>IF('Données projet'!$A$36&gt;35,N12+M13-V12,IF(A13&lt;'Données projet'!$A$36,$K$205^A13,IF(A13='Données projet'!$A$36,'Données projet'!$B$36,N12+M13-V12)))</f>
        <v>38.871428571428559</v>
      </c>
      <c r="O13" s="14">
        <f>N13*VLOOKUP('Données projet'!$B$9,Paramètres!$A$1:$I$89,3,0)*VLOOKUP('Données projet'!$B$9,Paramètres!$A$1:$I$89,5,0)</f>
        <v>35.170868571428556</v>
      </c>
      <c r="P13" s="14">
        <f t="shared" si="33"/>
        <v>10.709259603674569</v>
      </c>
      <c r="Q13" s="22">
        <f t="shared" si="2"/>
        <v>79.90788990497127</v>
      </c>
      <c r="R13" s="62">
        <f t="shared" si="0"/>
        <v>348.79677879386014</v>
      </c>
      <c r="S13" s="62">
        <f ca="1">AVERAGE(OFFSET($R$3,0,0,'Données projet'!$E$9+1,1))-AVERAGE(OFFSET($H$3,0,0,'Données projet'!$E$9+1,1))</f>
        <v>401.86262166363821</v>
      </c>
      <c r="T13" s="62">
        <f t="shared" si="34"/>
        <v>208.60314230781432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3.887142857142857</v>
      </c>
      <c r="AI13" s="14">
        <f>IF('Données projet'!$A$62&gt;35,AI12+AH13-AQ12,IF(A13&lt;'Données projet'!$A$62,$AF$205^A13,IF(A13='Données projet'!$A$62,'Données projet'!$B$62,AI12+AH13-AQ12)))</f>
        <v>38.871428571428559</v>
      </c>
      <c r="AJ13" s="14">
        <f>AI13*VLOOKUP('Données projet'!$B$10,Paramètres!$A$1:$I$89,3,0)*VLOOKUP('Données projet'!$B$10,Paramètres!$A$1:$I$89,5,0)</f>
        <v>41.841205714285699</v>
      </c>
      <c r="AK13" s="14">
        <f t="shared" si="35"/>
        <v>12.48537318687174</v>
      </c>
      <c r="AL13" s="22">
        <f t="shared" si="4"/>
        <v>94.618791586182525</v>
      </c>
      <c r="AM13" s="62">
        <f t="shared" si="5"/>
        <v>363.50768047507137</v>
      </c>
      <c r="AN13" s="62">
        <f ca="1">AVERAGE(OFFSET($AM$3,0,0,'Données projet'!$E$10+1,1))-AVERAGE(OFFSET($H$3,0,0,'Données projet'!$E$10+1,1))</f>
        <v>407.22515465568205</v>
      </c>
      <c r="AO13" s="62">
        <f t="shared" si="36"/>
        <v>251.6218558398258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3.887142857142857</v>
      </c>
      <c r="BD13" s="13">
        <f>IF('Données projet'!$A$88&gt;35,BD12+BC13-BL12,IF(A13&lt;'Données projet'!$A$88,$BA$205^A13,IF(A13='Données projet'!$A$88,'Données projet'!$B$88,BD12+BC13-BL12)))</f>
        <v>38.871428571428559</v>
      </c>
      <c r="BE13" s="14">
        <f>BD13*VLOOKUP('Données projet'!$B$11,Paramètres!$A$1:$I$89,3,0)*VLOOKUP('Données projet'!$B$11,Paramètres!$A$1:$I$89,5,0)</f>
        <v>37.596445714285707</v>
      </c>
      <c r="BF13" s="14">
        <f t="shared" si="37"/>
        <v>11.359305197918257</v>
      </c>
      <c r="BG13" s="22">
        <f t="shared" si="7"/>
        <v>85.264599505421899</v>
      </c>
      <c r="BH13" s="62">
        <f t="shared" si="8"/>
        <v>354.15348839431078</v>
      </c>
      <c r="BI13" s="62">
        <f ca="1">AVERAGE(OFFSET($BH$3,0,0,'Données projet'!$E$11+1,1))-AVERAGE(OFFSET($H$3,0,0,'Données projet'!$E$11+1,1))</f>
        <v>357.76044008074308</v>
      </c>
      <c r="BJ13" s="62">
        <f t="shared" si="38"/>
        <v>224.26555772810445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3.887142857142857</v>
      </c>
      <c r="BY13" s="13">
        <f>IF('Données projet'!$A$114&gt;35,BY12+BX13-CG12,IF(A13&lt;'Données projet'!$A$114,$BV$205^A13,IF(A13='Données projet'!$A$114,'Données projet'!$B$114,BY12+BX13-CG12)))</f>
        <v>38.871428571428559</v>
      </c>
      <c r="BZ13" s="14">
        <f>BY13*VLOOKUP('Données projet'!$B$12,Paramètres!$A$1:$I$89,3,0)*VLOOKUP('Données projet'!$B$12,Paramètres!$A$1:$I$89,5,0)</f>
        <v>26.074954285714277</v>
      </c>
      <c r="CA13" s="14">
        <f t="shared" si="39"/>
        <v>8.221048279595589</v>
      </c>
      <c r="CB13" s="22">
        <f t="shared" si="10"/>
        <v>59.732204467914677</v>
      </c>
      <c r="CC13" s="62">
        <f t="shared" si="11"/>
        <v>328.62109335680356</v>
      </c>
      <c r="CD13" s="62">
        <f ca="1">AVERAGE(OFFSET($CC$3,0,0,'Données projet'!$E$12+1,1))-AVERAGE(OFFSET($H$3,0,0,'Données projet'!$E$12+1,1))</f>
        <v>222.86701323374945</v>
      </c>
      <c r="CE13" s="62">
        <f t="shared" si="40"/>
        <v>149.63671045240511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11</v>
      </c>
      <c r="CR13" s="13">
        <f>VLOOKUP(A13,'Données projet'!$A$139:$I$159,9,0)</f>
        <v>1.1000000000000001</v>
      </c>
      <c r="CS13" s="13">
        <f t="array" ref="CS13">INDEX(CR:CR,MIN(IF(ISNUMBER(CR13:CR209),ROW(CR13:CR209),"")))</f>
        <v>1.1000000000000001</v>
      </c>
      <c r="CT13" s="13">
        <f>IF('Données projet'!$A$140&gt;35,CT12+CS13-DB12,IF(A13&lt;'Données projet'!$A$140,$CQ$205^A13,IF(A13='Données projet'!$A$140,'Données projet'!$B$140,CT12+CS13-DB12)))</f>
        <v>11</v>
      </c>
      <c r="CU13" s="18">
        <f>CT13*VLOOKUP('Données projet'!$B$13,Paramètres!$A$1:$I$89,3,0)*VLOOKUP('Données projet'!$B$13,Paramètres!$A$1:$I$89,5,0)</f>
        <v>7.2072000000000003</v>
      </c>
      <c r="CV13" s="14">
        <f t="shared" si="41"/>
        <v>2.6392140198770462</v>
      </c>
      <c r="CW13" s="22">
        <f t="shared" si="13"/>
        <v>17.149171084619187</v>
      </c>
      <c r="CX13" s="62">
        <f t="shared" si="14"/>
        <v>286.03805997350804</v>
      </c>
      <c r="CY13" s="62">
        <f ca="1">AVERAGE(OFFSET($CX$3,0,0,'Données projet'!$E$13+1,1))-AVERAGE(OFFSET($H$3,0,0,'Données projet'!$E$13+1,1))</f>
        <v>173.15672762188746</v>
      </c>
      <c r="CZ13" s="62">
        <f t="shared" si="42"/>
        <v>208.54841796921414</v>
      </c>
      <c r="DA13" s="16">
        <f>IF(ISNA(VLOOKUP(A13,'Données projet'!$A$139:$I$159,3,0)),0,VLOOKUP(A13,'Données projet'!$A$139:$I$159,3,0))</f>
        <v>1</v>
      </c>
      <c r="DB13" s="16">
        <f>IF(ISNA(VLOOKUP(A13,'Données projet'!$A$139:$I$159,4,0)),0,VLOOKUP(A13,'Données projet'!$A$139:$I$159,4,0))</f>
        <v>1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5.8668181818181813</v>
      </c>
      <c r="EJ13" s="13">
        <f>IF('Données projet'!$A$192&gt;35,EJ12+EI13-ER12,IF(A13&lt;'Données projet'!$A$192,$EG$205^A13,IF(A13='Données projet'!$A$192,'Données projet'!$B$192,EJ12+EI13-ER12)))</f>
        <v>9.1089024272714045</v>
      </c>
      <c r="EK13" s="18">
        <f>EJ13*VLOOKUP('Données projet'!$B$15,Paramètres!$A$1:$I$89,3,0)*VLOOKUP('Données projet'!$B$15,Paramètres!$A$1:$I$89,5,0)</f>
        <v>5.4471236515083001</v>
      </c>
      <c r="EL13" s="14">
        <f t="shared" si="45"/>
        <v>2.0607695702449207</v>
      </c>
      <c r="EM13" s="22">
        <f t="shared" si="19"/>
        <v>13.076247361220192</v>
      </c>
      <c r="EN13" s="62">
        <f t="shared" si="20"/>
        <v>281.96513625010903</v>
      </c>
      <c r="EO13" s="62">
        <f ca="1">AVERAGE(OFFSET($EN$3,0,0,'Données projet'!$E$15+1,1))-AVERAGE(OFFSET($H$3,0,0,'Données projet'!$E$15+1,1))</f>
        <v>269.18638759204373</v>
      </c>
      <c r="EP13" s="62">
        <f t="shared" si="46"/>
        <v>197.07126167823969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9.5173333333333332</v>
      </c>
      <c r="FE13" s="13">
        <f>IF('Données projet'!$A$218&gt;35,FE12+FD13-FM12,IF(A13&lt;'Données projet'!$A$218,$FB$205^A13,IF(A13='Données projet'!$A$218,'Données projet'!$B$218,FE12+FD13-FM12)))</f>
        <v>27.315198414157098</v>
      </c>
      <c r="FF13" s="18">
        <f>FE13*VLOOKUP('Données projet'!$B$16,Paramètres!$A$1:$I$89,3,0)*VLOOKUP('Données projet'!$B$16,Paramètres!$A$1:$I$89,5,0)</f>
        <v>16.334488651665946</v>
      </c>
      <c r="FG13" s="14">
        <f t="shared" si="47"/>
        <v>5.4381617779403353</v>
      </c>
      <c r="FH13" s="22">
        <f t="shared" si="22"/>
        <v>37.920699498230938</v>
      </c>
      <c r="FI13" s="62">
        <f t="shared" si="23"/>
        <v>306.80958838711979</v>
      </c>
      <c r="FJ13" s="62">
        <f ca="1">AVERAGE(OFFSET($FI$3,0,0,'Données projet'!$E$16+1,1))-AVERAGE(OFFSET($H$3,0,0,'Données projet'!$E$16+1,1))</f>
        <v>330.48891719033065</v>
      </c>
      <c r="FK13" s="62">
        <f t="shared" si="48"/>
        <v>419.35494198427284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>
        <f>VLOOKUP(A13,'Données projet'!$A$243:$I$263,2,0)</f>
        <v>52</v>
      </c>
      <c r="FX13" s="13">
        <f>VLOOKUP(A13,'Données projet'!$A$243:$I$263,9,0)</f>
        <v>23</v>
      </c>
      <c r="FY13" s="13">
        <f t="array" ref="FY13">INDEX(FX:FX,MIN(IF(ISNUMBER(FX13:FX209),ROW(FX13:FX209),"")))</f>
        <v>23</v>
      </c>
      <c r="FZ13" s="13">
        <f>IF('Données projet'!$A$244&gt;35,FZ12+FY13-GH12,IF(A13&lt;'Données projet'!$A$244,$FW$205^A13,IF(A13='Données projet'!$A$244,'Données projet'!$B$244,FZ12+FY13-GH12)))</f>
        <v>52</v>
      </c>
      <c r="GA13" s="18">
        <f>FZ13*VLOOKUP('Données projet'!$B$17,Paramètres!$A$1:$I$89,3,0)*VLOOKUP('Données projet'!$B$17,Paramètres!$A$1:$I$89,5,0)</f>
        <v>26.364000000000004</v>
      </c>
      <c r="GB13" s="14">
        <f t="shared" si="49"/>
        <v>8.3015206428460289</v>
      </c>
      <c r="GC13" s="22">
        <f t="shared" si="25"/>
        <v>60.375781786290162</v>
      </c>
      <c r="GD13" s="62">
        <f t="shared" si="26"/>
        <v>329.26467067517899</v>
      </c>
      <c r="GE13" s="62">
        <f ca="1">AVERAGE(OFFSET($GD$3,0,0,'Données projet'!$E$17+1,1))-AVERAGE(OFFSET($H$3,0,0,'Données projet'!$E$17+1,1))</f>
        <v>132.18258156780018</v>
      </c>
      <c r="GF13" s="62">
        <f t="shared" si="50"/>
        <v>315.58133946947294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9">
        <f t="shared" si="1"/>
        <v>279.72268788563707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3.887142857142857</v>
      </c>
      <c r="N14" s="14">
        <f>IF('Données projet'!$A$36&gt;35,N13+M14-V13,IF(A14&lt;'Données projet'!$A$36,$K$205^A14,IF(A14='Données projet'!$A$36,'Données projet'!$B$36,N13+M14-V13)))</f>
        <v>42.758571428571415</v>
      </c>
      <c r="O14" s="14">
        <f>N14*VLOOKUP('Données projet'!$B$9,Paramètres!$A$1:$I$89,3,0)*VLOOKUP('Données projet'!$B$9,Paramètres!$A$1:$I$89,5,0)</f>
        <v>38.687955428571414</v>
      </c>
      <c r="P14" s="14">
        <f t="shared" si="33"/>
        <v>11.650217223542473</v>
      </c>
      <c r="Q14" s="22">
        <f t="shared" si="2"/>
        <v>87.672317369098337</v>
      </c>
      <c r="R14" s="62">
        <f t="shared" si="0"/>
        <v>357.78342848020947</v>
      </c>
      <c r="S14" s="62">
        <f ca="1">AVERAGE(OFFSET($R$3,0,0,'Données projet'!$E$9+1,1))-AVERAGE(OFFSET($H$3,0,0,'Données projet'!$E$9+1,1))</f>
        <v>401.86262166363821</v>
      </c>
      <c r="T14" s="62">
        <f t="shared" si="34"/>
        <v>208.60314230781432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3.887142857142857</v>
      </c>
      <c r="AI14" s="14">
        <f>IF('Données projet'!$A$62&gt;35,AI13+AH14-AQ13,IF(A14&lt;'Données projet'!$A$62,$AF$205^A14,IF(A14='Données projet'!$A$62,'Données projet'!$B$62,AI13+AH14-AQ13)))</f>
        <v>42.758571428571415</v>
      </c>
      <c r="AJ14" s="14">
        <f>AI14*VLOOKUP('Données projet'!$B$10,Paramètres!$A$1:$I$89,3,0)*VLOOKUP('Données projet'!$B$10,Paramètres!$A$1:$I$89,5,0)</f>
        <v>46.025326285714272</v>
      </c>
      <c r="AK14" s="14">
        <f t="shared" si="35"/>
        <v>13.582387123582203</v>
      </c>
      <c r="AL14" s="22">
        <f t="shared" si="4"/>
        <v>103.81676752119135</v>
      </c>
      <c r="AM14" s="62">
        <f t="shared" si="5"/>
        <v>373.92787863230251</v>
      </c>
      <c r="AN14" s="62">
        <f ca="1">AVERAGE(OFFSET($AM$3,0,0,'Données projet'!$E$10+1,1))-AVERAGE(OFFSET($H$3,0,0,'Données projet'!$E$10+1,1))</f>
        <v>407.22515465568205</v>
      </c>
      <c r="AO14" s="62">
        <f t="shared" si="36"/>
        <v>251.6218558398258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3.887142857142857</v>
      </c>
      <c r="BD14" s="13">
        <f>IF('Données projet'!$A$88&gt;35,BD13+BC14-BL13,IF(A14&lt;'Données projet'!$A$88,$BA$205^A14,IF(A14='Données projet'!$A$88,'Données projet'!$B$88,BD13+BC14-BL13)))</f>
        <v>42.758571428571415</v>
      </c>
      <c r="BE14" s="14">
        <f>BD14*VLOOKUP('Données projet'!$B$11,Paramètres!$A$1:$I$89,3,0)*VLOOKUP('Données projet'!$B$11,Paramètres!$A$1:$I$89,5,0)</f>
        <v>41.356090285714274</v>
      </c>
      <c r="BF14" s="14">
        <f t="shared" si="37"/>
        <v>12.357378377386118</v>
      </c>
      <c r="BG14" s="22">
        <f t="shared" si="7"/>
        <v>93.550957921566507</v>
      </c>
      <c r="BH14" s="62">
        <f t="shared" si="8"/>
        <v>363.66206903267766</v>
      </c>
      <c r="BI14" s="62">
        <f ca="1">AVERAGE(OFFSET($BH$3,0,0,'Données projet'!$E$11+1,1))-AVERAGE(OFFSET($H$3,0,0,'Données projet'!$E$11+1,1))</f>
        <v>357.76044008074308</v>
      </c>
      <c r="BJ14" s="62">
        <f t="shared" si="38"/>
        <v>224.26555772810445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3.887142857142857</v>
      </c>
      <c r="BY14" s="13">
        <f>IF('Données projet'!$A$114&gt;35,BY13+BX14-CG13,IF(A14&lt;'Données projet'!$A$114,$BV$205^A14,IF(A14='Données projet'!$A$114,'Données projet'!$B$114,BY13+BX14-CG13)))</f>
        <v>42.758571428571415</v>
      </c>
      <c r="BZ14" s="14">
        <f>BY14*VLOOKUP('Données projet'!$B$12,Paramètres!$A$1:$I$89,3,0)*VLOOKUP('Données projet'!$B$12,Paramètres!$A$1:$I$89,5,0)</f>
        <v>28.682449714285706</v>
      </c>
      <c r="CA14" s="14">
        <f t="shared" si="39"/>
        <v>8.9433818776468605</v>
      </c>
      <c r="CB14" s="22">
        <f t="shared" si="10"/>
        <v>65.531656689282556</v>
      </c>
      <c r="CC14" s="62">
        <f t="shared" si="11"/>
        <v>335.6427678003937</v>
      </c>
      <c r="CD14" s="62">
        <f ca="1">AVERAGE(OFFSET($CC$3,0,0,'Données projet'!$E$12+1,1))-AVERAGE(OFFSET($H$3,0,0,'Données projet'!$E$12+1,1))</f>
        <v>222.86701323374945</v>
      </c>
      <c r="CE14" s="62">
        <f t="shared" si="40"/>
        <v>149.63671045240511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6.8</v>
      </c>
      <c r="CT14" s="13">
        <f>IF('Données projet'!$A$140&gt;35,CT13+CS14-DB13,IF(A14&lt;'Données projet'!$A$140,$CQ$205^A14,IF(A14='Données projet'!$A$140,'Données projet'!$B$140,CT13+CS14-DB13)))</f>
        <v>16.8</v>
      </c>
      <c r="CU14" s="18">
        <f>CT14*VLOOKUP('Données projet'!$B$13,Paramètres!$A$1:$I$89,3,0)*VLOOKUP('Données projet'!$B$13,Paramètres!$A$1:$I$89,5,0)</f>
        <v>11.00736</v>
      </c>
      <c r="CV14" s="14">
        <f t="shared" si="41"/>
        <v>3.8369250365307539</v>
      </c>
      <c r="CW14" s="22">
        <f t="shared" si="13"/>
        <v>25.853796438624396</v>
      </c>
      <c r="CX14" s="62">
        <f t="shared" si="14"/>
        <v>295.96490754973553</v>
      </c>
      <c r="CY14" s="62">
        <f ca="1">AVERAGE(OFFSET($CX$3,0,0,'Données projet'!$E$13+1,1))-AVERAGE(OFFSET($H$3,0,0,'Données projet'!$E$13+1,1))</f>
        <v>173.15672762188746</v>
      </c>
      <c r="CZ14" s="62">
        <f t="shared" si="42"/>
        <v>208.54841796921414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5.8668181818181813</v>
      </c>
      <c r="EJ14" s="13">
        <f>IF('Données projet'!$A$192&gt;35,EJ13+EI14-ER13,IF(A14&lt;'Données projet'!$A$192,$EG$205^A14,IF(A14='Données projet'!$A$192,'Données projet'!$B$192,EJ13+EI14-ER13)))</f>
        <v>11.360897851842525</v>
      </c>
      <c r="EK14" s="18">
        <f>EJ14*VLOOKUP('Données projet'!$B$15,Paramètres!$A$1:$I$89,3,0)*VLOOKUP('Données projet'!$B$15,Paramètres!$A$1:$I$89,5,0)</f>
        <v>6.7938169154018313</v>
      </c>
      <c r="EL14" s="14">
        <f t="shared" si="45"/>
        <v>2.50500070842708</v>
      </c>
      <c r="EM14" s="22">
        <f t="shared" si="19"/>
        <v>16.195440694835355</v>
      </c>
      <c r="EN14" s="62">
        <f t="shared" si="20"/>
        <v>286.30655180594647</v>
      </c>
      <c r="EO14" s="62">
        <f ca="1">AVERAGE(OFFSET($EN$3,0,0,'Données projet'!$E$15+1,1))-AVERAGE(OFFSET($H$3,0,0,'Données projet'!$E$15+1,1))</f>
        <v>269.18638759204373</v>
      </c>
      <c r="EP14" s="62">
        <f t="shared" si="46"/>
        <v>197.07126167823969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9.5173333333333332</v>
      </c>
      <c r="FE14" s="13">
        <f>IF('Données projet'!$A$218&gt;35,FE13+FD14-FM13,IF(A14&lt;'Données projet'!$A$218,$FB$205^A14,IF(A14='Données projet'!$A$218,'Données projet'!$B$218,FE13+FD14-FM13)))</f>
        <v>38.022861312742819</v>
      </c>
      <c r="FF14" s="18">
        <f>FE14*VLOOKUP('Données projet'!$B$16,Paramètres!$A$1:$I$89,3,0)*VLOOKUP('Données projet'!$B$16,Paramètres!$A$1:$I$89,5,0)</f>
        <v>22.737671065020209</v>
      </c>
      <c r="FG14" s="14">
        <f t="shared" si="47"/>
        <v>7.2840482231037003</v>
      </c>
      <c r="FH14" s="22">
        <f t="shared" si="22"/>
        <v>52.287827760149135</v>
      </c>
      <c r="FI14" s="62">
        <f t="shared" si="23"/>
        <v>322.39893887126027</v>
      </c>
      <c r="FJ14" s="62">
        <f ca="1">AVERAGE(OFFSET($FI$3,0,0,'Données projet'!$E$16+1,1))-AVERAGE(OFFSET($H$3,0,0,'Données projet'!$E$16+1,1))</f>
        <v>330.48891719033065</v>
      </c>
      <c r="FK14" s="62">
        <f t="shared" si="48"/>
        <v>419.35494198427284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>
        <f>VLOOKUP(A14,'Données projet'!$A$243:$I$263,2,0)</f>
        <v>76</v>
      </c>
      <c r="FX14" s="13">
        <f>VLOOKUP(A14,'Données projet'!$A$243:$I$263,9,0)</f>
        <v>24</v>
      </c>
      <c r="FY14" s="13">
        <f t="array" ref="FY14">INDEX(FX:FX,MIN(IF(ISNUMBER(FX14:FX210),ROW(FX14:FX210),"")))</f>
        <v>24</v>
      </c>
      <c r="FZ14" s="13">
        <f>IF('Données projet'!$A$244&gt;35,FZ13+FY14-GH13,IF(A14&lt;'Données projet'!$A$244,$FW$205^A14,IF(A14='Données projet'!$A$244,'Données projet'!$B$244,FZ13+FY14-GH13)))</f>
        <v>76</v>
      </c>
      <c r="GA14" s="18">
        <f>FZ14*VLOOKUP('Données projet'!$B$17,Paramètres!$A$1:$I$89,3,0)*VLOOKUP('Données projet'!$B$17,Paramètres!$A$1:$I$89,5,0)</f>
        <v>38.532000000000004</v>
      </c>
      <c r="GB14" s="14">
        <f t="shared" si="49"/>
        <v>11.608710688584155</v>
      </c>
      <c r="GC14" s="22">
        <f t="shared" si="25"/>
        <v>87.328404449284065</v>
      </c>
      <c r="GD14" s="62">
        <f t="shared" si="26"/>
        <v>357.43951556039519</v>
      </c>
      <c r="GE14" s="62">
        <f ca="1">AVERAGE(OFFSET($GD$3,0,0,'Données projet'!$E$17+1,1))-AVERAGE(OFFSET($H$3,0,0,'Données projet'!$E$17+1,1))</f>
        <v>132.18258156780018</v>
      </c>
      <c r="GF14" s="62">
        <f t="shared" si="50"/>
        <v>315.58133946947294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9">
        <f t="shared" si="1"/>
        <v>281.75250661735487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3.887142857142857</v>
      </c>
      <c r="N15" s="14">
        <f>IF('Données projet'!$A$36&gt;35,N14+M15-V14,IF(A15&lt;'Données projet'!$A$36,$K$205^A15,IF(A15='Données projet'!$A$36,'Données projet'!$B$36,N14+M15-V14)))</f>
        <v>46.64571428571427</v>
      </c>
      <c r="O15" s="14">
        <f>N15*VLOOKUP('Données projet'!$B$9,Paramètres!$A$1:$I$89,3,0)*VLOOKUP('Données projet'!$B$9,Paramètres!$A$1:$I$89,5,0)</f>
        <v>42.205042285714271</v>
      </c>
      <c r="P15" s="14">
        <f t="shared" si="33"/>
        <v>12.581255887241159</v>
      </c>
      <c r="Q15" s="22">
        <f t="shared" si="2"/>
        <v>95.419469317897367</v>
      </c>
      <c r="R15" s="62">
        <f t="shared" si="0"/>
        <v>366.7528026512307</v>
      </c>
      <c r="S15" s="62">
        <f ca="1">AVERAGE(OFFSET($R$3,0,0,'Données projet'!$E$9+1,1))-AVERAGE(OFFSET($H$3,0,0,'Données projet'!$E$9+1,1))</f>
        <v>401.86262166363821</v>
      </c>
      <c r="T15" s="62">
        <f t="shared" si="34"/>
        <v>208.60314230781432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3.887142857142857</v>
      </c>
      <c r="AI15" s="14">
        <f>IF('Données projet'!$A$62&gt;35,AI14+AH15-AQ14,IF(A15&lt;'Données projet'!$A$62,$AF$205^A15,IF(A15='Données projet'!$A$62,'Données projet'!$B$62,AI14+AH15-AQ14)))</f>
        <v>46.64571428571427</v>
      </c>
      <c r="AJ15" s="14">
        <f>AI15*VLOOKUP('Données projet'!$B$10,Paramètres!$A$1:$I$89,3,0)*VLOOKUP('Données projet'!$B$10,Paramètres!$A$1:$I$89,5,0)</f>
        <v>50.209446857142837</v>
      </c>
      <c r="AK15" s="14">
        <f t="shared" si="35"/>
        <v>14.667837061101311</v>
      </c>
      <c r="AL15" s="22">
        <f t="shared" si="4"/>
        <v>112.99460282427522</v>
      </c>
      <c r="AM15" s="62">
        <f t="shared" si="5"/>
        <v>384.32793615760852</v>
      </c>
      <c r="AN15" s="62">
        <f ca="1">AVERAGE(OFFSET($AM$3,0,0,'Données projet'!$E$10+1,1))-AVERAGE(OFFSET($H$3,0,0,'Données projet'!$E$10+1,1))</f>
        <v>407.22515465568205</v>
      </c>
      <c r="AO15" s="62">
        <f t="shared" si="36"/>
        <v>251.6218558398258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3.887142857142857</v>
      </c>
      <c r="BD15" s="13">
        <f>IF('Données projet'!$A$88&gt;35,BD14+BC15-BL14,IF(A15&lt;'Données projet'!$A$88,$BA$205^A15,IF(A15='Données projet'!$A$88,'Données projet'!$B$88,BD14+BC15-BL14)))</f>
        <v>46.64571428571427</v>
      </c>
      <c r="BE15" s="14">
        <f>BD15*VLOOKUP('Données projet'!$B$11,Paramètres!$A$1:$I$89,3,0)*VLOOKUP('Données projet'!$B$11,Paramètres!$A$1:$I$89,5,0)</f>
        <v>45.115734857142847</v>
      </c>
      <c r="BF15" s="14">
        <f t="shared" si="37"/>
        <v>13.344930526032003</v>
      </c>
      <c r="BG15" s="22">
        <f t="shared" si="7"/>
        <v>101.81899220902953</v>
      </c>
      <c r="BH15" s="62">
        <f t="shared" si="8"/>
        <v>373.15232554236286</v>
      </c>
      <c r="BI15" s="62">
        <f ca="1">AVERAGE(OFFSET($BH$3,0,0,'Données projet'!$E$11+1,1))-AVERAGE(OFFSET($H$3,0,0,'Données projet'!$E$11+1,1))</f>
        <v>357.76044008074308</v>
      </c>
      <c r="BJ15" s="62">
        <f t="shared" si="38"/>
        <v>224.26555772810445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3.887142857142857</v>
      </c>
      <c r="BY15" s="13">
        <f>IF('Données projet'!$A$114&gt;35,BY14+BX15-CG14,IF(A15&lt;'Données projet'!$A$114,$BV$205^A15,IF(A15='Données projet'!$A$114,'Données projet'!$B$114,BY14+BX15-CG14)))</f>
        <v>46.64571428571427</v>
      </c>
      <c r="BZ15" s="14">
        <f>BY15*VLOOKUP('Données projet'!$B$12,Paramètres!$A$1:$I$89,3,0)*VLOOKUP('Données projet'!$B$12,Paramètres!$A$1:$I$89,5,0)</f>
        <v>31.289945142857132</v>
      </c>
      <c r="CA15" s="14">
        <f t="shared" si="39"/>
        <v>9.6581011101333694</v>
      </c>
      <c r="CB15" s="22">
        <f t="shared" si="10"/>
        <v>71.317847223958452</v>
      </c>
      <c r="CC15" s="62">
        <f t="shared" si="11"/>
        <v>342.65118055729175</v>
      </c>
      <c r="CD15" s="62">
        <f ca="1">AVERAGE(OFFSET($CC$3,0,0,'Données projet'!$E$12+1,1))-AVERAGE(OFFSET($H$3,0,0,'Données projet'!$E$12+1,1))</f>
        <v>222.86701323374945</v>
      </c>
      <c r="CE15" s="62">
        <f t="shared" si="40"/>
        <v>149.63671045240511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6.8</v>
      </c>
      <c r="CT15" s="13">
        <f>IF('Données projet'!$A$140&gt;35,CT14+CS15-DB14,IF(A15&lt;'Données projet'!$A$140,$CQ$205^A15,IF(A15='Données projet'!$A$140,'Données projet'!$B$140,CT14+CS15-DB14)))</f>
        <v>23.6</v>
      </c>
      <c r="CU15" s="18">
        <f>CT15*VLOOKUP('Données projet'!$B$13,Paramètres!$A$1:$I$89,3,0)*VLOOKUP('Données projet'!$B$13,Paramètres!$A$1:$I$89,5,0)</f>
        <v>15.462720000000001</v>
      </c>
      <c r="CV15" s="14">
        <f t="shared" si="41"/>
        <v>5.1808984376512361</v>
      </c>
      <c r="CW15" s="22">
        <f t="shared" si="13"/>
        <v>35.954302112242566</v>
      </c>
      <c r="CX15" s="62">
        <f t="shared" si="14"/>
        <v>307.28763544557586</v>
      </c>
      <c r="CY15" s="62">
        <f ca="1">AVERAGE(OFFSET($CX$3,0,0,'Données projet'!$E$13+1,1))-AVERAGE(OFFSET($H$3,0,0,'Données projet'!$E$13+1,1))</f>
        <v>173.15672762188746</v>
      </c>
      <c r="CZ15" s="62">
        <f t="shared" si="42"/>
        <v>208.54841796921414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5.8668181818181813</v>
      </c>
      <c r="EJ15" s="13">
        <f>IF('Données projet'!$A$192&gt;35,EJ14+EI15-ER14,IF(A15&lt;'Données projet'!$A$192,$EG$205^A15,IF(A15='Données projet'!$A$192,'Données projet'!$B$192,EJ14+EI15-ER14)))</f>
        <v>14.169654470507195</v>
      </c>
      <c r="EK15" s="18">
        <f>EJ15*VLOOKUP('Données projet'!$B$15,Paramètres!$A$1:$I$89,3,0)*VLOOKUP('Données projet'!$B$15,Paramètres!$A$1:$I$89,5,0)</f>
        <v>8.4734533733633022</v>
      </c>
      <c r="EL15" s="14">
        <f t="shared" si="45"/>
        <v>3.044992822013763</v>
      </c>
      <c r="EM15" s="22">
        <f t="shared" si="19"/>
        <v>20.06129379028172</v>
      </c>
      <c r="EN15" s="62">
        <f t="shared" si="20"/>
        <v>291.39462712361501</v>
      </c>
      <c r="EO15" s="62">
        <f ca="1">AVERAGE(OFFSET($EN$3,0,0,'Données projet'!$E$15+1,1))-AVERAGE(OFFSET($H$3,0,0,'Données projet'!$E$15+1,1))</f>
        <v>269.18638759204373</v>
      </c>
      <c r="EP15" s="62">
        <f t="shared" si="46"/>
        <v>197.07126167823969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9.5173333333333332</v>
      </c>
      <c r="FE15" s="13">
        <f>IF('Données projet'!$A$218&gt;35,FE14+FD15-FM14,IF(A15&lt;'Données projet'!$A$218,$FB$205^A15,IF(A15='Données projet'!$A$218,'Données projet'!$B$218,FE14+FD15-FM14)))</f>
        <v>52.927969275111259</v>
      </c>
      <c r="FF15" s="18">
        <f>FE15*VLOOKUP('Données projet'!$B$16,Paramètres!$A$1:$I$89,3,0)*VLOOKUP('Données projet'!$B$16,Paramètres!$A$1:$I$89,5,0)</f>
        <v>31.650925626516536</v>
      </c>
      <c r="FG15" s="14">
        <f t="shared" si="47"/>
        <v>9.756487703570162</v>
      </c>
      <c r="FH15" s="22">
        <f t="shared" si="22"/>
        <v>72.117911549900995</v>
      </c>
      <c r="FI15" s="62">
        <f t="shared" si="23"/>
        <v>343.45124488323432</v>
      </c>
      <c r="FJ15" s="62">
        <f ca="1">AVERAGE(OFFSET($FI$3,0,0,'Données projet'!$E$16+1,1))-AVERAGE(OFFSET($H$3,0,0,'Données projet'!$E$16+1,1))</f>
        <v>330.48891719033065</v>
      </c>
      <c r="FK15" s="62">
        <f t="shared" si="48"/>
        <v>419.35494198427284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>
        <f>VLOOKUP(A15,'Données projet'!$A$243:$I$263,2,0)</f>
        <v>102</v>
      </c>
      <c r="FX15" s="13">
        <f>VLOOKUP(A15,'Données projet'!$A$243:$I$263,9,0)</f>
        <v>26</v>
      </c>
      <c r="FY15" s="13">
        <f t="array" ref="FY15">INDEX(FX:FX,MIN(IF(ISNUMBER(FX15:FX211),ROW(FX15:FX211),"")))</f>
        <v>26</v>
      </c>
      <c r="FZ15" s="13">
        <f>IF('Données projet'!$A$244&gt;35,FZ14+FY15-GH14,IF(A15&lt;'Données projet'!$A$244,$FW$205^A15,IF(A15='Données projet'!$A$244,'Données projet'!$B$244,FZ14+FY15-GH14)))</f>
        <v>102</v>
      </c>
      <c r="GA15" s="18">
        <f>FZ15*VLOOKUP('Données projet'!$B$17,Paramètres!$A$1:$I$89,3,0)*VLOOKUP('Données projet'!$B$17,Paramètres!$A$1:$I$89,5,0)</f>
        <v>51.713999999999999</v>
      </c>
      <c r="GB15" s="14">
        <f t="shared" si="49"/>
        <v>15.055535578337075</v>
      </c>
      <c r="GC15" s="22">
        <f t="shared" si="25"/>
        <v>116.29027446560372</v>
      </c>
      <c r="GD15" s="62">
        <f t="shared" si="26"/>
        <v>387.62360779893703</v>
      </c>
      <c r="GE15" s="62">
        <f ca="1">AVERAGE(OFFSET($GD$3,0,0,'Données projet'!$E$17+1,1))-AVERAGE(OFFSET($H$3,0,0,'Données projet'!$E$17+1,1))</f>
        <v>132.18258156780018</v>
      </c>
      <c r="GF15" s="62">
        <f t="shared" si="50"/>
        <v>315.58133946947294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9">
        <f t="shared" si="1"/>
        <v>283.77767528482127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3.887142857142857</v>
      </c>
      <c r="N16" s="14">
        <f>IF('Données projet'!$A$36&gt;35,N15+M16-V15,IF(A16&lt;'Données projet'!$A$36,$K$205^A16,IF(A16='Données projet'!$A$36,'Données projet'!$B$36,N15+M16-V15)))</f>
        <v>50.532857142857125</v>
      </c>
      <c r="O16" s="14">
        <f>N16*VLOOKUP('Données projet'!$B$9,Paramètres!$A$1:$I$89,3,0)*VLOOKUP('Données projet'!$B$9,Paramètres!$A$1:$I$89,5,0)</f>
        <v>45.722129142857128</v>
      </c>
      <c r="P16" s="14">
        <f t="shared" si="33"/>
        <v>13.50329614922042</v>
      </c>
      <c r="Q16" s="22">
        <f t="shared" si="2"/>
        <v>103.1509490503684</v>
      </c>
      <c r="R16" s="62">
        <f t="shared" si="0"/>
        <v>375.70650460592395</v>
      </c>
      <c r="S16" s="62">
        <f ca="1">AVERAGE(OFFSET($R$3,0,0,'Données projet'!$E$9+1,1))-AVERAGE(OFFSET($H$3,0,0,'Données projet'!$E$9+1,1))</f>
        <v>401.86262166363821</v>
      </c>
      <c r="T16" s="62">
        <f t="shared" si="34"/>
        <v>208.60314230781432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3.887142857142857</v>
      </c>
      <c r="AI16" s="14">
        <f>IF('Données projet'!$A$62&gt;35,AI15+AH16-AQ15,IF(A16&lt;'Données projet'!$A$62,$AF$205^A16,IF(A16='Données projet'!$A$62,'Données projet'!$B$62,AI15+AH16-AQ15)))</f>
        <v>50.532857142857125</v>
      </c>
      <c r="AJ16" s="14">
        <f>AI16*VLOOKUP('Données projet'!$B$10,Paramètres!$A$1:$I$89,3,0)*VLOOKUP('Données projet'!$B$10,Paramètres!$A$1:$I$89,5,0)</f>
        <v>54.393567428571409</v>
      </c>
      <c r="AK16" s="14">
        <f t="shared" si="35"/>
        <v>15.742796226362564</v>
      </c>
      <c r="AL16" s="22">
        <f t="shared" si="4"/>
        <v>122.15416669900999</v>
      </c>
      <c r="AM16" s="62">
        <f t="shared" si="5"/>
        <v>394.70972225456552</v>
      </c>
      <c r="AN16" s="62">
        <f ca="1">AVERAGE(OFFSET($AM$3,0,0,'Données projet'!$E$10+1,1))-AVERAGE(OFFSET($H$3,0,0,'Données projet'!$E$10+1,1))</f>
        <v>407.22515465568205</v>
      </c>
      <c r="AO16" s="62">
        <f t="shared" si="36"/>
        <v>251.6218558398258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3.887142857142857</v>
      </c>
      <c r="BD16" s="13">
        <f>IF('Données projet'!$A$88&gt;35,BD15+BC16-BL15,IF(A16&lt;'Données projet'!$A$88,$BA$205^A16,IF(A16='Données projet'!$A$88,'Données projet'!$B$88,BD15+BC16-BL15)))</f>
        <v>50.532857142857125</v>
      </c>
      <c r="BE16" s="14">
        <f>BD16*VLOOKUP('Données projet'!$B$11,Paramètres!$A$1:$I$89,3,0)*VLOOKUP('Données projet'!$B$11,Paramètres!$A$1:$I$89,5,0)</f>
        <v>48.875379428571414</v>
      </c>
      <c r="BF16" s="14">
        <f t="shared" si="37"/>
        <v>14.322938075405181</v>
      </c>
      <c r="BG16" s="22">
        <f t="shared" si="7"/>
        <v>110.07040298609256</v>
      </c>
      <c r="BH16" s="62">
        <f t="shared" si="8"/>
        <v>382.62595854164812</v>
      </c>
      <c r="BI16" s="62">
        <f ca="1">AVERAGE(OFFSET($BH$3,0,0,'Données projet'!$E$11+1,1))-AVERAGE(OFFSET($H$3,0,0,'Données projet'!$E$11+1,1))</f>
        <v>357.76044008074308</v>
      </c>
      <c r="BJ16" s="62">
        <f t="shared" si="38"/>
        <v>224.26555772810445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3.887142857142857</v>
      </c>
      <c r="BY16" s="13">
        <f>IF('Données projet'!$A$114&gt;35,BY15+BX16-CG15,IF(A16&lt;'Données projet'!$A$114,$BV$205^A16,IF(A16='Données projet'!$A$114,'Données projet'!$B$114,BY15+BX16-CG15)))</f>
        <v>50.532857142857125</v>
      </c>
      <c r="BZ16" s="14">
        <f>BY16*VLOOKUP('Données projet'!$B$12,Paramètres!$A$1:$I$89,3,0)*VLOOKUP('Données projet'!$B$12,Paramètres!$A$1:$I$89,5,0)</f>
        <v>33.897440571428561</v>
      </c>
      <c r="CA16" s="14">
        <f t="shared" si="39"/>
        <v>10.365912647997442</v>
      </c>
      <c r="CB16" s="22">
        <f t="shared" si="10"/>
        <v>77.09200685716695</v>
      </c>
      <c r="CC16" s="62">
        <f t="shared" si="11"/>
        <v>349.64756241272249</v>
      </c>
      <c r="CD16" s="62">
        <f ca="1">AVERAGE(OFFSET($CC$3,0,0,'Données projet'!$E$12+1,1))-AVERAGE(OFFSET($H$3,0,0,'Données projet'!$E$12+1,1))</f>
        <v>222.86701323374945</v>
      </c>
      <c r="CE16" s="62">
        <f t="shared" si="40"/>
        <v>149.63671045240511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6.8</v>
      </c>
      <c r="CT16" s="13">
        <f>IF('Données projet'!$A$140&gt;35,CT15+CS16-DB15,IF(A16&lt;'Données projet'!$A$140,$CQ$205^A16,IF(A16='Données projet'!$A$140,'Données projet'!$B$140,CT15+CS16-DB15)))</f>
        <v>30.400000000000002</v>
      </c>
      <c r="CU16" s="18">
        <f>CT16*VLOOKUP('Données projet'!$B$13,Paramètres!$A$1:$I$89,3,0)*VLOOKUP('Données projet'!$B$13,Paramètres!$A$1:$I$89,5,0)</f>
        <v>19.918080000000003</v>
      </c>
      <c r="CV16" s="14">
        <f t="shared" si="41"/>
        <v>6.4798825087607046</v>
      </c>
      <c r="CW16" s="22">
        <f t="shared" si="13"/>
        <v>45.976451369424893</v>
      </c>
      <c r="CX16" s="62">
        <f t="shared" si="14"/>
        <v>318.53200692498046</v>
      </c>
      <c r="CY16" s="62">
        <f ca="1">AVERAGE(OFFSET($CX$3,0,0,'Données projet'!$E$13+1,1))-AVERAGE(OFFSET($H$3,0,0,'Données projet'!$E$13+1,1))</f>
        <v>173.15672762188746</v>
      </c>
      <c r="CZ16" s="62">
        <f t="shared" si="42"/>
        <v>208.54841796921414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5.8668181818181813</v>
      </c>
      <c r="EJ16" s="13">
        <f>IF('Données projet'!$A$192&gt;35,EJ15+EI16-ER15,IF(A16&lt;'Données projet'!$A$192,$EG$205^A16,IF(A16='Données projet'!$A$192,'Données projet'!$B$192,EJ15+EI16-ER15)))</f>
        <v>17.672820443588613</v>
      </c>
      <c r="EK16" s="18">
        <f>EJ16*VLOOKUP('Données projet'!$B$15,Paramètres!$A$1:$I$89,3,0)*VLOOKUP('Données projet'!$B$15,Paramètres!$A$1:$I$89,5,0)</f>
        <v>10.56834662526599</v>
      </c>
      <c r="EL16" s="14">
        <f t="shared" si="45"/>
        <v>3.7013886882041378</v>
      </c>
      <c r="EM16" s="22">
        <f t="shared" si="19"/>
        <v>24.853122337627141</v>
      </c>
      <c r="EN16" s="62">
        <f t="shared" si="20"/>
        <v>297.4086778931827</v>
      </c>
      <c r="EO16" s="62">
        <f ca="1">AVERAGE(OFFSET($EN$3,0,0,'Données projet'!$E$15+1,1))-AVERAGE(OFFSET($H$3,0,0,'Données projet'!$E$15+1,1))</f>
        <v>269.18638759204373</v>
      </c>
      <c r="EP16" s="62">
        <f t="shared" si="46"/>
        <v>197.07126167823969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9.5173333333333332</v>
      </c>
      <c r="FE16" s="13">
        <f>IF('Données projet'!$A$218&gt;35,FE15+FD16-FM15,IF(A16&lt;'Données projet'!$A$218,$FB$205^A16,IF(A16='Données projet'!$A$218,'Données projet'!$B$218,FE15+FD16-FM15)))</f>
        <v>73.675936919778366</v>
      </c>
      <c r="FF16" s="18">
        <f>FE16*VLOOKUP('Données projet'!$B$16,Paramètres!$A$1:$I$89,3,0)*VLOOKUP('Données projet'!$B$16,Paramètres!$A$1:$I$89,5,0)</f>
        <v>44.058210278027467</v>
      </c>
      <c r="FG16" s="14">
        <f t="shared" si="47"/>
        <v>13.068152405690167</v>
      </c>
      <c r="FH16" s="22">
        <f t="shared" si="22"/>
        <v>99.495081674141531</v>
      </c>
      <c r="FI16" s="62">
        <f t="shared" si="23"/>
        <v>372.05063722969709</v>
      </c>
      <c r="FJ16" s="62">
        <f ca="1">AVERAGE(OFFSET($FI$3,0,0,'Données projet'!$E$16+1,1))-AVERAGE(OFFSET($H$3,0,0,'Données projet'!$E$16+1,1))</f>
        <v>330.48891719033065</v>
      </c>
      <c r="FK16" s="62">
        <f t="shared" si="48"/>
        <v>419.35494198427284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>
        <f>VLOOKUP(A16,'Données projet'!$A$243:$I$263,2,0)</f>
        <v>125</v>
      </c>
      <c r="FX16" s="13">
        <f>VLOOKUP(A16,'Données projet'!$A$243:$I$263,9,0)</f>
        <v>23</v>
      </c>
      <c r="FY16" s="13">
        <f t="array" ref="FY16">INDEX(FX:FX,MIN(IF(ISNUMBER(FX16:FX212),ROW(FX16:FX212),"")))</f>
        <v>23</v>
      </c>
      <c r="FZ16" s="13">
        <f>IF('Données projet'!$A$244&gt;35,FZ15+FY16-GH15,IF(A16&lt;'Données projet'!$A$244,$FW$205^A16,IF(A16='Données projet'!$A$244,'Données projet'!$B$244,FZ15+FY16-GH15)))</f>
        <v>125</v>
      </c>
      <c r="GA16" s="18">
        <f>FZ16*VLOOKUP('Données projet'!$B$17,Paramètres!$A$1:$I$89,3,0)*VLOOKUP('Données projet'!$B$17,Paramètres!$A$1:$I$89,5,0)</f>
        <v>63.375</v>
      </c>
      <c r="GB16" s="14">
        <f t="shared" si="49"/>
        <v>18.018838186506169</v>
      </c>
      <c r="GC16" s="22">
        <f t="shared" si="25"/>
        <v>141.76093484149825</v>
      </c>
      <c r="GD16" s="62">
        <f t="shared" si="26"/>
        <v>414.31649039705383</v>
      </c>
      <c r="GE16" s="62">
        <f ca="1">AVERAGE(OFFSET($GD$3,0,0,'Données projet'!$E$17+1,1))-AVERAGE(OFFSET($H$3,0,0,'Données projet'!$E$17+1,1))</f>
        <v>132.18258156780018</v>
      </c>
      <c r="GF16" s="62">
        <f t="shared" si="50"/>
        <v>315.58133946947294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9">
        <f t="shared" si="1"/>
        <v>285.79859225515048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3.887142857142857</v>
      </c>
      <c r="N17" s="14">
        <f>IF('Données projet'!$A$36&gt;35,N16+M17-V16,IF(A17&lt;'Données projet'!$A$36,$K$205^A17,IF(A17='Données projet'!$A$36,'Données projet'!$B$36,N16+M17-V16)))</f>
        <v>54.41999999999998</v>
      </c>
      <c r="O17" s="14">
        <f>N17*VLOOKUP('Données projet'!$B$9,Paramètres!$A$1:$I$89,3,0)*VLOOKUP('Données projet'!$B$9,Paramètres!$A$1:$I$89,5,0)</f>
        <v>49.239215999999978</v>
      </c>
      <c r="P17" s="14">
        <f t="shared" si="33"/>
        <v>14.417108895027585</v>
      </c>
      <c r="Q17" s="22">
        <f t="shared" si="2"/>
        <v>110.86809919217301</v>
      </c>
      <c r="R17" s="62">
        <f t="shared" si="0"/>
        <v>384.64587696995079</v>
      </c>
      <c r="S17" s="62">
        <f ca="1">AVERAGE(OFFSET($R$3,0,0,'Données projet'!$E$9+1,1))-AVERAGE(OFFSET($H$3,0,0,'Données projet'!$E$9+1,1))</f>
        <v>401.86262166363821</v>
      </c>
      <c r="T17" s="62">
        <f t="shared" si="34"/>
        <v>208.60314230781432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3.887142857142857</v>
      </c>
      <c r="AI17" s="14">
        <f>IF('Données projet'!$A$62&gt;35,AI16+AH17-AQ16,IF(A17&lt;'Données projet'!$A$62,$AF$205^A17,IF(A17='Données projet'!$A$62,'Données projet'!$B$62,AI16+AH17-AQ16)))</f>
        <v>54.41999999999998</v>
      </c>
      <c r="AJ17" s="14">
        <f>AI17*VLOOKUP('Données projet'!$B$10,Paramètres!$A$1:$I$89,3,0)*VLOOKUP('Données projet'!$B$10,Paramètres!$A$1:$I$89,5,0)</f>
        <v>58.577687999999974</v>
      </c>
      <c r="AK17" s="14">
        <f t="shared" si="35"/>
        <v>16.808163355048819</v>
      </c>
      <c r="AL17" s="22">
        <f t="shared" si="4"/>
        <v>131.29702444337667</v>
      </c>
      <c r="AM17" s="62">
        <f t="shared" si="5"/>
        <v>405.07480222115441</v>
      </c>
      <c r="AN17" s="62">
        <f ca="1">AVERAGE(OFFSET($AM$3,0,0,'Données projet'!$E$10+1,1))-AVERAGE(OFFSET($H$3,0,0,'Données projet'!$E$10+1,1))</f>
        <v>407.22515465568205</v>
      </c>
      <c r="AO17" s="62">
        <f t="shared" si="36"/>
        <v>251.6218558398258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3.887142857142857</v>
      </c>
      <c r="BD17" s="13">
        <f>IF('Données projet'!$A$88&gt;35,BD16+BC17-BL16,IF(A17&lt;'Données projet'!$A$88,$BA$205^A17,IF(A17='Données projet'!$A$88,'Données projet'!$B$88,BD16+BC17-BL16)))</f>
        <v>54.41999999999998</v>
      </c>
      <c r="BE17" s="14">
        <f>BD17*VLOOKUP('Données projet'!$B$11,Paramètres!$A$1:$I$89,3,0)*VLOOKUP('Données projet'!$B$11,Paramètres!$A$1:$I$89,5,0)</f>
        <v>52.63502399999998</v>
      </c>
      <c r="BF17" s="14">
        <f t="shared" si="37"/>
        <v>15.292218703340431</v>
      </c>
      <c r="BG17" s="22">
        <f t="shared" si="7"/>
        <v>118.30661437498453</v>
      </c>
      <c r="BH17" s="62">
        <f t="shared" si="8"/>
        <v>392.08439215276229</v>
      </c>
      <c r="BI17" s="62">
        <f ca="1">AVERAGE(OFFSET($BH$3,0,0,'Données projet'!$E$11+1,1))-AVERAGE(OFFSET($H$3,0,0,'Données projet'!$E$11+1,1))</f>
        <v>357.76044008074308</v>
      </c>
      <c r="BJ17" s="62">
        <f t="shared" si="38"/>
        <v>224.26555772810445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3.887142857142857</v>
      </c>
      <c r="BY17" s="13">
        <f>IF('Données projet'!$A$114&gt;35,BY16+BX17-CG16,IF(A17&lt;'Données projet'!$A$114,$BV$205^A17,IF(A17='Données projet'!$A$114,'Données projet'!$B$114,BY16+BX17-CG16)))</f>
        <v>54.41999999999998</v>
      </c>
      <c r="BZ17" s="14">
        <f>BY17*VLOOKUP('Données projet'!$B$12,Paramètres!$A$1:$I$89,3,0)*VLOOKUP('Données projet'!$B$12,Paramètres!$A$1:$I$89,5,0)</f>
        <v>36.504935999999987</v>
      </c>
      <c r="CA17" s="14">
        <f t="shared" si="39"/>
        <v>11.06740826765847</v>
      </c>
      <c r="CB17" s="22">
        <f t="shared" si="10"/>
        <v>82.855166266171821</v>
      </c>
      <c r="CC17" s="62">
        <f t="shared" si="11"/>
        <v>356.63294404394958</v>
      </c>
      <c r="CD17" s="62">
        <f ca="1">AVERAGE(OFFSET($CC$3,0,0,'Données projet'!$E$12+1,1))-AVERAGE(OFFSET($H$3,0,0,'Données projet'!$E$12+1,1))</f>
        <v>222.86701323374945</v>
      </c>
      <c r="CE17" s="62">
        <f t="shared" si="40"/>
        <v>149.63671045240511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6.8</v>
      </c>
      <c r="CT17" s="13">
        <f>IF('Données projet'!$A$140&gt;35,CT16+CS17-DB16,IF(A17&lt;'Données projet'!$A$140,$CQ$205^A17,IF(A17='Données projet'!$A$140,'Données projet'!$B$140,CT16+CS17-DB16)))</f>
        <v>37.200000000000003</v>
      </c>
      <c r="CU17" s="18">
        <f>CT17*VLOOKUP('Données projet'!$B$13,Paramètres!$A$1:$I$89,3,0)*VLOOKUP('Données projet'!$B$13,Paramètres!$A$1:$I$89,5,0)</f>
        <v>24.373440000000002</v>
      </c>
      <c r="CV17" s="14">
        <f t="shared" si="41"/>
        <v>7.7451846247230876</v>
      </c>
      <c r="CW17" s="22">
        <f t="shared" si="13"/>
        <v>55.939937888059376</v>
      </c>
      <c r="CX17" s="62">
        <f t="shared" si="14"/>
        <v>329.71771566583715</v>
      </c>
      <c r="CY17" s="62">
        <f ca="1">AVERAGE(OFFSET($CX$3,0,0,'Données projet'!$E$13+1,1))-AVERAGE(OFFSET($H$3,0,0,'Données projet'!$E$13+1,1))</f>
        <v>173.15672762188746</v>
      </c>
      <c r="CZ17" s="62">
        <f t="shared" si="42"/>
        <v>208.54841796921414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5.8668181818181813</v>
      </c>
      <c r="EJ17" s="13">
        <f>IF('Données projet'!$A$192&gt;35,EJ16+EI17-ER16,IF(A17&lt;'Données projet'!$A$192,$EG$205^A17,IF(A17='Données projet'!$A$192,'Données projet'!$B$192,EJ16+EI17-ER16)))</f>
        <v>22.042074708413409</v>
      </c>
      <c r="EK17" s="18">
        <f>EJ17*VLOOKUP('Données projet'!$B$15,Paramètres!$A$1:$I$89,3,0)*VLOOKUP('Données projet'!$B$15,Paramètres!$A$1:$I$89,5,0)</f>
        <v>13.181160675631221</v>
      </c>
      <c r="EL17" s="14">
        <f t="shared" si="45"/>
        <v>4.4992809579449391</v>
      </c>
      <c r="EM17" s="22">
        <f t="shared" si="19"/>
        <v>30.793435845145144</v>
      </c>
      <c r="EN17" s="62">
        <f t="shared" si="20"/>
        <v>304.57121362292293</v>
      </c>
      <c r="EO17" s="62">
        <f ca="1">AVERAGE(OFFSET($EN$3,0,0,'Données projet'!$E$15+1,1))-AVERAGE(OFFSET($H$3,0,0,'Données projet'!$E$15+1,1))</f>
        <v>269.18638759204373</v>
      </c>
      <c r="EP17" s="62">
        <f t="shared" si="46"/>
        <v>197.07126167823969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9.5173333333333332</v>
      </c>
      <c r="FE17" s="13">
        <f>IF('Données projet'!$A$218&gt;35,FE16+FD17-FM16,IF(A17&lt;'Données projet'!$A$218,$FB$205^A17,IF(A17='Données projet'!$A$218,'Données projet'!$B$218,FE16+FD17-FM16)))</f>
        <v>102.55718772795768</v>
      </c>
      <c r="FF17" s="18">
        <f>FE17*VLOOKUP('Données projet'!$B$16,Paramètres!$A$1:$I$89,3,0)*VLOOKUP('Données projet'!$B$16,Paramètres!$A$1:$I$89,5,0)</f>
        <v>61.329198261318702</v>
      </c>
      <c r="FG17" s="14">
        <f t="shared" si="47"/>
        <v>17.503902273751024</v>
      </c>
      <c r="FH17" s="22">
        <f t="shared" si="22"/>
        <v>137.30098343191307</v>
      </c>
      <c r="FI17" s="62">
        <f t="shared" si="23"/>
        <v>411.07876120969081</v>
      </c>
      <c r="FJ17" s="62">
        <f ca="1">AVERAGE(OFFSET($FI$3,0,0,'Données projet'!$E$16+1,1))-AVERAGE(OFFSET($H$3,0,0,'Données projet'!$E$16+1,1))</f>
        <v>330.48891719033065</v>
      </c>
      <c r="FK17" s="62">
        <f t="shared" si="48"/>
        <v>419.35494198427284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>
        <f>VLOOKUP(A17,'Données projet'!$A$243:$I$263,2,0)</f>
        <v>149</v>
      </c>
      <c r="FX17" s="13">
        <f>VLOOKUP(A17,'Données projet'!$A$243:$I$263,9,0)</f>
        <v>24</v>
      </c>
      <c r="FY17" s="13">
        <f t="array" ref="FY17">INDEX(FX:FX,MIN(IF(ISNUMBER(FX17:FX213),ROW(FX17:FX213),"")))</f>
        <v>24</v>
      </c>
      <c r="FZ17" s="13">
        <f>IF('Données projet'!$A$244&gt;35,FZ16+FY17-GH16,IF(A17&lt;'Données projet'!$A$244,$FW$205^A17,IF(A17='Données projet'!$A$244,'Données projet'!$B$244,FZ16+FY17-GH16)))</f>
        <v>149</v>
      </c>
      <c r="GA17" s="18">
        <f>FZ17*VLOOKUP('Données projet'!$B$17,Paramètres!$A$1:$I$89,3,0)*VLOOKUP('Données projet'!$B$17,Paramètres!$A$1:$I$89,5,0)</f>
        <v>75.543000000000006</v>
      </c>
      <c r="GB17" s="14">
        <f t="shared" si="49"/>
        <v>21.0438154518611</v>
      </c>
      <c r="GC17" s="22">
        <f t="shared" si="25"/>
        <v>168.22203691199141</v>
      </c>
      <c r="GD17" s="62">
        <f t="shared" si="26"/>
        <v>441.99981468976921</v>
      </c>
      <c r="GE17" s="62">
        <f ca="1">AVERAGE(OFFSET($GD$3,0,0,'Données projet'!$E$17+1,1))-AVERAGE(OFFSET($H$3,0,0,'Données projet'!$E$17+1,1))</f>
        <v>132.18258156780018</v>
      </c>
      <c r="GF17" s="62">
        <f t="shared" si="50"/>
        <v>315.58133946947294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9">
        <f t="shared" si="1"/>
        <v>287.81559576110328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3.887142857142857</v>
      </c>
      <c r="N18" s="14">
        <f>IF('Données projet'!$A$36&gt;35,N17+M18-V17,IF(A18&lt;'Données projet'!$A$36,$K$205^A18,IF(A18='Données projet'!$A$36,'Données projet'!$B$36,N17+M18-V17)))</f>
        <v>58.307142857142836</v>
      </c>
      <c r="O18" s="14">
        <f>N18*VLOOKUP('Données projet'!$B$9,Paramètres!$A$1:$I$89,3,0)*VLOOKUP('Données projet'!$B$9,Paramètres!$A$1:$I$89,5,0)</f>
        <v>52.756302857142842</v>
      </c>
      <c r="P18" s="14">
        <f t="shared" si="33"/>
        <v>15.323348643415981</v>
      </c>
      <c r="Q18" s="22">
        <f t="shared" si="2"/>
        <v>118.57205969680662</v>
      </c>
      <c r="R18" s="62">
        <f t="shared" si="0"/>
        <v>393.5720596968066</v>
      </c>
      <c r="S18" s="62">
        <f ca="1">AVERAGE(OFFSET($R$3,0,0,'Données projet'!$E$9+1,1))-AVERAGE(OFFSET($H$3,0,0,'Données projet'!$E$9+1,1))</f>
        <v>401.86262166363821</v>
      </c>
      <c r="T18" s="62">
        <f t="shared" si="34"/>
        <v>208.60314230781432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3.887142857142857</v>
      </c>
      <c r="AI18" s="14">
        <f>IF('Données projet'!$A$62&gt;35,AI17+AH18-AQ17,IF(A18&lt;'Données projet'!$A$62,$AF$205^A18,IF(A18='Données projet'!$A$62,'Données projet'!$B$62,AI17+AH18-AQ17)))</f>
        <v>58.307142857142836</v>
      </c>
      <c r="AJ18" s="14">
        <f>AI18*VLOOKUP('Données projet'!$B$10,Paramètres!$A$1:$I$89,3,0)*VLOOKUP('Données projet'!$B$10,Paramètres!$A$1:$I$89,5,0)</f>
        <v>62.761808571428546</v>
      </c>
      <c r="AK18" s="14">
        <f t="shared" si="35"/>
        <v>17.864701516802167</v>
      </c>
      <c r="AL18" s="22">
        <f t="shared" si="4"/>
        <v>140.42450507033516</v>
      </c>
      <c r="AM18" s="62">
        <f t="shared" si="5"/>
        <v>415.42450507033516</v>
      </c>
      <c r="AN18" s="62">
        <f ca="1">AVERAGE(OFFSET($AM$3,0,0,'Données projet'!$E$10+1,1))-AVERAGE(OFFSET($H$3,0,0,'Données projet'!$E$10+1,1))</f>
        <v>407.22515465568205</v>
      </c>
      <c r="AO18" s="62">
        <f t="shared" si="36"/>
        <v>251.6218558398258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3.887142857142857</v>
      </c>
      <c r="BD18" s="13">
        <f>IF('Données projet'!$A$88&gt;35,BD17+BC18-BL17,IF(A18&lt;'Données projet'!$A$88,$BA$205^A18,IF(A18='Données projet'!$A$88,'Données projet'!$B$88,BD17+BC18-BL17)))</f>
        <v>58.307142857142836</v>
      </c>
      <c r="BE18" s="14">
        <f>BD18*VLOOKUP('Données projet'!$B$11,Paramètres!$A$1:$I$89,3,0)*VLOOKUP('Données projet'!$B$11,Paramètres!$A$1:$I$89,5,0)</f>
        <v>56.394668571428546</v>
      </c>
      <c r="BF18" s="14">
        <f t="shared" si="37"/>
        <v>16.253466657484363</v>
      </c>
      <c r="BG18" s="22">
        <f t="shared" si="7"/>
        <v>126.52883552368996</v>
      </c>
      <c r="BH18" s="62">
        <f t="shared" si="8"/>
        <v>401.52883552368996</v>
      </c>
      <c r="BI18" s="62">
        <f ca="1">AVERAGE(OFFSET($BH$3,0,0,'Données projet'!$E$11+1,1))-AVERAGE(OFFSET($H$3,0,0,'Données projet'!$E$11+1,1))</f>
        <v>357.76044008074308</v>
      </c>
      <c r="BJ18" s="62">
        <f t="shared" si="38"/>
        <v>224.26555772810445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3.887142857142857</v>
      </c>
      <c r="BY18" s="13">
        <f>IF('Données projet'!$A$114&gt;35,BY17+BX18-CG17,IF(A18&lt;'Données projet'!$A$114,$BV$205^A18,IF(A18='Données projet'!$A$114,'Données projet'!$B$114,BY17+BX18-CG17)))</f>
        <v>58.307142857142836</v>
      </c>
      <c r="BZ18" s="14">
        <f>BY18*VLOOKUP('Données projet'!$B$12,Paramètres!$A$1:$I$89,3,0)*VLOOKUP('Données projet'!$B$12,Paramètres!$A$1:$I$89,5,0)</f>
        <v>39.112431428571419</v>
      </c>
      <c r="CA18" s="14">
        <f t="shared" si="39"/>
        <v>11.763090415641251</v>
      </c>
      <c r="CB18" s="22">
        <f t="shared" si="10"/>
        <v>88.60820054533707</v>
      </c>
      <c r="CC18" s="62">
        <f t="shared" si="11"/>
        <v>363.60820054533707</v>
      </c>
      <c r="CD18" s="62">
        <f ca="1">AVERAGE(OFFSET($CC$3,0,0,'Données projet'!$E$12+1,1))-AVERAGE(OFFSET($H$3,0,0,'Données projet'!$E$12+1,1))</f>
        <v>222.86701323374945</v>
      </c>
      <c r="CE18" s="62">
        <f t="shared" si="40"/>
        <v>149.63671045240511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44</v>
      </c>
      <c r="CR18" s="13">
        <f>VLOOKUP(A18,'Données projet'!$A$139:$I$159,9,0)</f>
        <v>6.8</v>
      </c>
      <c r="CS18" s="13">
        <f t="array" ref="CS18">INDEX(CR:CR,MIN(IF(ISNUMBER(CR18:CR214),ROW(CR18:CR214),"")))</f>
        <v>6.8</v>
      </c>
      <c r="CT18" s="13">
        <f>IF('Données projet'!$A$140&gt;35,CT17+CS18-DB17,IF(A18&lt;'Données projet'!$A$140,$CQ$205^A18,IF(A18='Données projet'!$A$140,'Données projet'!$B$140,CT17+CS18-DB17)))</f>
        <v>44</v>
      </c>
      <c r="CU18" s="18">
        <f>CT18*VLOOKUP('Données projet'!$B$13,Paramètres!$A$1:$I$89,3,0)*VLOOKUP('Données projet'!$B$13,Paramètres!$A$1:$I$89,5,0)</f>
        <v>28.828800000000001</v>
      </c>
      <c r="CV18" s="14">
        <f t="shared" si="41"/>
        <v>8.983691253405949</v>
      </c>
      <c r="CW18" s="22">
        <f t="shared" si="13"/>
        <v>65.856755599682032</v>
      </c>
      <c r="CX18" s="62">
        <f t="shared" si="14"/>
        <v>340.85675559968206</v>
      </c>
      <c r="CY18" s="62">
        <f ca="1">AVERAGE(OFFSET($CX$3,0,0,'Données projet'!$E$13+1,1))-AVERAGE(OFFSET($H$3,0,0,'Données projet'!$E$13+1,1))</f>
        <v>173.15672762188746</v>
      </c>
      <c r="CZ18" s="62">
        <f t="shared" si="42"/>
        <v>208.54841796921414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4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5.8668181818181813</v>
      </c>
      <c r="EJ18" s="13">
        <f>IF('Données projet'!$A$192&gt;35,EJ17+EI18-ER17,IF(A18&lt;'Données projet'!$A$192,$EG$205^A18,IF(A18='Données projet'!$A$192,'Données projet'!$B$192,EJ17+EI18-ER17)))</f>
        <v>27.491540413830034</v>
      </c>
      <c r="EK18" s="18">
        <f>EJ18*VLOOKUP('Données projet'!$B$15,Paramètres!$A$1:$I$89,3,0)*VLOOKUP('Données projet'!$B$15,Paramètres!$A$1:$I$89,5,0)</f>
        <v>16.439941167470362</v>
      </c>
      <c r="EL18" s="14">
        <f t="shared" si="45"/>
        <v>5.4691713958708279</v>
      </c>
      <c r="EM18" s="22">
        <f t="shared" si="19"/>
        <v>38.158371047819237</v>
      </c>
      <c r="EN18" s="62">
        <f t="shared" si="20"/>
        <v>313.15837104781923</v>
      </c>
      <c r="EO18" s="62">
        <f ca="1">AVERAGE(OFFSET($EN$3,0,0,'Données projet'!$E$15+1,1))-AVERAGE(OFFSET($H$3,0,0,'Données projet'!$E$15+1,1))</f>
        <v>269.18638759204373</v>
      </c>
      <c r="EP18" s="62">
        <f t="shared" si="46"/>
        <v>197.07126167823969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142.76</v>
      </c>
      <c r="FC18" s="13">
        <f>VLOOKUP(A18,'Données projet'!$A$217:$I$237,9,0)</f>
        <v>9.5173333333333332</v>
      </c>
      <c r="FD18" s="13">
        <f t="array" ref="FD18">INDEX(FC:FC,MIN(IF(ISNUMBER(FC18:FC214),ROW(FC18:FC214),"")))</f>
        <v>9.5173333333333332</v>
      </c>
      <c r="FE18" s="13">
        <f>IF('Données projet'!$A$218&gt;35,FE17+FD18-FM17,IF(A18&lt;'Données projet'!$A$218,$FB$205^A18,IF(A18='Données projet'!$A$218,'Données projet'!$B$218,FE17+FD18-FM17)))</f>
        <v>142.76</v>
      </c>
      <c r="FF18" s="18">
        <f>FE18*VLOOKUP('Données projet'!$B$16,Paramètres!$A$1:$I$89,3,0)*VLOOKUP('Données projet'!$B$16,Paramètres!$A$1:$I$89,5,0)</f>
        <v>85.370480000000001</v>
      </c>
      <c r="FG18" s="14">
        <f t="shared" si="47"/>
        <v>23.445287849231015</v>
      </c>
      <c r="FH18" s="22">
        <f t="shared" si="22"/>
        <v>189.52079567074398</v>
      </c>
      <c r="FI18" s="62">
        <f t="shared" si="23"/>
        <v>464.52079567074395</v>
      </c>
      <c r="FJ18" s="62">
        <f ca="1">AVERAGE(OFFSET($FI$3,0,0,'Données projet'!$E$16+1,1))-AVERAGE(OFFSET($H$3,0,0,'Données projet'!$E$16+1,1))</f>
        <v>330.48891719033065</v>
      </c>
      <c r="FK18" s="62">
        <f t="shared" si="48"/>
        <v>419.35494198427284</v>
      </c>
      <c r="FL18" s="16">
        <f>IF(ISNA(VLOOKUP(A18,'Données projet'!$A$217:$I$237,3,0)),0,VLOOKUP(A18,'Données projet'!$A$217:$I$237,3,0))</f>
        <v>1</v>
      </c>
      <c r="FM18" s="16">
        <f>IF(ISNA(VLOOKUP(A18,'Données projet'!$A$217:$I$237,4,0)),0,VLOOKUP(A18,'Données projet'!$A$217:$I$237,4,0))</f>
        <v>50.01</v>
      </c>
      <c r="FN18" s="17">
        <f>IF(ISNA(VLOOKUP(A18,'Données projet'!$A$217:$I$237,5,0)),0%,VLOOKUP(A18,'Données projet'!$A$217:$I$237,5,0)*VLOOKUP('Données projet'!$B$16,Paramètres!$A$1:$I$89,7,0))</f>
        <v>0.13500000000000001</v>
      </c>
      <c r="FO18" s="17">
        <f>IF(ISNA(VLOOKUP(A18,'Données projet'!$A$217:$I$237,6,0)),0%,VLOOKUP(A18,'Données projet'!$A$217:$I$237,6,0)*VLOOKUP('Données projet'!$B$16,Paramètres!$A$1:$I$89,7,0))</f>
        <v>0.17550000000000002</v>
      </c>
      <c r="FP18" s="17">
        <f>IF(ISNA(VLOOKUP(A18,'Données projet'!$A$217:$I$237,7,0)),0%,VLOOKUP(A18,'Données projet'!$A$217:$I$237,7,0))</f>
        <v>0.31</v>
      </c>
      <c r="FQ18" s="23">
        <f>EXP(-LN(2)/35)*FQ17+(1-EXP(-LN(2)/35))/(LN(2)/35)*FM18*FN18*VLOOKUP('Données projet'!$B$16,Paramètres!$A$1:$I$89,3,0)*0.475*44/12</f>
        <v>5.3557483598665812</v>
      </c>
      <c r="FR18" s="23">
        <f>EXP(-LN(2)/25)*FR17+(1-EXP(-LN(2)/25))/(LN(2)/25)*Calculateur!FM18*Calculateur!FO18*VLOOKUP('Données projet'!$B$16,Paramètres!$A$1:$I$89,3,0)*0.475*44/12</f>
        <v>6.935058959235775</v>
      </c>
      <c r="FS18" s="23">
        <f>EXP(-LN(2)/2)*FS17+(1-EXP(-LN(2)/2))/(LN(2)/2)*FM18*FP18*VLOOKUP('Données projet'!$B$16,Paramètres!$A$1:$I$89,3,0)*0.475*44/12</f>
        <v>10.496760098005966</v>
      </c>
      <c r="FT18" s="24">
        <f t="shared" si="24"/>
        <v>22.78756741710832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172</v>
      </c>
      <c r="FX18" s="13">
        <f>VLOOKUP(A18,'Données projet'!$A$243:$I$263,9,0)</f>
        <v>23</v>
      </c>
      <c r="FY18" s="13">
        <f t="array" ref="FY18">INDEX(FX:FX,MIN(IF(ISNUMBER(FX18:FX214),ROW(FX18:FX214),"")))</f>
        <v>23</v>
      </c>
      <c r="FZ18" s="13">
        <f>IF('Données projet'!$A$244&gt;35,FZ17+FY18-GH17,IF(A18&lt;'Données projet'!$A$244,$FW$205^A18,IF(A18='Données projet'!$A$244,'Données projet'!$B$244,FZ17+FY18-GH17)))</f>
        <v>172</v>
      </c>
      <c r="GA18" s="18">
        <f>FZ18*VLOOKUP('Données projet'!$B$17,Paramètres!$A$1:$I$89,3,0)*VLOOKUP('Données projet'!$B$17,Paramètres!$A$1:$I$89,5,0)</f>
        <v>87.204000000000008</v>
      </c>
      <c r="GB18" s="14">
        <f t="shared" si="49"/>
        <v>23.889663550879717</v>
      </c>
      <c r="GC18" s="22">
        <f t="shared" si="25"/>
        <v>193.48813068444883</v>
      </c>
      <c r="GD18" s="62">
        <f t="shared" si="26"/>
        <v>468.48813068444883</v>
      </c>
      <c r="GE18" s="62">
        <f ca="1">AVERAGE(OFFSET($GD$3,0,0,'Données projet'!$E$17+1,1))-AVERAGE(OFFSET($H$3,0,0,'Données projet'!$E$17+1,1))</f>
        <v>132.18258156780018</v>
      </c>
      <c r="GF18" s="62">
        <f t="shared" si="50"/>
        <v>315.58133946947294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9">
        <f t="shared" si="1"/>
        <v>289.82897638635399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3.887142857142857</v>
      </c>
      <c r="N19" s="14">
        <f>IF('Données projet'!$A$36&gt;35,N18+M19-V18,IF(A19&lt;'Données projet'!$A$36,$K$205^A19,IF(A19='Données projet'!$A$36,'Données projet'!$B$36,N18+M19-V18)))</f>
        <v>62.194285714285691</v>
      </c>
      <c r="O19" s="14">
        <f>N19*VLOOKUP('Données projet'!$B$9,Paramètres!$A$1:$I$89,3,0)*VLOOKUP('Données projet'!$B$9,Paramètres!$A$1:$I$89,5,0)</f>
        <v>56.273389714285692</v>
      </c>
      <c r="P19" s="14">
        <f t="shared" si="33"/>
        <v>16.222577706752112</v>
      </c>
      <c r="Q19" s="22">
        <f t="shared" si="2"/>
        <v>126.26380992497417</v>
      </c>
      <c r="R19" s="62">
        <f t="shared" si="0"/>
        <v>402.4860321471964</v>
      </c>
      <c r="S19" s="62">
        <f ca="1">AVERAGE(OFFSET($R$3,0,0,'Données projet'!$E$9+1,1))-AVERAGE(OFFSET($H$3,0,0,'Données projet'!$E$9+1,1))</f>
        <v>401.86262166363821</v>
      </c>
      <c r="T19" s="62">
        <f t="shared" si="34"/>
        <v>208.60314230781432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3.887142857142857</v>
      </c>
      <c r="AI19" s="14">
        <f>IF('Données projet'!$A$62&gt;35,AI18+AH19-AQ18,IF(A19&lt;'Données projet'!$A$62,$AF$205^A19,IF(A19='Données projet'!$A$62,'Données projet'!$B$62,AI18+AH19-AQ18)))</f>
        <v>62.194285714285691</v>
      </c>
      <c r="AJ19" s="14">
        <f>AI19*VLOOKUP('Données projet'!$B$10,Paramètres!$A$1:$I$89,3,0)*VLOOKUP('Données projet'!$B$10,Paramètres!$A$1:$I$89,5,0)</f>
        <v>66.945929142857111</v>
      </c>
      <c r="AK19" s="14">
        <f t="shared" si="35"/>
        <v>18.913066282596109</v>
      </c>
      <c r="AL19" s="22">
        <f t="shared" si="4"/>
        <v>149.53775036599768</v>
      </c>
      <c r="AM19" s="62">
        <f t="shared" si="5"/>
        <v>425.75997258821991</v>
      </c>
      <c r="AN19" s="62">
        <f ca="1">AVERAGE(OFFSET($AM$3,0,0,'Données projet'!$E$10+1,1))-AVERAGE(OFFSET($H$3,0,0,'Données projet'!$E$10+1,1))</f>
        <v>407.22515465568205</v>
      </c>
      <c r="AO19" s="62">
        <f t="shared" si="36"/>
        <v>251.6218558398258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3.887142857142857</v>
      </c>
      <c r="BD19" s="13">
        <f>IF('Données projet'!$A$88&gt;35,BD18+BC19-BL18,IF(A19&lt;'Données projet'!$A$88,$BA$205^A19,IF(A19='Données projet'!$A$88,'Données projet'!$B$88,BD18+BC19-BL18)))</f>
        <v>62.194285714285691</v>
      </c>
      <c r="BE19" s="14">
        <f>BD19*VLOOKUP('Données projet'!$B$11,Paramètres!$A$1:$I$89,3,0)*VLOOKUP('Données projet'!$B$11,Paramètres!$A$1:$I$89,5,0)</f>
        <v>60.15431314285712</v>
      </c>
      <c r="BF19" s="14">
        <f t="shared" si="37"/>
        <v>17.207278382224739</v>
      </c>
      <c r="BG19" s="22">
        <f t="shared" si="7"/>
        <v>134.73810523951758</v>
      </c>
      <c r="BH19" s="62">
        <f t="shared" si="8"/>
        <v>410.96032746173978</v>
      </c>
      <c r="BI19" s="62">
        <f ca="1">AVERAGE(OFFSET($BH$3,0,0,'Données projet'!$E$11+1,1))-AVERAGE(OFFSET($H$3,0,0,'Données projet'!$E$11+1,1))</f>
        <v>357.76044008074308</v>
      </c>
      <c r="BJ19" s="62">
        <f t="shared" si="38"/>
        <v>224.26555772810445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3.887142857142857</v>
      </c>
      <c r="BY19" s="13">
        <f>IF('Données projet'!$A$114&gt;35,BY18+BX19-CG18,IF(A19&lt;'Données projet'!$A$114,$BV$205^A19,IF(A19='Données projet'!$A$114,'Données projet'!$B$114,BY18+BX19-CG18)))</f>
        <v>62.194285714285691</v>
      </c>
      <c r="BZ19" s="14">
        <f>BY19*VLOOKUP('Données projet'!$B$12,Paramètres!$A$1:$I$89,3,0)*VLOOKUP('Données projet'!$B$12,Paramètres!$A$1:$I$89,5,0)</f>
        <v>41.719926857142838</v>
      </c>
      <c r="CA19" s="14">
        <f t="shared" si="39"/>
        <v>12.453390755504644</v>
      </c>
      <c r="CB19" s="22">
        <f t="shared" si="10"/>
        <v>94.351861508694356</v>
      </c>
      <c r="CC19" s="62">
        <f t="shared" si="11"/>
        <v>370.57408373091658</v>
      </c>
      <c r="CD19" s="62">
        <f ca="1">AVERAGE(OFFSET($CC$3,0,0,'Données projet'!$E$12+1,1))-AVERAGE(OFFSET($H$3,0,0,'Données projet'!$E$12+1,1))</f>
        <v>222.86701323374945</v>
      </c>
      <c r="CE19" s="62">
        <f t="shared" si="40"/>
        <v>149.63671045240511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12</v>
      </c>
      <c r="CT19" s="13">
        <f>IF('Données projet'!$A$140&gt;35,CT18+CS19-DB18,IF(A19&lt;'Données projet'!$A$140,$CQ$205^A19,IF(A19='Données projet'!$A$140,'Données projet'!$B$140,CT18+CS19-DB18)))</f>
        <v>52</v>
      </c>
      <c r="CU19" s="18">
        <f>CT19*VLOOKUP('Données projet'!$B$13,Paramètres!$A$1:$I$89,3,0)*VLOOKUP('Données projet'!$B$13,Paramètres!$A$1:$I$89,5,0)</f>
        <v>34.070399999999999</v>
      </c>
      <c r="CV19" s="14">
        <f t="shared" si="41"/>
        <v>10.412633617059315</v>
      </c>
      <c r="CW19" s="22">
        <f t="shared" si="13"/>
        <v>77.474616883044959</v>
      </c>
      <c r="CX19" s="62">
        <f t="shared" si="14"/>
        <v>353.6968391052672</v>
      </c>
      <c r="CY19" s="62">
        <f ca="1">AVERAGE(OFFSET($CX$3,0,0,'Données projet'!$E$13+1,1))-AVERAGE(OFFSET($H$3,0,0,'Données projet'!$E$13+1,1))</f>
        <v>173.15672762188746</v>
      </c>
      <c r="CZ19" s="62">
        <f t="shared" si="42"/>
        <v>208.54841796921414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5.8668181818181813</v>
      </c>
      <c r="EJ19" s="13">
        <f>IF('Données projet'!$A$192&gt;35,EJ18+EI19-ER18,IF(A19&lt;'Données projet'!$A$192,$EG$205^A19,IF(A19='Données projet'!$A$192,'Données projet'!$B$192,EJ18+EI19-ER18)))</f>
        <v>34.288278409507839</v>
      </c>
      <c r="EK19" s="18">
        <f>EJ19*VLOOKUP('Données projet'!$B$15,Paramètres!$A$1:$I$89,3,0)*VLOOKUP('Données projet'!$B$15,Paramètres!$A$1:$I$89,5,0)</f>
        <v>20.50439048888569</v>
      </c>
      <c r="EL19" s="14">
        <f t="shared" si="45"/>
        <v>6.6481368994289252</v>
      </c>
      <c r="EM19" s="22">
        <f t="shared" si="19"/>
        <v>47.290651867981289</v>
      </c>
      <c r="EN19" s="62">
        <f t="shared" si="20"/>
        <v>323.51287409020352</v>
      </c>
      <c r="EO19" s="62">
        <f ca="1">AVERAGE(OFFSET($EN$3,0,0,'Données projet'!$E$15+1,1))-AVERAGE(OFFSET($H$3,0,0,'Données projet'!$E$15+1,1))</f>
        <v>269.18638759204373</v>
      </c>
      <c r="EP19" s="62">
        <f t="shared" si="46"/>
        <v>197.07126167823969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22.868000000000002</v>
      </c>
      <c r="FE19" s="13">
        <f>IF('Données projet'!$A$218&gt;35,FE18+FD19-FM18,IF(A19&lt;'Données projet'!$A$218,$FB$205^A19,IF(A19='Données projet'!$A$218,'Données projet'!$B$218,FE18+FD19-FM18)))</f>
        <v>115.61799999999999</v>
      </c>
      <c r="FF19" s="18">
        <f>FE19*VLOOKUP('Données projet'!$B$16,Paramètres!$A$1:$I$89,3,0)*VLOOKUP('Données projet'!$B$16,Paramètres!$A$1:$I$89,5,0)</f>
        <v>69.139564000000007</v>
      </c>
      <c r="FG19" s="14">
        <f t="shared" si="47"/>
        <v>19.459627420869886</v>
      </c>
      <c r="FH19" s="22">
        <f t="shared" si="22"/>
        <v>154.31025839134838</v>
      </c>
      <c r="FI19" s="62">
        <f t="shared" si="23"/>
        <v>430.53248061357061</v>
      </c>
      <c r="FJ19" s="62">
        <f ca="1">AVERAGE(OFFSET($FI$3,0,0,'Données projet'!$E$16+1,1))-AVERAGE(OFFSET($H$3,0,0,'Données projet'!$E$16+1,1))</f>
        <v>330.48891719033065</v>
      </c>
      <c r="FK19" s="62">
        <f t="shared" si="48"/>
        <v>419.35494198427284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5.2507254012135389</v>
      </c>
      <c r="FR19" s="23">
        <f>EXP(-LN(2)/25)*FR18+(1-EXP(-LN(2)/25))/(LN(2)/25)*Calculateur!FM19*Calculateur!FO19*VLOOKUP('Données projet'!$B$16,Paramètres!$A$1:$I$89,3,0)*0.475*44/12</f>
        <v>6.7454194072965725</v>
      </c>
      <c r="FS19" s="23">
        <f>EXP(-LN(2)/2)*FS18+(1-EXP(-LN(2)/2))/(LN(2)/2)*FM19*FP19*VLOOKUP('Données projet'!$B$16,Paramètres!$A$1:$I$89,3,0)*0.475*44/12</f>
        <v>7.4223302457883884</v>
      </c>
      <c r="FT19" s="24">
        <f t="shared" si="24"/>
        <v>19.418475054298501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>
        <f>VLOOKUP(A19,'Données projet'!$A$243:$I$263,2,0)</f>
        <v>193</v>
      </c>
      <c r="FX19" s="13">
        <f>VLOOKUP(A19,'Données projet'!$A$243:$I$263,9,0)</f>
        <v>21</v>
      </c>
      <c r="FY19" s="13">
        <f t="array" ref="FY19">INDEX(FX:FX,MIN(IF(ISNUMBER(FX19:FX215),ROW(FX19:FX215),"")))</f>
        <v>21</v>
      </c>
      <c r="FZ19" s="13">
        <f>IF('Données projet'!$A$244&gt;35,FZ18+FY19-GH18,IF(A19&lt;'Données projet'!$A$244,$FW$205^A19,IF(A19='Données projet'!$A$244,'Données projet'!$B$244,FZ18+FY19-GH18)))</f>
        <v>193</v>
      </c>
      <c r="GA19" s="18">
        <f>FZ19*VLOOKUP('Données projet'!$B$17,Paramètres!$A$1:$I$89,3,0)*VLOOKUP('Données projet'!$B$17,Paramètres!$A$1:$I$89,5,0)</f>
        <v>97.850999999999999</v>
      </c>
      <c r="GB19" s="14">
        <f t="shared" si="49"/>
        <v>26.449382422896075</v>
      </c>
      <c r="GC19" s="22">
        <f t="shared" si="25"/>
        <v>216.48983271987731</v>
      </c>
      <c r="GD19" s="62">
        <f t="shared" si="26"/>
        <v>492.71205494209954</v>
      </c>
      <c r="GE19" s="62">
        <f ca="1">AVERAGE(OFFSET($GD$3,0,0,'Données projet'!$E$17+1,1))-AVERAGE(OFFSET($H$3,0,0,'Données projet'!$E$17+1,1))</f>
        <v>132.18258156780018</v>
      </c>
      <c r="GF19" s="62">
        <f t="shared" si="50"/>
        <v>315.58133946947294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9">
        <f t="shared" si="1"/>
        <v>291.83898633863726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3.887142857142857</v>
      </c>
      <c r="N20" s="14">
        <f>IF('Données projet'!$A$36&gt;35,N19+M20-V19,IF(A20&lt;'Données projet'!$A$36,$K$205^A20,IF(A20='Données projet'!$A$36,'Données projet'!$B$36,N19+M20-V19)))</f>
        <v>66.081428571428546</v>
      </c>
      <c r="O20" s="14">
        <f>N20*VLOOKUP('Données projet'!$B$9,Paramètres!$A$1:$I$89,3,0)*VLOOKUP('Données projet'!$B$9,Paramètres!$A$1:$I$89,5,0)</f>
        <v>59.790476571428549</v>
      </c>
      <c r="P20" s="14">
        <f t="shared" si="33"/>
        <v>17.115284135607041</v>
      </c>
      <c r="Q20" s="22">
        <f t="shared" si="2"/>
        <v>133.94419989808699</v>
      </c>
      <c r="R20" s="62">
        <f t="shared" si="0"/>
        <v>411.38864434253145</v>
      </c>
      <c r="S20" s="62">
        <f ca="1">AVERAGE(OFFSET($R$3,0,0,'Données projet'!$E$9+1,1))-AVERAGE(OFFSET($H$3,0,0,'Données projet'!$E$9+1,1))</f>
        <v>401.86262166363821</v>
      </c>
      <c r="T20" s="62">
        <f t="shared" si="34"/>
        <v>208.60314230781432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3.887142857142857</v>
      </c>
      <c r="AI20" s="14">
        <f>IF('Données projet'!$A$62&gt;35,AI19+AH20-AQ19,IF(A20&lt;'Données projet'!$A$62,$AF$205^A20,IF(A20='Données projet'!$A$62,'Données projet'!$B$62,AI19+AH20-AQ19)))</f>
        <v>66.081428571428546</v>
      </c>
      <c r="AJ20" s="14">
        <f>AI20*VLOOKUP('Données projet'!$B$10,Paramètres!$A$1:$I$89,3,0)*VLOOKUP('Données projet'!$B$10,Paramètres!$A$1:$I$89,5,0)</f>
        <v>71.13004971428569</v>
      </c>
      <c r="AK20" s="14">
        <f t="shared" si="35"/>
        <v>19.953826645408597</v>
      </c>
      <c r="AL20" s="22">
        <f t="shared" si="4"/>
        <v>158.63775132646754</v>
      </c>
      <c r="AM20" s="62">
        <f t="shared" si="5"/>
        <v>436.08219577091199</v>
      </c>
      <c r="AN20" s="62">
        <f ca="1">AVERAGE(OFFSET($AM$3,0,0,'Données projet'!$E$10+1,1))-AVERAGE(OFFSET($H$3,0,0,'Données projet'!$E$10+1,1))</f>
        <v>407.22515465568205</v>
      </c>
      <c r="AO20" s="62">
        <f t="shared" si="36"/>
        <v>251.6218558398258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3.887142857142857</v>
      </c>
      <c r="BD20" s="13">
        <f>IF('Données projet'!$A$88&gt;35,BD19+BC20-BL19,IF(A20&lt;'Données projet'!$A$88,$BA$205^A20,IF(A20='Données projet'!$A$88,'Données projet'!$B$88,BD19+BC20-BL19)))</f>
        <v>66.081428571428546</v>
      </c>
      <c r="BE20" s="14">
        <f>BD20*VLOOKUP('Données projet'!$B$11,Paramètres!$A$1:$I$89,3,0)*VLOOKUP('Données projet'!$B$11,Paramètres!$A$1:$I$89,5,0)</f>
        <v>63.913957714285694</v>
      </c>
      <c r="BF20" s="14">
        <f t="shared" si="37"/>
        <v>18.154171552507719</v>
      </c>
      <c r="BG20" s="22">
        <f t="shared" si="7"/>
        <v>142.9353251396652</v>
      </c>
      <c r="BH20" s="62">
        <f t="shared" si="8"/>
        <v>420.37976958410968</v>
      </c>
      <c r="BI20" s="62">
        <f ca="1">AVERAGE(OFFSET($BH$3,0,0,'Données projet'!$E$11+1,1))-AVERAGE(OFFSET($H$3,0,0,'Données projet'!$E$11+1,1))</f>
        <v>357.76044008074308</v>
      </c>
      <c r="BJ20" s="62">
        <f t="shared" si="38"/>
        <v>224.26555772810445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3.887142857142857</v>
      </c>
      <c r="BY20" s="13">
        <f>IF('Données projet'!$A$114&gt;35,BY19+BX20-CG19,IF(A20&lt;'Données projet'!$A$114,$BV$205^A20,IF(A20='Données projet'!$A$114,'Données projet'!$B$114,BY19+BX20-CG19)))</f>
        <v>66.081428571428546</v>
      </c>
      <c r="BZ20" s="14">
        <f>BY20*VLOOKUP('Données projet'!$B$12,Paramètres!$A$1:$I$89,3,0)*VLOOKUP('Données projet'!$B$12,Paramètres!$A$1:$I$89,5,0)</f>
        <v>44.32742228571427</v>
      </c>
      <c r="CA20" s="14">
        <f t="shared" si="39"/>
        <v>13.138683943149809</v>
      </c>
      <c r="CB20" s="22">
        <f t="shared" si="10"/>
        <v>100.08680168193827</v>
      </c>
      <c r="CC20" s="62">
        <f t="shared" si="11"/>
        <v>377.53124612638271</v>
      </c>
      <c r="CD20" s="62">
        <f ca="1">AVERAGE(OFFSET($CC$3,0,0,'Données projet'!$E$12+1,1))-AVERAGE(OFFSET($H$3,0,0,'Données projet'!$E$12+1,1))</f>
        <v>222.86701323374945</v>
      </c>
      <c r="CE20" s="62">
        <f t="shared" si="40"/>
        <v>149.63671045240511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12</v>
      </c>
      <c r="CT20" s="13">
        <f>IF('Données projet'!$A$140&gt;35,CT19+CS20-DB19,IF(A20&lt;'Données projet'!$A$140,$CQ$205^A20,IF(A20='Données projet'!$A$140,'Données projet'!$B$140,CT19+CS20-DB19)))</f>
        <v>64</v>
      </c>
      <c r="CU20" s="18">
        <f>CT20*VLOOKUP('Données projet'!$B$13,Paramètres!$A$1:$I$89,3,0)*VLOOKUP('Données projet'!$B$13,Paramètres!$A$1:$I$89,5,0)</f>
        <v>41.9328</v>
      </c>
      <c r="CV20" s="14">
        <f t="shared" si="41"/>
        <v>12.509520351031938</v>
      </c>
      <c r="CW20" s="22">
        <f t="shared" si="13"/>
        <v>94.820374611380615</v>
      </c>
      <c r="CX20" s="62">
        <f t="shared" si="14"/>
        <v>372.26481905582506</v>
      </c>
      <c r="CY20" s="62">
        <f ca="1">AVERAGE(OFFSET($CX$3,0,0,'Données projet'!$E$13+1,1))-AVERAGE(OFFSET($H$3,0,0,'Données projet'!$E$13+1,1))</f>
        <v>173.15672762188746</v>
      </c>
      <c r="CZ20" s="62">
        <f t="shared" si="42"/>
        <v>208.54841796921414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5.8668181818181813</v>
      </c>
      <c r="EJ20" s="13">
        <f>IF('Données projet'!$A$192&gt;35,EJ19+EI20-ER19,IF(A20&lt;'Données projet'!$A$192,$EG$205^A20,IF(A20='Données projet'!$A$192,'Données projet'!$B$192,EJ19+EI20-ER19)))</f>
        <v>42.765375042297542</v>
      </c>
      <c r="EK20" s="18">
        <f>EJ20*VLOOKUP('Données projet'!$B$15,Paramètres!$A$1:$I$89,3,0)*VLOOKUP('Données projet'!$B$15,Paramètres!$A$1:$I$89,5,0)</f>
        <v>25.573694275293931</v>
      </c>
      <c r="EL20" s="14">
        <f t="shared" si="45"/>
        <v>8.0812468716773616</v>
      </c>
      <c r="EM20" s="22">
        <f t="shared" si="19"/>
        <v>58.615689164308343</v>
      </c>
      <c r="EN20" s="62">
        <f t="shared" si="20"/>
        <v>336.06013360875278</v>
      </c>
      <c r="EO20" s="62">
        <f ca="1">AVERAGE(OFFSET($EN$3,0,0,'Données projet'!$E$15+1,1))-AVERAGE(OFFSET($H$3,0,0,'Données projet'!$E$15+1,1))</f>
        <v>269.18638759204373</v>
      </c>
      <c r="EP20" s="62">
        <f t="shared" si="46"/>
        <v>197.07126167823969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22.868000000000002</v>
      </c>
      <c r="FE20" s="13">
        <f>IF('Données projet'!$A$218&gt;35,FE19+FD20-FM19,IF(A20&lt;'Données projet'!$A$218,$FB$205^A20,IF(A20='Données projet'!$A$218,'Données projet'!$B$218,FE19+FD20-FM19)))</f>
        <v>138.48599999999999</v>
      </c>
      <c r="FF20" s="18">
        <f>FE20*VLOOKUP('Données projet'!$B$16,Paramètres!$A$1:$I$89,3,0)*VLOOKUP('Données projet'!$B$16,Paramètres!$A$1:$I$89,5,0)</f>
        <v>82.814627999999999</v>
      </c>
      <c r="FG20" s="14">
        <f t="shared" si="47"/>
        <v>22.823984251748975</v>
      </c>
      <c r="FH20" s="22">
        <f t="shared" si="22"/>
        <v>183.98724967179612</v>
      </c>
      <c r="FI20" s="62">
        <f t="shared" si="23"/>
        <v>461.43169411624058</v>
      </c>
      <c r="FJ20" s="62">
        <f ca="1">AVERAGE(OFFSET($FI$3,0,0,'Données projet'!$E$16+1,1))-AVERAGE(OFFSET($H$3,0,0,'Données projet'!$E$16+1,1))</f>
        <v>330.48891719033065</v>
      </c>
      <c r="FK20" s="62">
        <f t="shared" si="48"/>
        <v>419.35494198427284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5.1477618787220027</v>
      </c>
      <c r="FR20" s="23">
        <f>EXP(-LN(2)/25)*FR19+(1-EXP(-LN(2)/25))/(LN(2)/25)*Calculateur!FM20*Calculateur!FO20*VLOOKUP('Données projet'!$B$16,Paramètres!$A$1:$I$89,3,0)*0.475*44/12</f>
        <v>6.5609655588778582</v>
      </c>
      <c r="FS20" s="23">
        <f>EXP(-LN(2)/2)*FS19+(1-EXP(-LN(2)/2))/(LN(2)/2)*FM20*FP20*VLOOKUP('Données projet'!$B$16,Paramètres!$A$1:$I$89,3,0)*0.475*44/12</f>
        <v>5.2483800490029839</v>
      </c>
      <c r="FT20" s="24">
        <f t="shared" si="24"/>
        <v>16.957107486602844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>
        <f>VLOOKUP(A20,'Données projet'!$A$243:$I$263,2,0)</f>
        <v>212</v>
      </c>
      <c r="FX20" s="13">
        <f>VLOOKUP(A20,'Données projet'!$A$243:$I$263,9,0)</f>
        <v>19</v>
      </c>
      <c r="FY20" s="13">
        <f t="array" ref="FY20">INDEX(FX:FX,MIN(IF(ISNUMBER(FX20:FX216),ROW(FX20:FX216),"")))</f>
        <v>19</v>
      </c>
      <c r="FZ20" s="13">
        <f>IF('Données projet'!$A$244&gt;35,FZ19+FY20-GH19,IF(A20&lt;'Données projet'!$A$244,$FW$205^A20,IF(A20='Données projet'!$A$244,'Données projet'!$B$244,FZ19+FY20-GH19)))</f>
        <v>212</v>
      </c>
      <c r="GA20" s="18">
        <f>FZ20*VLOOKUP('Données projet'!$B$17,Paramètres!$A$1:$I$89,3,0)*VLOOKUP('Données projet'!$B$17,Paramètres!$A$1:$I$89,5,0)</f>
        <v>107.48400000000001</v>
      </c>
      <c r="GB20" s="14">
        <f t="shared" si="49"/>
        <v>28.737399432589044</v>
      </c>
      <c r="GC20" s="22">
        <f t="shared" si="25"/>
        <v>237.25227067842596</v>
      </c>
      <c r="GD20" s="62">
        <f t="shared" si="26"/>
        <v>514.69671512287039</v>
      </c>
      <c r="GE20" s="62">
        <f ca="1">AVERAGE(OFFSET($GD$3,0,0,'Données projet'!$E$17+1,1))-AVERAGE(OFFSET($H$3,0,0,'Données projet'!$E$17+1,1))</f>
        <v>132.18258156780018</v>
      </c>
      <c r="GF20" s="62">
        <f t="shared" si="50"/>
        <v>315.58133946947294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9">
        <f t="shared" si="1"/>
        <v>293.8458464780249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3.887142857142857</v>
      </c>
      <c r="N21" s="14">
        <f>IF('Données projet'!$A$36&gt;35,N20+M21-V20,IF(A21&lt;'Données projet'!$A$36,$K$205^A21,IF(A21='Données projet'!$A$36,'Données projet'!$B$36,N20+M21-V20)))</f>
        <v>69.968571428571408</v>
      </c>
      <c r="O21" s="14">
        <f>N21*VLOOKUP('Données projet'!$B$9,Paramètres!$A$1:$I$89,3,0)*VLOOKUP('Données projet'!$B$9,Paramètres!$A$1:$I$89,5,0)</f>
        <v>63.307563428571406</v>
      </c>
      <c r="P21" s="14">
        <f t="shared" si="33"/>
        <v>18.001895319269028</v>
      </c>
      <c r="Q21" s="22">
        <f t="shared" si="2"/>
        <v>141.61397398582207</v>
      </c>
      <c r="R21" s="62">
        <f t="shared" si="0"/>
        <v>420.28064065248873</v>
      </c>
      <c r="S21" s="62">
        <f ca="1">AVERAGE(OFFSET($R$3,0,0,'Données projet'!$E$9+1,1))-AVERAGE(OFFSET($H$3,0,0,'Données projet'!$E$9+1,1))</f>
        <v>401.86262166363821</v>
      </c>
      <c r="T21" s="62">
        <f t="shared" si="34"/>
        <v>208.60314230781432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3.887142857142857</v>
      </c>
      <c r="AI21" s="14">
        <f>IF('Données projet'!$A$62&gt;35,AI20+AH21-AQ20,IF(A21&lt;'Données projet'!$A$62,$AF$205^A21,IF(A21='Données projet'!$A$62,'Données projet'!$B$62,AI20+AH21-AQ20)))</f>
        <v>69.968571428571408</v>
      </c>
      <c r="AJ21" s="14">
        <f>AI21*VLOOKUP('Données projet'!$B$10,Paramètres!$A$1:$I$89,3,0)*VLOOKUP('Données projet'!$B$10,Paramètres!$A$1:$I$89,5,0)</f>
        <v>75.314170285714255</v>
      </c>
      <c r="AK21" s="14">
        <f t="shared" si="35"/>
        <v>20.987480876358003</v>
      </c>
      <c r="AL21" s="22">
        <f t="shared" si="4"/>
        <v>167.72537577394252</v>
      </c>
      <c r="AM21" s="62">
        <f t="shared" si="5"/>
        <v>446.3920424406092</v>
      </c>
      <c r="AN21" s="62">
        <f ca="1">AVERAGE(OFFSET($AM$3,0,0,'Données projet'!$E$10+1,1))-AVERAGE(OFFSET($H$3,0,0,'Données projet'!$E$10+1,1))</f>
        <v>407.22515465568205</v>
      </c>
      <c r="AO21" s="62">
        <f t="shared" si="36"/>
        <v>251.6218558398258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3.887142857142857</v>
      </c>
      <c r="BD21" s="13">
        <f>IF('Données projet'!$A$88&gt;35,BD20+BC21-BL20,IF(A21&lt;'Données projet'!$A$88,$BA$205^A21,IF(A21='Données projet'!$A$88,'Données projet'!$B$88,BD20+BC21-BL20)))</f>
        <v>69.968571428571408</v>
      </c>
      <c r="BE21" s="14">
        <f>BD21*VLOOKUP('Données projet'!$B$11,Paramètres!$A$1:$I$89,3,0)*VLOOKUP('Données projet'!$B$11,Paramètres!$A$1:$I$89,5,0)</f>
        <v>67.673602285714267</v>
      </c>
      <c r="BF21" s="14">
        <f t="shared" si="37"/>
        <v>19.094599499893381</v>
      </c>
      <c r="BG21" s="22">
        <f t="shared" si="7"/>
        <v>151.12128477659996</v>
      </c>
      <c r="BH21" s="62">
        <f t="shared" si="8"/>
        <v>429.78795144326665</v>
      </c>
      <c r="BI21" s="62">
        <f ca="1">AVERAGE(OFFSET($BH$3,0,0,'Données projet'!$E$11+1,1))-AVERAGE(OFFSET($H$3,0,0,'Données projet'!$E$11+1,1))</f>
        <v>357.76044008074308</v>
      </c>
      <c r="BJ21" s="62">
        <f t="shared" si="38"/>
        <v>224.26555772810445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3.887142857142857</v>
      </c>
      <c r="BY21" s="13">
        <f>IF('Données projet'!$A$114&gt;35,BY20+BX21-CG20,IF(A21&lt;'Données projet'!$A$114,$BV$205^A21,IF(A21='Données projet'!$A$114,'Données projet'!$B$114,BY20+BX21-CG20)))</f>
        <v>69.968571428571408</v>
      </c>
      <c r="BZ21" s="14">
        <f>BY21*VLOOKUP('Données projet'!$B$12,Paramètres!$A$1:$I$89,3,0)*VLOOKUP('Données projet'!$B$12,Paramètres!$A$1:$I$89,5,0)</f>
        <v>46.934917714285703</v>
      </c>
      <c r="CA21" s="14">
        <f t="shared" si="39"/>
        <v>13.819298067361865</v>
      </c>
      <c r="CB21" s="22">
        <f t="shared" si="10"/>
        <v>105.8135924863695</v>
      </c>
      <c r="CC21" s="62">
        <f t="shared" si="11"/>
        <v>384.48025915303617</v>
      </c>
      <c r="CD21" s="62">
        <f ca="1">AVERAGE(OFFSET($CC$3,0,0,'Données projet'!$E$12+1,1))-AVERAGE(OFFSET($H$3,0,0,'Données projet'!$E$12+1,1))</f>
        <v>222.86701323374945</v>
      </c>
      <c r="CE21" s="62">
        <f t="shared" si="40"/>
        <v>149.63671045240511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12</v>
      </c>
      <c r="CT21" s="13">
        <f>IF('Données projet'!$A$140&gt;35,CT20+CS21-DB20,IF(A21&lt;'Données projet'!$A$140,$CQ$205^A21,IF(A21='Données projet'!$A$140,'Données projet'!$B$140,CT20+CS21-DB20)))</f>
        <v>76</v>
      </c>
      <c r="CU21" s="18">
        <f>CT21*VLOOKUP('Données projet'!$B$13,Paramètres!$A$1:$I$89,3,0)*VLOOKUP('Données projet'!$B$13,Paramètres!$A$1:$I$89,5,0)</f>
        <v>49.795200000000001</v>
      </c>
      <c r="CV21" s="14">
        <f t="shared" si="41"/>
        <v>14.560856542690781</v>
      </c>
      <c r="CW21" s="22">
        <f t="shared" si="13"/>
        <v>112.08679847851977</v>
      </c>
      <c r="CX21" s="62">
        <f t="shared" si="14"/>
        <v>390.75346514518645</v>
      </c>
      <c r="CY21" s="62">
        <f ca="1">AVERAGE(OFFSET($CX$3,0,0,'Données projet'!$E$13+1,1))-AVERAGE(OFFSET($H$3,0,0,'Données projet'!$E$13+1,1))</f>
        <v>173.15672762188746</v>
      </c>
      <c r="CZ21" s="62">
        <f t="shared" si="42"/>
        <v>208.54841796921414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5.8668181818181813</v>
      </c>
      <c r="EJ21" s="13">
        <f>IF('Données projet'!$A$192&gt;35,EJ20+EI21-ER20,IF(A21&lt;'Données projet'!$A$192,$EG$205^A21,IF(A21='Données projet'!$A$192,'Données projet'!$B$192,EJ20+EI21-ER20)))</f>
        <v>53.338265650608868</v>
      </c>
      <c r="EK21" s="18">
        <f>EJ21*VLOOKUP('Données projet'!$B$15,Paramètres!$A$1:$I$89,3,0)*VLOOKUP('Données projet'!$B$15,Paramètres!$A$1:$I$89,5,0)</f>
        <v>31.896282859064108</v>
      </c>
      <c r="EL21" s="14">
        <f t="shared" si="45"/>
        <v>9.8232861309767845</v>
      </c>
      <c r="EM21" s="22">
        <f t="shared" si="19"/>
        <v>72.661582657654549</v>
      </c>
      <c r="EN21" s="62">
        <f t="shared" si="20"/>
        <v>351.32824932432123</v>
      </c>
      <c r="EO21" s="62">
        <f ca="1">AVERAGE(OFFSET($EN$3,0,0,'Données projet'!$E$15+1,1))-AVERAGE(OFFSET($H$3,0,0,'Données projet'!$E$15+1,1))</f>
        <v>269.18638759204373</v>
      </c>
      <c r="EP21" s="62">
        <f t="shared" si="46"/>
        <v>197.07126167823969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22.868000000000002</v>
      </c>
      <c r="FE21" s="13">
        <f>IF('Données projet'!$A$218&gt;35,FE20+FD21-FM20,IF(A21&lt;'Données projet'!$A$218,$FB$205^A21,IF(A21='Données projet'!$A$218,'Données projet'!$B$218,FE20+FD21-FM20)))</f>
        <v>161.35399999999998</v>
      </c>
      <c r="FF21" s="18">
        <f>FE21*VLOOKUP('Données projet'!$B$16,Paramètres!$A$1:$I$89,3,0)*VLOOKUP('Données projet'!$B$16,Paramètres!$A$1:$I$89,5,0)</f>
        <v>96.489691999999991</v>
      </c>
      <c r="FG21" s="14">
        <f t="shared" si="47"/>
        <v>26.123983806524365</v>
      </c>
      <c r="FH21" s="22">
        <f t="shared" si="22"/>
        <v>213.55215202969657</v>
      </c>
      <c r="FI21" s="62">
        <f t="shared" si="23"/>
        <v>492.21881869636326</v>
      </c>
      <c r="FJ21" s="62">
        <f ca="1">AVERAGE(OFFSET($FI$3,0,0,'Données projet'!$E$16+1,1))-AVERAGE(OFFSET($H$3,0,0,'Données projet'!$E$16+1,1))</f>
        <v>330.48891719033065</v>
      </c>
      <c r="FK21" s="62">
        <f t="shared" si="48"/>
        <v>419.35494198427284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5.0468174081049781</v>
      </c>
      <c r="FR21" s="23">
        <f>EXP(-LN(2)/25)*FR20+(1-EXP(-LN(2)/25))/(LN(2)/25)*Calculateur!FM21*Calculateur!FO21*VLOOKUP('Données projet'!$B$16,Paramètres!$A$1:$I$89,3,0)*0.475*44/12</f>
        <v>6.3815556106441598</v>
      </c>
      <c r="FS21" s="23">
        <f>EXP(-LN(2)/2)*FS20+(1-EXP(-LN(2)/2))/(LN(2)/2)*FM21*FP21*VLOOKUP('Données projet'!$B$16,Paramètres!$A$1:$I$89,3,0)*0.475*44/12</f>
        <v>3.7111651228941946</v>
      </c>
      <c r="FT21" s="24">
        <f t="shared" si="24"/>
        <v>15.139538141643332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>
        <f>VLOOKUP(A21,'Données projet'!$A$243:$I$263,2,0)</f>
        <v>230</v>
      </c>
      <c r="FX21" s="13">
        <f>VLOOKUP(A21,'Données projet'!$A$243:$I$263,9,0)</f>
        <v>18</v>
      </c>
      <c r="FY21" s="13">
        <f t="array" ref="FY21">INDEX(FX:FX,MIN(IF(ISNUMBER(FX21:FX217),ROW(FX21:FX217),"")))</f>
        <v>18</v>
      </c>
      <c r="FZ21" s="13">
        <f>IF('Données projet'!$A$244&gt;35,FZ20+FY21-GH20,IF(A21&lt;'Données projet'!$A$244,$FW$205^A21,IF(A21='Données projet'!$A$244,'Données projet'!$B$244,FZ20+FY21-GH20)))</f>
        <v>230</v>
      </c>
      <c r="GA21" s="18">
        <f>FZ21*VLOOKUP('Données projet'!$B$17,Paramètres!$A$1:$I$89,3,0)*VLOOKUP('Données projet'!$B$17,Paramètres!$A$1:$I$89,5,0)</f>
        <v>116.61</v>
      </c>
      <c r="GB21" s="14">
        <f t="shared" si="49"/>
        <v>30.883023623410974</v>
      </c>
      <c r="GC21" s="22">
        <f t="shared" si="25"/>
        <v>256.88368281077413</v>
      </c>
      <c r="GD21" s="62">
        <f t="shared" si="26"/>
        <v>535.55034947744082</v>
      </c>
      <c r="GE21" s="62">
        <f ca="1">AVERAGE(OFFSET($GD$3,0,0,'Données projet'!$E$17+1,1))-AVERAGE(OFFSET($H$3,0,0,'Données projet'!$E$17+1,1))</f>
        <v>132.18258156780018</v>
      </c>
      <c r="GF21" s="62">
        <f t="shared" si="50"/>
        <v>315.58133946947294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9">
        <f t="shared" si="1"/>
        <v>295.84975173858709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3.887142857142857</v>
      </c>
      <c r="N22" s="14">
        <f>IF('Données projet'!$A$36&gt;35,N21+M22-V21,IF(A22&lt;'Données projet'!$A$36,$K$205^A22,IF(A22='Données projet'!$A$36,'Données projet'!$B$36,N21+M22-V21)))</f>
        <v>73.855714285714271</v>
      </c>
      <c r="O22" s="14">
        <f>N22*VLOOKUP('Données projet'!$B$9,Paramètres!$A$1:$I$89,3,0)*VLOOKUP('Données projet'!$B$9,Paramètres!$A$1:$I$89,5,0)</f>
        <v>66.82465028571427</v>
      </c>
      <c r="P22" s="14">
        <f t="shared" si="33"/>
        <v>18.882788477272459</v>
      </c>
      <c r="Q22" s="22">
        <f t="shared" si="2"/>
        <v>149.27378917886855</v>
      </c>
      <c r="R22" s="62">
        <f t="shared" si="0"/>
        <v>429.16267806775738</v>
      </c>
      <c r="S22" s="62">
        <f ca="1">AVERAGE(OFFSET($R$3,0,0,'Données projet'!$E$9+1,1))-AVERAGE(OFFSET($H$3,0,0,'Données projet'!$E$9+1,1))</f>
        <v>401.86262166363821</v>
      </c>
      <c r="T22" s="62">
        <f t="shared" si="34"/>
        <v>208.60314230781432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3.887142857142857</v>
      </c>
      <c r="AI22" s="14">
        <f>IF('Données projet'!$A$62&gt;35,AI21+AH22-AQ21,IF(A22&lt;'Données projet'!$A$62,$AF$205^A22,IF(A22='Données projet'!$A$62,'Données projet'!$B$62,AI21+AH22-AQ21)))</f>
        <v>73.855714285714271</v>
      </c>
      <c r="AJ22" s="14">
        <f>AI22*VLOOKUP('Données projet'!$B$10,Paramètres!$A$1:$I$89,3,0)*VLOOKUP('Données projet'!$B$10,Paramètres!$A$1:$I$89,5,0)</f>
        <v>79.498290857142834</v>
      </c>
      <c r="AK22" s="14">
        <f t="shared" si="35"/>
        <v>22.014468756235438</v>
      </c>
      <c r="AL22" s="22">
        <f t="shared" si="4"/>
        <v>176.80138965996716</v>
      </c>
      <c r="AM22" s="62">
        <f t="shared" si="5"/>
        <v>456.69027854885599</v>
      </c>
      <c r="AN22" s="62">
        <f ca="1">AVERAGE(OFFSET($AM$3,0,0,'Données projet'!$E$10+1,1))-AVERAGE(OFFSET($H$3,0,0,'Données projet'!$E$10+1,1))</f>
        <v>407.22515465568205</v>
      </c>
      <c r="AO22" s="62">
        <f t="shared" si="36"/>
        <v>251.6218558398258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3.887142857142857</v>
      </c>
      <c r="BD22" s="13">
        <f>IF('Données projet'!$A$88&gt;35,BD21+BC22-BL21,IF(A22&lt;'Données projet'!$A$88,$BA$205^A22,IF(A22='Données projet'!$A$88,'Données projet'!$B$88,BD21+BC22-BL21)))</f>
        <v>73.855714285714271</v>
      </c>
      <c r="BE22" s="14">
        <f>BD22*VLOOKUP('Données projet'!$B$11,Paramètres!$A$1:$I$89,3,0)*VLOOKUP('Données projet'!$B$11,Paramètres!$A$1:$I$89,5,0)</f>
        <v>71.433246857142848</v>
      </c>
      <c r="BF22" s="14">
        <f t="shared" si="37"/>
        <v>20.02896234091423</v>
      </c>
      <c r="BG22" s="22">
        <f t="shared" si="7"/>
        <v>159.2966810199494</v>
      </c>
      <c r="BH22" s="62">
        <f t="shared" si="8"/>
        <v>439.18556990883826</v>
      </c>
      <c r="BI22" s="62">
        <f ca="1">AVERAGE(OFFSET($BH$3,0,0,'Données projet'!$E$11+1,1))-AVERAGE(OFFSET($H$3,0,0,'Données projet'!$E$11+1,1))</f>
        <v>357.76044008074308</v>
      </c>
      <c r="BJ22" s="62">
        <f t="shared" si="38"/>
        <v>224.26555772810445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3.887142857142857</v>
      </c>
      <c r="BY22" s="13">
        <f>IF('Données projet'!$A$114&gt;35,BY21+BX22-CG21,IF(A22&lt;'Données projet'!$A$114,$BV$205^A22,IF(A22='Données projet'!$A$114,'Données projet'!$B$114,BY21+BX22-CG21)))</f>
        <v>73.855714285714271</v>
      </c>
      <c r="BZ22" s="14">
        <f>BY22*VLOOKUP('Données projet'!$B$12,Paramètres!$A$1:$I$89,3,0)*VLOOKUP('Données projet'!$B$12,Paramètres!$A$1:$I$89,5,0)</f>
        <v>49.542413142857136</v>
      </c>
      <c r="CA22" s="14">
        <f t="shared" si="39"/>
        <v>14.495522703715517</v>
      </c>
      <c r="CB22" s="22">
        <f t="shared" si="10"/>
        <v>111.53273826611404</v>
      </c>
      <c r="CC22" s="62">
        <f t="shared" si="11"/>
        <v>391.42162715500291</v>
      </c>
      <c r="CD22" s="62">
        <f ca="1">AVERAGE(OFFSET($CC$3,0,0,'Données projet'!$E$12+1,1))-AVERAGE(OFFSET($H$3,0,0,'Données projet'!$E$12+1,1))</f>
        <v>222.86701323374945</v>
      </c>
      <c r="CE22" s="62">
        <f t="shared" si="40"/>
        <v>149.63671045240511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12</v>
      </c>
      <c r="CT22" s="13">
        <f>IF('Données projet'!$A$140&gt;35,CT21+CS22-DB21,IF(A22&lt;'Données projet'!$A$140,$CQ$205^A22,IF(A22='Données projet'!$A$140,'Données projet'!$B$140,CT21+CS22-DB21)))</f>
        <v>88</v>
      </c>
      <c r="CU22" s="18">
        <f>CT22*VLOOKUP('Données projet'!$B$13,Paramètres!$A$1:$I$89,3,0)*VLOOKUP('Données projet'!$B$13,Paramètres!$A$1:$I$89,5,0)</f>
        <v>57.657600000000002</v>
      </c>
      <c r="CV22" s="14">
        <f t="shared" si="41"/>
        <v>16.574671209026025</v>
      </c>
      <c r="CW22" s="22">
        <f t="shared" si="13"/>
        <v>129.28787235572034</v>
      </c>
      <c r="CX22" s="62">
        <f t="shared" si="14"/>
        <v>409.17676124460922</v>
      </c>
      <c r="CY22" s="62">
        <f ca="1">AVERAGE(OFFSET($CX$3,0,0,'Données projet'!$E$13+1,1))-AVERAGE(OFFSET($H$3,0,0,'Données projet'!$E$13+1,1))</f>
        <v>173.15672762188746</v>
      </c>
      <c r="CZ22" s="62">
        <f t="shared" si="42"/>
        <v>208.54841796921414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5.8668181818181813</v>
      </c>
      <c r="EJ22" s="13">
        <f>IF('Données projet'!$A$192&gt;35,EJ21+EI22-ER21,IF(A22&lt;'Données projet'!$A$192,$EG$205^A22,IF(A22='Données projet'!$A$192,'Données projet'!$B$192,EJ21+EI22-ER21)))</f>
        <v>66.525093718950743</v>
      </c>
      <c r="EK22" s="18">
        <f>EJ22*VLOOKUP('Données projet'!$B$15,Paramètres!$A$1:$I$89,3,0)*VLOOKUP('Données projet'!$B$15,Paramètres!$A$1:$I$89,5,0)</f>
        <v>39.782006043932547</v>
      </c>
      <c r="EL22" s="14">
        <f t="shared" si="45"/>
        <v>11.940849220834615</v>
      </c>
      <c r="EM22" s="22">
        <f t="shared" si="19"/>
        <v>90.083972919469474</v>
      </c>
      <c r="EN22" s="62">
        <f t="shared" si="20"/>
        <v>369.97286180835835</v>
      </c>
      <c r="EO22" s="62">
        <f ca="1">AVERAGE(OFFSET($EN$3,0,0,'Données projet'!$E$15+1,1))-AVERAGE(OFFSET($H$3,0,0,'Données projet'!$E$15+1,1))</f>
        <v>269.18638759204373</v>
      </c>
      <c r="EP22" s="62">
        <f t="shared" si="46"/>
        <v>197.07126167823969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22.868000000000002</v>
      </c>
      <c r="FE22" s="13">
        <f>IF('Données projet'!$A$218&gt;35,FE21+FD22-FM21,IF(A22&lt;'Données projet'!$A$218,$FB$205^A22,IF(A22='Données projet'!$A$218,'Données projet'!$B$218,FE21+FD22-FM21)))</f>
        <v>184.22199999999998</v>
      </c>
      <c r="FF22" s="18">
        <f>FE22*VLOOKUP('Données projet'!$B$16,Paramètres!$A$1:$I$89,3,0)*VLOOKUP('Données projet'!$B$16,Paramètres!$A$1:$I$89,5,0)</f>
        <v>110.164756</v>
      </c>
      <c r="FG22" s="14">
        <f t="shared" si="47"/>
        <v>29.369798989310421</v>
      </c>
      <c r="FH22" s="22">
        <f t="shared" si="22"/>
        <v>243.02268327304895</v>
      </c>
      <c r="FI22" s="62">
        <f t="shared" si="23"/>
        <v>522.91157216193778</v>
      </c>
      <c r="FJ22" s="62">
        <f ca="1">AVERAGE(OFFSET($FI$3,0,0,'Données projet'!$E$16+1,1))-AVERAGE(OFFSET($H$3,0,0,'Données projet'!$E$16+1,1))</f>
        <v>330.48891719033065</v>
      </c>
      <c r="FK22" s="62">
        <f t="shared" si="48"/>
        <v>419.35494198427284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4.9478523969867059</v>
      </c>
      <c r="FR22" s="23">
        <f>EXP(-LN(2)/25)*FR21+(1-EXP(-LN(2)/25))/(LN(2)/25)*Calculateur!FM22*Calculateur!FO22*VLOOKUP('Données projet'!$B$16,Paramètres!$A$1:$I$89,3,0)*0.475*44/12</f>
        <v>6.2070516368796707</v>
      </c>
      <c r="FS22" s="23">
        <f>EXP(-LN(2)/2)*FS21+(1-EXP(-LN(2)/2))/(LN(2)/2)*FM22*FP22*VLOOKUP('Données projet'!$B$16,Paramètres!$A$1:$I$89,3,0)*0.475*44/12</f>
        <v>2.6241900245014924</v>
      </c>
      <c r="FT22" s="24">
        <f t="shared" si="24"/>
        <v>13.779094058367869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>
        <f>VLOOKUP(A22,'Données projet'!$A$243:$I$263,2,0)</f>
        <v>245</v>
      </c>
      <c r="FX22" s="13">
        <f>VLOOKUP(A22,'Données projet'!$A$243:$I$263,9,0)</f>
        <v>15</v>
      </c>
      <c r="FY22" s="13">
        <f t="array" ref="FY22">INDEX(FX:FX,MIN(IF(ISNUMBER(FX22:FX218),ROW(FX22:FX218),"")))</f>
        <v>15</v>
      </c>
      <c r="FZ22" s="13">
        <f>IF('Données projet'!$A$244&gt;35,FZ21+FY22-GH21,IF(A22&lt;'Données projet'!$A$244,$FW$205^A22,IF(A22='Données projet'!$A$244,'Données projet'!$B$244,FZ21+FY22-GH21)))</f>
        <v>245</v>
      </c>
      <c r="GA22" s="18">
        <f>FZ22*VLOOKUP('Données projet'!$B$17,Paramètres!$A$1:$I$89,3,0)*VLOOKUP('Données projet'!$B$17,Paramètres!$A$1:$I$89,5,0)</f>
        <v>124.215</v>
      </c>
      <c r="GB22" s="14">
        <f t="shared" si="49"/>
        <v>32.656094932252877</v>
      </c>
      <c r="GC22" s="22">
        <f t="shared" si="25"/>
        <v>273.21715700700707</v>
      </c>
      <c r="GD22" s="62">
        <f t="shared" si="26"/>
        <v>553.10604589589593</v>
      </c>
      <c r="GE22" s="62">
        <f ca="1">AVERAGE(OFFSET($GD$3,0,0,'Données projet'!$E$17+1,1))-AVERAGE(OFFSET($H$3,0,0,'Données projet'!$E$17+1,1))</f>
        <v>132.18258156780018</v>
      </c>
      <c r="GF22" s="62">
        <f t="shared" si="50"/>
        <v>315.58133946947294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9">
        <f t="shared" si="1"/>
        <v>297.85087537608922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3.887142857142857</v>
      </c>
      <c r="N23" s="14">
        <f>IF('Données projet'!$A$36&gt;35,N22+M23-V22,IF(A23&lt;'Données projet'!$A$36,$K$205^A23,IF(A23='Données projet'!$A$36,'Données projet'!$B$36,N22+M23-V22)))</f>
        <v>77.742857142857133</v>
      </c>
      <c r="O23" s="14">
        <f>N23*VLOOKUP('Données projet'!$B$9,Paramètres!$A$1:$I$89,3,0)*VLOOKUP('Données projet'!$B$9,Paramètres!$A$1:$I$89,5,0)</f>
        <v>70.341737142857127</v>
      </c>
      <c r="P23" s="14">
        <f t="shared" si="33"/>
        <v>19.758298879173367</v>
      </c>
      <c r="Q23" s="22">
        <f t="shared" si="2"/>
        <v>156.92422940503644</v>
      </c>
      <c r="R23" s="62">
        <f t="shared" si="0"/>
        <v>438.03534051614758</v>
      </c>
      <c r="S23" s="62">
        <f ca="1">AVERAGE(OFFSET($R$3,0,0,'Données projet'!$E$9+1,1))-AVERAGE(OFFSET($H$3,0,0,'Données projet'!$E$9+1,1))</f>
        <v>401.86262166363821</v>
      </c>
      <c r="T23" s="62">
        <f t="shared" si="34"/>
        <v>208.60314230781432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3.887142857142857</v>
      </c>
      <c r="AI23" s="14">
        <f>IF('Données projet'!$A$62&gt;35,AI22+AH23-AQ22,IF(A23&lt;'Données projet'!$A$62,$AF$205^A23,IF(A23='Données projet'!$A$62,'Données projet'!$B$62,AI22+AH23-AQ22)))</f>
        <v>77.742857142857133</v>
      </c>
      <c r="AJ23" s="14">
        <f>AI23*VLOOKUP('Données projet'!$B$10,Paramètres!$A$1:$I$89,3,0)*VLOOKUP('Données projet'!$B$10,Paramètres!$A$1:$I$89,5,0)</f>
        <v>83.682411428571413</v>
      </c>
      <c r="AK23" s="14">
        <f t="shared" si="35"/>
        <v>23.035181158516771</v>
      </c>
      <c r="AL23" s="22">
        <f t="shared" si="4"/>
        <v>185.86647375584525</v>
      </c>
      <c r="AM23" s="62">
        <f t="shared" si="5"/>
        <v>466.97758486695636</v>
      </c>
      <c r="AN23" s="62">
        <f ca="1">AVERAGE(OFFSET($AM$3,0,0,'Données projet'!$E$10+1,1))-AVERAGE(OFFSET($H$3,0,0,'Données projet'!$E$10+1,1))</f>
        <v>407.22515465568205</v>
      </c>
      <c r="AO23" s="62">
        <f t="shared" si="36"/>
        <v>251.6218558398258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3.887142857142857</v>
      </c>
      <c r="BD23" s="13">
        <f>IF('Données projet'!$A$88&gt;35,BD22+BC23-BL22,IF(A23&lt;'Données projet'!$A$88,$BA$205^A23,IF(A23='Données projet'!$A$88,'Données projet'!$B$88,BD22+BC23-BL22)))</f>
        <v>77.742857142857133</v>
      </c>
      <c r="BE23" s="14">
        <f>BD23*VLOOKUP('Données projet'!$B$11,Paramètres!$A$1:$I$89,3,0)*VLOOKUP('Données projet'!$B$11,Paramètres!$A$1:$I$89,5,0)</f>
        <v>75.192891428571414</v>
      </c>
      <c r="BF23" s="14">
        <f t="shared" si="37"/>
        <v>20.957615695785943</v>
      </c>
      <c r="BG23" s="22">
        <f t="shared" si="7"/>
        <v>167.46213324158907</v>
      </c>
      <c r="BH23" s="62">
        <f t="shared" si="8"/>
        <v>448.57324435270021</v>
      </c>
      <c r="BI23" s="62">
        <f ca="1">AVERAGE(OFFSET($BH$3,0,0,'Données projet'!$E$11+1,1))-AVERAGE(OFFSET($H$3,0,0,'Données projet'!$E$11+1,1))</f>
        <v>357.76044008074308</v>
      </c>
      <c r="BJ23" s="62">
        <f t="shared" si="38"/>
        <v>224.26555772810445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3.887142857142857</v>
      </c>
      <c r="BY23" s="13">
        <f>IF('Données projet'!$A$114&gt;35,BY22+BX23-CG22,IF(A23&lt;'Données projet'!$A$114,$BV$205^A23,IF(A23='Données projet'!$A$114,'Données projet'!$B$114,BY22+BX23-CG22)))</f>
        <v>77.742857142857133</v>
      </c>
      <c r="BZ23" s="14">
        <f>BY23*VLOOKUP('Données projet'!$B$12,Paramètres!$A$1:$I$89,3,0)*VLOOKUP('Données projet'!$B$12,Paramètres!$A$1:$I$89,5,0)</f>
        <v>52.149908571428568</v>
      </c>
      <c r="CA23" s="14">
        <f t="shared" si="39"/>
        <v>15.167615224551032</v>
      </c>
      <c r="CB23" s="22">
        <f t="shared" si="10"/>
        <v>117.2446872779978</v>
      </c>
      <c r="CC23" s="62">
        <f t="shared" si="11"/>
        <v>398.35579838910894</v>
      </c>
      <c r="CD23" s="62">
        <f ca="1">AVERAGE(OFFSET($CC$3,0,0,'Données projet'!$E$12+1,1))-AVERAGE(OFFSET($H$3,0,0,'Données projet'!$E$12+1,1))</f>
        <v>222.86701323374945</v>
      </c>
      <c r="CE23" s="62">
        <f t="shared" si="40"/>
        <v>149.63671045240511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100</v>
      </c>
      <c r="CR23" s="13">
        <f>VLOOKUP(A23,'Données projet'!$A$139:$I$159,9,0)</f>
        <v>12</v>
      </c>
      <c r="CS23" s="13">
        <f t="array" ref="CS23">INDEX(CR:CR,MIN(IF(ISNUMBER(CR23:CR219),ROW(CR23:CR219),"")))</f>
        <v>12</v>
      </c>
      <c r="CT23" s="13">
        <f>IF('Données projet'!$A$140&gt;35,CT22+CS23-DB22,IF(A23&lt;'Données projet'!$A$140,$CQ$205^A23,IF(A23='Données projet'!$A$140,'Données projet'!$B$140,CT22+CS23-DB22)))</f>
        <v>100</v>
      </c>
      <c r="CU23" s="18">
        <f>CT23*VLOOKUP('Données projet'!$B$13,Paramètres!$A$1:$I$89,3,0)*VLOOKUP('Données projet'!$B$13,Paramètres!$A$1:$I$89,5,0)</f>
        <v>65.52</v>
      </c>
      <c r="CV23" s="14">
        <f t="shared" si="41"/>
        <v>18.556669503136725</v>
      </c>
      <c r="CW23" s="22">
        <f t="shared" si="13"/>
        <v>146.43353271796309</v>
      </c>
      <c r="CX23" s="62">
        <f t="shared" si="14"/>
        <v>427.54464382907423</v>
      </c>
      <c r="CY23" s="62">
        <f ca="1">AVERAGE(OFFSET($CX$3,0,0,'Données projet'!$E$13+1,1))-AVERAGE(OFFSET($H$3,0,0,'Données projet'!$E$13+1,1))</f>
        <v>173.15672762188746</v>
      </c>
      <c r="CZ23" s="62">
        <f t="shared" si="42"/>
        <v>208.54841796921414</v>
      </c>
      <c r="DA23" s="16">
        <f>IF(ISNA(VLOOKUP(A23,'Données projet'!$A$139:$I$159,3,0)),0,VLOOKUP(A23,'Données projet'!$A$139:$I$159,3,0))</f>
        <v>3</v>
      </c>
      <c r="DB23" s="16">
        <f>IF(ISNA(VLOOKUP(A23,'Données projet'!$A$139:$I$159,4,0)),0,VLOOKUP(A23,'Données projet'!$A$139:$I$159,4,0))</f>
        <v>10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5.8668181818181813</v>
      </c>
      <c r="EJ23" s="13">
        <f>IF('Données projet'!$A$192&gt;35,EJ22+EI23-ER22,IF(A23&lt;'Données projet'!$A$192,$EG$205^A23,IF(A23='Données projet'!$A$192,'Données projet'!$B$192,EJ22+EI23-ER22)))</f>
        <v>82.972103429550899</v>
      </c>
      <c r="EK23" s="18">
        <f>EJ23*VLOOKUP('Données projet'!$B$15,Paramètres!$A$1:$I$89,3,0)*VLOOKUP('Données projet'!$B$15,Paramètres!$A$1:$I$89,5,0)</f>
        <v>49.617317850871444</v>
      </c>
      <c r="EL23" s="14">
        <f t="shared" si="45"/>
        <v>14.514886181018609</v>
      </c>
      <c r="EM23" s="22">
        <f t="shared" si="19"/>
        <v>111.69692202220851</v>
      </c>
      <c r="EN23" s="62">
        <f t="shared" si="20"/>
        <v>392.80803313331967</v>
      </c>
      <c r="EO23" s="62">
        <f ca="1">AVERAGE(OFFSET($EN$3,0,0,'Données projet'!$E$15+1,1))-AVERAGE(OFFSET($H$3,0,0,'Données projet'!$E$15+1,1))</f>
        <v>269.18638759204373</v>
      </c>
      <c r="EP23" s="62">
        <f t="shared" si="46"/>
        <v>197.07126167823969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207.09</v>
      </c>
      <c r="FC23" s="13">
        <f>VLOOKUP(A23,'Données projet'!$A$217:$I$237,9,0)</f>
        <v>22.868000000000002</v>
      </c>
      <c r="FD23" s="13">
        <f t="array" ref="FD23">INDEX(FC:FC,MIN(IF(ISNUMBER(FC23:FC219),ROW(FC23:FC219),"")))</f>
        <v>22.868000000000002</v>
      </c>
      <c r="FE23" s="13">
        <f>IF('Données projet'!$A$218&gt;35,FE22+FD23-FM22,IF(A23&lt;'Données projet'!$A$218,$FB$205^A23,IF(A23='Données projet'!$A$218,'Données projet'!$B$218,FE22+FD23-FM22)))</f>
        <v>207.08999999999997</v>
      </c>
      <c r="FF23" s="18">
        <f>FE23*VLOOKUP('Données projet'!$B$16,Paramètres!$A$1:$I$89,3,0)*VLOOKUP('Données projet'!$B$16,Paramètres!$A$1:$I$89,5,0)</f>
        <v>123.83982</v>
      </c>
      <c r="FG23" s="14">
        <f t="shared" si="47"/>
        <v>32.568925941983501</v>
      </c>
      <c r="FH23" s="22">
        <f t="shared" si="22"/>
        <v>272.41189918228798</v>
      </c>
      <c r="FI23" s="62">
        <f t="shared" si="23"/>
        <v>553.52301029339912</v>
      </c>
      <c r="FJ23" s="62">
        <f ca="1">AVERAGE(OFFSET($FI$3,0,0,'Données projet'!$E$16+1,1))-AVERAGE(OFFSET($H$3,0,0,'Données projet'!$E$16+1,1))</f>
        <v>330.48891719033065</v>
      </c>
      <c r="FK23" s="62">
        <f t="shared" si="48"/>
        <v>419.35494198427284</v>
      </c>
      <c r="FL23" s="16">
        <f>IF(ISNA(VLOOKUP(A23,'Données projet'!$A$217:$I$237,3,0)),0,VLOOKUP(A23,'Données projet'!$A$217:$I$237,3,0))</f>
        <v>2</v>
      </c>
      <c r="FM23" s="16">
        <f>IF(ISNA(VLOOKUP(A23,'Données projet'!$A$217:$I$237,4,0)),0,VLOOKUP(A23,'Données projet'!$A$217:$I$237,4,0))</f>
        <v>54.89</v>
      </c>
      <c r="FN23" s="17">
        <f>IF(ISNA(VLOOKUP(A23,'Données projet'!$A$217:$I$237,5,0)),0%,VLOOKUP(A23,'Données projet'!$A$217:$I$237,5,0)*VLOOKUP('Données projet'!$B$16,Paramètres!$A$1:$I$89,7,0))</f>
        <v>0.18000000000000002</v>
      </c>
      <c r="FO23" s="17">
        <f>IF(ISNA(VLOOKUP(A23,'Données projet'!$A$217:$I$237,6,0)),0%,VLOOKUP(A23,'Données projet'!$A$217:$I$237,6,0)*VLOOKUP('Données projet'!$B$16,Paramètres!$A$1:$I$89,7,0))</f>
        <v>0.15300000000000002</v>
      </c>
      <c r="FP23" s="17">
        <f>IF(ISNA(VLOOKUP(A23,'Données projet'!$A$217:$I$237,7,0)),0%,VLOOKUP(A23,'Données projet'!$A$217:$I$237,7,0))</f>
        <v>0.26</v>
      </c>
      <c r="FQ23" s="23">
        <f>EXP(-LN(2)/35)*FQ22+(1-EXP(-LN(2)/35))/(LN(2)/35)*FM23*FN23*VLOOKUP('Données projet'!$B$16,Paramètres!$A$1:$I$89,3,0)*0.475*44/12</f>
        <v>12.688647864688745</v>
      </c>
      <c r="FR23" s="23">
        <f>EXP(-LN(2)/25)*FR22+(1-EXP(-LN(2)/25))/(LN(2)/25)*Calculateur!FM23*Calculateur!FO23*VLOOKUP('Données projet'!$B$16,Paramètres!$A$1:$I$89,3,0)*0.475*44/12</f>
        <v>12.673234932807414</v>
      </c>
      <c r="FS23" s="23">
        <f>EXP(-LN(2)/2)*FS22+(1-EXP(-LN(2)/2))/(LN(2)/2)*FM23*FP23*VLOOKUP('Données projet'!$B$16,Paramètres!$A$1:$I$89,3,0)*0.475*44/12</f>
        <v>11.518389487976783</v>
      </c>
      <c r="FT23" s="24">
        <f t="shared" si="24"/>
        <v>36.880272285472941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259</v>
      </c>
      <c r="FX23" s="13">
        <f>VLOOKUP(A23,'Données projet'!$A$243:$I$263,9,0)</f>
        <v>14</v>
      </c>
      <c r="FY23" s="13">
        <f t="array" ref="FY23">INDEX(FX:FX,MIN(IF(ISNUMBER(FX23:FX219),ROW(FX23:FX219),"")))</f>
        <v>14</v>
      </c>
      <c r="FZ23" s="13">
        <f>IF('Données projet'!$A$244&gt;35,FZ22+FY23-GH22,IF(A23&lt;'Données projet'!$A$244,$FW$205^A23,IF(A23='Données projet'!$A$244,'Données projet'!$B$244,FZ22+FY23-GH22)))</f>
        <v>259</v>
      </c>
      <c r="GA23" s="18">
        <f>FZ23*VLOOKUP('Données projet'!$B$17,Paramètres!$A$1:$I$89,3,0)*VLOOKUP('Données projet'!$B$17,Paramètres!$A$1:$I$89,5,0)</f>
        <v>131.31299999999999</v>
      </c>
      <c r="GB23" s="14">
        <f t="shared" si="49"/>
        <v>34.299577406379022</v>
      </c>
      <c r="GC23" s="22">
        <f t="shared" si="25"/>
        <v>288.44190564944341</v>
      </c>
      <c r="GD23" s="62">
        <f t="shared" si="26"/>
        <v>569.55301676055456</v>
      </c>
      <c r="GE23" s="62">
        <f ca="1">AVERAGE(OFFSET($GD$3,0,0,'Données projet'!$E$17+1,1))-AVERAGE(OFFSET($H$3,0,0,'Données projet'!$E$17+1,1))</f>
        <v>132.18258156780018</v>
      </c>
      <c r="GF23" s="62">
        <f t="shared" si="50"/>
        <v>315.58133946947294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9">
        <f t="shared" si="1"/>
        <v>299.84937234200714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3.887142857142857</v>
      </c>
      <c r="N24" s="14">
        <f>IF('Données projet'!$A$36&gt;35,N23+M24-V23,IF(A24&lt;'Données projet'!$A$36,$K$205^A24,IF(A24='Données projet'!$A$36,'Données projet'!$B$36,N23+M24-V23)))</f>
        <v>81.63</v>
      </c>
      <c r="O24" s="14">
        <f>N24*VLOOKUP('Données projet'!$B$9,Paramètres!$A$1:$I$89,3,0)*VLOOKUP('Données projet'!$B$9,Paramètres!$A$1:$I$89,5,0)</f>
        <v>73.858823999999984</v>
      </c>
      <c r="P24" s="14">
        <f t="shared" si="33"/>
        <v>20.628726373651425</v>
      </c>
      <c r="Q24" s="22">
        <f t="shared" si="2"/>
        <v>164.56581690077618</v>
      </c>
      <c r="R24" s="62">
        <f t="shared" si="0"/>
        <v>446.89915023410947</v>
      </c>
      <c r="S24" s="62">
        <f ca="1">AVERAGE(OFFSET($R$3,0,0,'Données projet'!$E$9+1,1))-AVERAGE(OFFSET($H$3,0,0,'Données projet'!$E$9+1,1))</f>
        <v>401.86262166363821</v>
      </c>
      <c r="T24" s="62">
        <f t="shared" si="34"/>
        <v>208.60314230781432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3.887142857142857</v>
      </c>
      <c r="AI24" s="14">
        <f>IF('Données projet'!$A$62&gt;35,AI23+AH24-AQ23,IF(A24&lt;'Données projet'!$A$62,$AF$205^A24,IF(A24='Données projet'!$A$62,'Données projet'!$B$62,AI23+AH24-AQ23)))</f>
        <v>81.63</v>
      </c>
      <c r="AJ24" s="14">
        <f>AI24*VLOOKUP('Données projet'!$B$10,Paramètres!$A$1:$I$89,3,0)*VLOOKUP('Données projet'!$B$10,Paramètres!$A$1:$I$89,5,0)</f>
        <v>87.866531999999992</v>
      </c>
      <c r="AK24" s="14">
        <f t="shared" si="35"/>
        <v>24.049967661305761</v>
      </c>
      <c r="AL24" s="22">
        <f t="shared" si="4"/>
        <v>194.9212369101075</v>
      </c>
      <c r="AM24" s="62">
        <f t="shared" si="5"/>
        <v>477.25457024344081</v>
      </c>
      <c r="AN24" s="62">
        <f ca="1">AVERAGE(OFFSET($AM$3,0,0,'Données projet'!$E$10+1,1))-AVERAGE(OFFSET($H$3,0,0,'Données projet'!$E$10+1,1))</f>
        <v>407.22515465568205</v>
      </c>
      <c r="AO24" s="62">
        <f t="shared" si="36"/>
        <v>251.6218558398258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3.887142857142857</v>
      </c>
      <c r="BD24" s="13">
        <f>IF('Données projet'!$A$88&gt;35,BD23+BC24-BL23,IF(A24&lt;'Données projet'!$A$88,$BA$205^A24,IF(A24='Données projet'!$A$88,'Données projet'!$B$88,BD23+BC24-BL23)))</f>
        <v>81.63</v>
      </c>
      <c r="BE24" s="14">
        <f>BD24*VLOOKUP('Données projet'!$B$11,Paramètres!$A$1:$I$89,3,0)*VLOOKUP('Données projet'!$B$11,Paramètres!$A$1:$I$89,5,0)</f>
        <v>78.952535999999995</v>
      </c>
      <c r="BF24" s="14">
        <f t="shared" si="37"/>
        <v>21.880877613822086</v>
      </c>
      <c r="BG24" s="22">
        <f t="shared" si="7"/>
        <v>175.61819537740678</v>
      </c>
      <c r="BH24" s="62">
        <f t="shared" si="8"/>
        <v>457.95152871074009</v>
      </c>
      <c r="BI24" s="62">
        <f ca="1">AVERAGE(OFFSET($BH$3,0,0,'Données projet'!$E$11+1,1))-AVERAGE(OFFSET($H$3,0,0,'Données projet'!$E$11+1,1))</f>
        <v>357.76044008074308</v>
      </c>
      <c r="BJ24" s="62">
        <f t="shared" si="38"/>
        <v>224.26555772810445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3.887142857142857</v>
      </c>
      <c r="BY24" s="13">
        <f>IF('Données projet'!$A$114&gt;35,BY23+BX24-CG23,IF(A24&lt;'Données projet'!$A$114,$BV$205^A24,IF(A24='Données projet'!$A$114,'Données projet'!$B$114,BY23+BX24-CG23)))</f>
        <v>81.63</v>
      </c>
      <c r="BZ24" s="14">
        <f>BY24*VLOOKUP('Données projet'!$B$12,Paramètres!$A$1:$I$89,3,0)*VLOOKUP('Données projet'!$B$12,Paramètres!$A$1:$I$89,5,0)</f>
        <v>54.757403999999994</v>
      </c>
      <c r="CA24" s="14">
        <f t="shared" si="39"/>
        <v>15.835805811091323</v>
      </c>
      <c r="CB24" s="22">
        <f t="shared" si="10"/>
        <v>122.94984042098405</v>
      </c>
      <c r="CC24" s="62">
        <f t="shared" si="11"/>
        <v>405.28317375431737</v>
      </c>
      <c r="CD24" s="62">
        <f ca="1">AVERAGE(OFFSET($CC$3,0,0,'Données projet'!$E$12+1,1))-AVERAGE(OFFSET($H$3,0,0,'Données projet'!$E$12+1,1))</f>
        <v>222.86701323374945</v>
      </c>
      <c r="CE24" s="62">
        <f t="shared" si="40"/>
        <v>149.63671045240511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9.6</v>
      </c>
      <c r="CT24" s="13">
        <f>IF('Données projet'!$A$140&gt;35,CT23+CS24-DB23,IF(A24&lt;'Données projet'!$A$140,$CQ$205^A24,IF(A24='Données projet'!$A$140,'Données projet'!$B$140,CT23+CS24-DB23)))</f>
        <v>99.6</v>
      </c>
      <c r="CU24" s="18">
        <f>CT24*VLOOKUP('Données projet'!$B$13,Paramètres!$A$1:$I$89,3,0)*VLOOKUP('Données projet'!$B$13,Paramètres!$A$1:$I$89,5,0)</f>
        <v>65.257919999999999</v>
      </c>
      <c r="CV24" s="14">
        <f t="shared" si="41"/>
        <v>18.491067519086762</v>
      </c>
      <c r="CW24" s="22">
        <f t="shared" si="13"/>
        <v>145.8628199290761</v>
      </c>
      <c r="CX24" s="62">
        <f t="shared" si="14"/>
        <v>428.19615326240944</v>
      </c>
      <c r="CY24" s="62">
        <f ca="1">AVERAGE(OFFSET($CX$3,0,0,'Données projet'!$E$13+1,1))-AVERAGE(OFFSET($H$3,0,0,'Données projet'!$E$13+1,1))</f>
        <v>173.15672762188746</v>
      </c>
      <c r="CZ24" s="62">
        <f t="shared" si="42"/>
        <v>208.54841796921414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5.8668181818181813</v>
      </c>
      <c r="EJ24" s="13">
        <f>IF('Données projet'!$A$192&gt;35,EJ23+EI24-ER23,IF(A24&lt;'Données projet'!$A$192,$EG$205^A24,IF(A24='Données projet'!$A$192,'Données projet'!$B$192,EJ23+EI24-ER23)))</f>
        <v>103.48531001863087</v>
      </c>
      <c r="EK24" s="18">
        <f>EJ24*VLOOKUP('Données projet'!$B$15,Paramètres!$A$1:$I$89,3,0)*VLOOKUP('Données projet'!$B$15,Paramètres!$A$1:$I$89,5,0)</f>
        <v>61.884215391141261</v>
      </c>
      <c r="EL24" s="14">
        <f t="shared" si="45"/>
        <v>17.643797099482939</v>
      </c>
      <c r="EM24" s="22">
        <f t="shared" si="19"/>
        <v>138.51128842117049</v>
      </c>
      <c r="EN24" s="62">
        <f t="shared" si="20"/>
        <v>420.84462175450381</v>
      </c>
      <c r="EO24" s="62">
        <f ca="1">AVERAGE(OFFSET($EN$3,0,0,'Données projet'!$E$15+1,1))-AVERAGE(OFFSET($H$3,0,0,'Données projet'!$E$15+1,1))</f>
        <v>269.18638759204373</v>
      </c>
      <c r="EP24" s="62">
        <f t="shared" si="46"/>
        <v>197.07126167823969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24.2</v>
      </c>
      <c r="FE24" s="13">
        <f>IF('Données projet'!$A$218&gt;35,FE23+FD24-FM23,IF(A24&lt;'Données projet'!$A$218,$FB$205^A24,IF(A24='Données projet'!$A$218,'Données projet'!$B$218,FE23+FD24-FM23)))</f>
        <v>176.39999999999998</v>
      </c>
      <c r="FF24" s="18">
        <f>FE24*VLOOKUP('Données projet'!$B$16,Paramètres!$A$1:$I$89,3,0)*VLOOKUP('Données projet'!$B$16,Paramètres!$A$1:$I$89,5,0)</f>
        <v>105.48719999999999</v>
      </c>
      <c r="FG24" s="14">
        <f t="shared" si="47"/>
        <v>28.265155367923839</v>
      </c>
      <c r="FH24" s="22">
        <f t="shared" si="22"/>
        <v>232.95201893246733</v>
      </c>
      <c r="FI24" s="62">
        <f t="shared" si="23"/>
        <v>515.28535226580061</v>
      </c>
      <c r="FJ24" s="62">
        <f ca="1">AVERAGE(OFFSET($FI$3,0,0,'Données projet'!$E$16+1,1))-AVERAGE(OFFSET($H$3,0,0,'Données projet'!$E$16+1,1))</f>
        <v>330.48891719033065</v>
      </c>
      <c r="FK24" s="62">
        <f t="shared" si="48"/>
        <v>419.35494198427284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12.439831219373202</v>
      </c>
      <c r="FR24" s="23">
        <f>EXP(-LN(2)/25)*FR23+(1-EXP(-LN(2)/25))/(LN(2)/25)*Calculateur!FM24*Calculateur!FO24*VLOOKUP('Données projet'!$B$16,Paramètres!$A$1:$I$89,3,0)*0.475*44/12</f>
        <v>12.326684657113336</v>
      </c>
      <c r="FS24" s="23">
        <f>EXP(-LN(2)/2)*FS23+(1-EXP(-LN(2)/2))/(LN(2)/2)*FM24*FP24*VLOOKUP('Données projet'!$B$16,Paramètres!$A$1:$I$89,3,0)*0.475*44/12</f>
        <v>8.1447313152962284</v>
      </c>
      <c r="FT24" s="24">
        <f t="shared" si="24"/>
        <v>32.911247191782763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>
        <f>VLOOKUP(A24,'Données projet'!$A$243:$I$263,2,0)</f>
        <v>272</v>
      </c>
      <c r="FX24" s="13">
        <f>VLOOKUP(A24,'Données projet'!$A$243:$I$263,9,0)</f>
        <v>13</v>
      </c>
      <c r="FY24" s="13">
        <f t="array" ref="FY24">INDEX(FX:FX,MIN(IF(ISNUMBER(FX24:FX220),ROW(FX24:FX220),"")))</f>
        <v>13</v>
      </c>
      <c r="FZ24" s="13">
        <f>IF('Données projet'!$A$244&gt;35,FZ23+FY24-GH23,IF(A24&lt;'Données projet'!$A$244,$FW$205^A24,IF(A24='Données projet'!$A$244,'Données projet'!$B$244,FZ23+FY24-GH23)))</f>
        <v>272</v>
      </c>
      <c r="GA24" s="18">
        <f>FZ24*VLOOKUP('Données projet'!$B$17,Paramètres!$A$1:$I$89,3,0)*VLOOKUP('Données projet'!$B$17,Paramètres!$A$1:$I$89,5,0)</f>
        <v>137.90400000000002</v>
      </c>
      <c r="GB24" s="14">
        <f t="shared" si="49"/>
        <v>35.816420593519346</v>
      </c>
      <c r="GC24" s="22">
        <f t="shared" si="25"/>
        <v>302.56306586704625</v>
      </c>
      <c r="GD24" s="62">
        <f t="shared" si="26"/>
        <v>584.89639920037962</v>
      </c>
      <c r="GE24" s="62">
        <f ca="1">AVERAGE(OFFSET($GD$3,0,0,'Données projet'!$E$17+1,1))-AVERAGE(OFFSET($H$3,0,0,'Données projet'!$E$17+1,1))</f>
        <v>132.18258156780018</v>
      </c>
      <c r="GF24" s="62">
        <f t="shared" si="50"/>
        <v>315.58133946947294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9">
        <f t="shared" si="1"/>
        <v>301.84538199666349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3.887142857142857</v>
      </c>
      <c r="N25" s="14">
        <f>IF('Données projet'!$A$36&gt;35,N24+M25-V24,IF(A25&lt;'Données projet'!$A$36,$K$205^A25,IF(A25='Données projet'!$A$36,'Données projet'!$B$36,N24+M25-V24)))</f>
        <v>85.517142857142858</v>
      </c>
      <c r="O25" s="14">
        <f>N25*VLOOKUP('Données projet'!$B$9,Paramètres!$A$1:$I$89,3,0)*VLOOKUP('Données projet'!$B$9,Paramètres!$A$1:$I$89,5,0)</f>
        <v>77.375910857142856</v>
      </c>
      <c r="P25" s="14">
        <f t="shared" si="33"/>
        <v>21.49434063873689</v>
      </c>
      <c r="Q25" s="22">
        <f t="shared" si="2"/>
        <v>172.19902135532388</v>
      </c>
      <c r="R25" s="62">
        <f t="shared" si="0"/>
        <v>455.75457691087945</v>
      </c>
      <c r="S25" s="62">
        <f ca="1">AVERAGE(OFFSET($R$3,0,0,'Données projet'!$E$9+1,1))-AVERAGE(OFFSET($H$3,0,0,'Données projet'!$E$9+1,1))</f>
        <v>401.86262166363821</v>
      </c>
      <c r="T25" s="62">
        <f t="shared" si="34"/>
        <v>208.60314230781432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3.887142857142857</v>
      </c>
      <c r="AI25" s="14">
        <f>IF('Données projet'!$A$62&gt;35,AI24+AH25-AQ24,IF(A25&lt;'Données projet'!$A$62,$AF$205^A25,IF(A25='Données projet'!$A$62,'Données projet'!$B$62,AI24+AH25-AQ24)))</f>
        <v>85.517142857142858</v>
      </c>
      <c r="AJ25" s="14">
        <f>AI25*VLOOKUP('Données projet'!$B$10,Paramètres!$A$1:$I$89,3,0)*VLOOKUP('Données projet'!$B$10,Paramètres!$A$1:$I$89,5,0)</f>
        <v>92.050652571428571</v>
      </c>
      <c r="AK25" s="14">
        <f t="shared" si="35"/>
        <v>25.059142668302808</v>
      </c>
      <c r="AL25" s="22">
        <f t="shared" si="4"/>
        <v>203.96622670919882</v>
      </c>
      <c r="AM25" s="62">
        <f t="shared" si="5"/>
        <v>487.52178226475439</v>
      </c>
      <c r="AN25" s="62">
        <f ca="1">AVERAGE(OFFSET($AM$3,0,0,'Données projet'!$E$10+1,1))-AVERAGE(OFFSET($H$3,0,0,'Données projet'!$E$10+1,1))</f>
        <v>407.22515465568205</v>
      </c>
      <c r="AO25" s="62">
        <f t="shared" si="36"/>
        <v>251.6218558398258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3.887142857142857</v>
      </c>
      <c r="BD25" s="13">
        <f>IF('Données projet'!$A$88&gt;35,BD24+BC25-BL24,IF(A25&lt;'Données projet'!$A$88,$BA$205^A25,IF(A25='Données projet'!$A$88,'Données projet'!$B$88,BD24+BC25-BL24)))</f>
        <v>85.517142857142858</v>
      </c>
      <c r="BE25" s="14">
        <f>BD25*VLOOKUP('Données projet'!$B$11,Paramètres!$A$1:$I$89,3,0)*VLOOKUP('Données projet'!$B$11,Paramètres!$A$1:$I$89,5,0)</f>
        <v>82.712180571428576</v>
      </c>
      <c r="BF25" s="14">
        <f t="shared" si="37"/>
        <v>22.799034142346564</v>
      </c>
      <c r="BG25" s="22">
        <f t="shared" si="7"/>
        <v>183.76536562649167</v>
      </c>
      <c r="BH25" s="62">
        <f t="shared" si="8"/>
        <v>467.32092118204719</v>
      </c>
      <c r="BI25" s="62">
        <f ca="1">AVERAGE(OFFSET($BH$3,0,0,'Données projet'!$E$11+1,1))-AVERAGE(OFFSET($H$3,0,0,'Données projet'!$E$11+1,1))</f>
        <v>357.76044008074308</v>
      </c>
      <c r="BJ25" s="62">
        <f t="shared" si="38"/>
        <v>224.26555772810445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3.887142857142857</v>
      </c>
      <c r="BY25" s="13">
        <f>IF('Données projet'!$A$114&gt;35,BY24+BX25-CG24,IF(A25&lt;'Données projet'!$A$114,$BV$205^A25,IF(A25='Données projet'!$A$114,'Données projet'!$B$114,BY24+BX25-CG24)))</f>
        <v>85.517142857142858</v>
      </c>
      <c r="BZ25" s="14">
        <f>BY25*VLOOKUP('Données projet'!$B$12,Paramètres!$A$1:$I$89,3,0)*VLOOKUP('Données projet'!$B$12,Paramètres!$A$1:$I$89,5,0)</f>
        <v>57.364899428571427</v>
      </c>
      <c r="CA25" s="14">
        <f t="shared" si="39"/>
        <v>16.500301483820401</v>
      </c>
      <c r="CB25" s="22">
        <f t="shared" si="10"/>
        <v>128.64855825574909</v>
      </c>
      <c r="CC25" s="62">
        <f t="shared" si="11"/>
        <v>412.20411381130464</v>
      </c>
      <c r="CD25" s="62">
        <f ca="1">AVERAGE(OFFSET($CC$3,0,0,'Données projet'!$E$12+1,1))-AVERAGE(OFFSET($H$3,0,0,'Données projet'!$E$12+1,1))</f>
        <v>222.86701323374945</v>
      </c>
      <c r="CE25" s="62">
        <f t="shared" si="40"/>
        <v>149.63671045240511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9.6</v>
      </c>
      <c r="CT25" s="13">
        <f>IF('Données projet'!$A$140&gt;35,CT24+CS25-DB24,IF(A25&lt;'Données projet'!$A$140,$CQ$205^A25,IF(A25='Données projet'!$A$140,'Données projet'!$B$140,CT24+CS25-DB24)))</f>
        <v>109.19999999999999</v>
      </c>
      <c r="CU25" s="18">
        <f>CT25*VLOOKUP('Données projet'!$B$13,Paramètres!$A$1:$I$89,3,0)*VLOOKUP('Données projet'!$B$13,Paramètres!$A$1:$I$89,5,0)</f>
        <v>71.547839999999994</v>
      </c>
      <c r="CV25" s="14">
        <f t="shared" si="41"/>
        <v>20.05735014974319</v>
      </c>
      <c r="CW25" s="22">
        <f t="shared" si="13"/>
        <v>159.54570617746938</v>
      </c>
      <c r="CX25" s="62">
        <f t="shared" si="14"/>
        <v>443.1012617330249</v>
      </c>
      <c r="CY25" s="62">
        <f ca="1">AVERAGE(OFFSET($CX$3,0,0,'Données projet'!$E$13+1,1))-AVERAGE(OFFSET($H$3,0,0,'Données projet'!$E$13+1,1))</f>
        <v>173.15672762188746</v>
      </c>
      <c r="CZ25" s="62">
        <f t="shared" si="42"/>
        <v>208.54841796921414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>
        <f>VLOOKUP(A25,'Données projet'!$A$191:$I$211,2,0)</f>
        <v>129.07</v>
      </c>
      <c r="EH25" s="13">
        <f>VLOOKUP(A25,'Données projet'!$A$191:$I$211,9,0)</f>
        <v>5.8668181818181813</v>
      </c>
      <c r="EI25" s="13">
        <f t="array" ref="EI25">INDEX(EH:EH,MIN(IF(ISNUMBER(EH25:EH221),ROW(EH25:EH221),"")))</f>
        <v>5.8668181818181813</v>
      </c>
      <c r="EJ25" s="13">
        <f>IF('Données projet'!$A$192&gt;35,EJ24+EI25-ER24,IF(A25&lt;'Données projet'!$A$192,$EG$205^A25,IF(A25='Données projet'!$A$192,'Données projet'!$B$192,EJ24+EI25-ER24)))</f>
        <v>129.07</v>
      </c>
      <c r="EK25" s="18">
        <f>EJ25*VLOOKUP('Données projet'!$B$15,Paramètres!$A$1:$I$89,3,0)*VLOOKUP('Données projet'!$B$15,Paramètres!$A$1:$I$89,5,0)</f>
        <v>77.183859999999996</v>
      </c>
      <c r="EL25" s="14">
        <f t="shared" si="45"/>
        <v>21.447193743401183</v>
      </c>
      <c r="EM25" s="22">
        <f t="shared" si="19"/>
        <v>171.78241860309038</v>
      </c>
      <c r="EN25" s="62">
        <f t="shared" si="20"/>
        <v>455.33797415864592</v>
      </c>
      <c r="EO25" s="62">
        <f ca="1">AVERAGE(OFFSET($EN$3,0,0,'Données projet'!$E$15+1,1))-AVERAGE(OFFSET($H$3,0,0,'Données projet'!$E$15+1,1))</f>
        <v>269.18638759204373</v>
      </c>
      <c r="EP25" s="62">
        <f t="shared" si="46"/>
        <v>197.07126167823969</v>
      </c>
      <c r="EQ25" s="16">
        <f>IF(ISNA(VLOOKUP(A25,'Données projet'!$A$191:$I$211,3,0)),0,VLOOKUP(A25,'Données projet'!$A$191:$I$211,3,0))</f>
        <v>1</v>
      </c>
      <c r="ER25" s="16">
        <f>IF(ISNA(VLOOKUP(A25,'Données projet'!$A$191:$I$211,4,0)),0,VLOOKUP(A25,'Données projet'!$A$191:$I$211,4,0))</f>
        <v>52.41</v>
      </c>
      <c r="ES25" s="17">
        <f>IF(ISNA(VLOOKUP(A25,'Données projet'!$A$191:$I$211,5,0)),0%,VLOOKUP(A25,'Données projet'!$A$191:$I$211,5,0)*VLOOKUP('Données projet'!$B$15,Paramètres!$A$1:$I$89,7,0))</f>
        <v>0.13500000000000001</v>
      </c>
      <c r="ET25" s="17">
        <f>IF(ISNA(VLOOKUP(A25,'Données projet'!$A$191:$I$211,6,0)),0%,VLOOKUP(A25,'Données projet'!$A$191:$I$211,6,0)*VLOOKUP('Données projet'!$B$15,Paramètres!$A$1:$I$89,7,0))</f>
        <v>0.17550000000000002</v>
      </c>
      <c r="EU25" s="17">
        <f>IF(ISNA(VLOOKUP(A25,'Données projet'!$A$191:$I$211,7,0)),0%,VLOOKUP(A25,'Données projet'!$A$191:$I$211,7,0))</f>
        <v>0.31</v>
      </c>
      <c r="EV25" s="23">
        <f>EXP(-LN(2)/35)*EV24+(1-EXP(-LN(2)/35))/(LN(2)/35)*ER25*ES25*VLOOKUP('Données projet'!$B$15,Paramètres!$A$1:$I$89,3,0)*0.475*44/12</f>
        <v>5.6127728762369022</v>
      </c>
      <c r="EW25" s="23">
        <f>EXP(-LN(2)/25)*EW24+(1-EXP(-LN(2)/25))/(LN(2)/25)*Calculateur!ER25*Calculateur!ET25*VLOOKUP('Données projet'!$B$15,Paramètres!$A$1:$I$89,3,0)*0.475*44/12</f>
        <v>7.2678752260257333</v>
      </c>
      <c r="EX25" s="23">
        <f>EXP(-LN(2)/2)*EX24+(1-EXP(-LN(2)/2))/(LN(2)/2)*ER25*EU25*VLOOKUP('Données projet'!$B$15,Paramètres!$A$1:$I$89,3,0)*0.475*44/12</f>
        <v>11.000503833963061</v>
      </c>
      <c r="EY25" s="24">
        <f t="shared" si="21"/>
        <v>23.881151936225699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24.2</v>
      </c>
      <c r="FE25" s="13">
        <f>IF('Données projet'!$A$218&gt;35,FE24+FD25-FM24,IF(A25&lt;'Données projet'!$A$218,$FB$205^A25,IF(A25='Données projet'!$A$218,'Données projet'!$B$218,FE24+FD25-FM24)))</f>
        <v>200.59999999999997</v>
      </c>
      <c r="FF25" s="18">
        <f>FE25*VLOOKUP('Données projet'!$B$16,Paramètres!$A$1:$I$89,3,0)*VLOOKUP('Données projet'!$B$16,Paramètres!$A$1:$I$89,5,0)</f>
        <v>119.95879999999998</v>
      </c>
      <c r="FG25" s="14">
        <f t="shared" si="47"/>
        <v>31.665389878667824</v>
      </c>
      <c r="FH25" s="22">
        <f t="shared" si="22"/>
        <v>264.07879737201307</v>
      </c>
      <c r="FI25" s="62">
        <f t="shared" si="23"/>
        <v>547.63435292756867</v>
      </c>
      <c r="FJ25" s="62">
        <f ca="1">AVERAGE(OFFSET($FI$3,0,0,'Données projet'!$E$16+1,1))-AVERAGE(OFFSET($H$3,0,0,'Données projet'!$E$16+1,1))</f>
        <v>330.48891719033065</v>
      </c>
      <c r="FK25" s="62">
        <f t="shared" si="48"/>
        <v>419.35494198427284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12.195893716709129</v>
      </c>
      <c r="FR25" s="23">
        <f>EXP(-LN(2)/25)*FR24+(1-EXP(-LN(2)/25))/(LN(2)/25)*Calculateur!FM25*Calculateur!FO25*VLOOKUP('Données projet'!$B$16,Paramètres!$A$1:$I$89,3,0)*0.475*44/12</f>
        <v>11.9896108169324</v>
      </c>
      <c r="FS25" s="23">
        <f>EXP(-LN(2)/2)*FS24+(1-EXP(-LN(2)/2))/(LN(2)/2)*FM25*FP25*VLOOKUP('Données projet'!$B$16,Paramètres!$A$1:$I$89,3,0)*0.475*44/12</f>
        <v>5.7591947439883917</v>
      </c>
      <c r="FT25" s="24">
        <f t="shared" si="24"/>
        <v>29.944699277629919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>
        <f>VLOOKUP(A25,'Données projet'!$A$243:$I$263,2,0)</f>
        <v>279</v>
      </c>
      <c r="FX25" s="13">
        <f>VLOOKUP(A25,'Données projet'!$A$243:$I$263,9,0)</f>
        <v>7</v>
      </c>
      <c r="FY25" s="13">
        <f t="array" ref="FY25">INDEX(FX:FX,MIN(IF(ISNUMBER(FX25:FX221),ROW(FX25:FX221),"")))</f>
        <v>7</v>
      </c>
      <c r="FZ25" s="13">
        <f>IF('Données projet'!$A$244&gt;35,FZ24+FY25-GH24,IF(A25&lt;'Données projet'!$A$244,$FW$205^A25,IF(A25='Données projet'!$A$244,'Données projet'!$B$244,FZ24+FY25-GH24)))</f>
        <v>279</v>
      </c>
      <c r="GA25" s="18">
        <f>FZ25*VLOOKUP('Données projet'!$B$17,Paramètres!$A$1:$I$89,3,0)*VLOOKUP('Données projet'!$B$17,Paramètres!$A$1:$I$89,5,0)</f>
        <v>141.453</v>
      </c>
      <c r="GB25" s="14">
        <f t="shared" si="49"/>
        <v>36.62966710408697</v>
      </c>
      <c r="GC25" s="22">
        <f t="shared" si="25"/>
        <v>310.16064520628476</v>
      </c>
      <c r="GD25" s="62">
        <f t="shared" si="26"/>
        <v>593.71620076184035</v>
      </c>
      <c r="GE25" s="62">
        <f ca="1">AVERAGE(OFFSET($GD$3,0,0,'Données projet'!$E$17+1,1))-AVERAGE(OFFSET($H$3,0,0,'Données projet'!$E$17+1,1))</f>
        <v>132.18258156780018</v>
      </c>
      <c r="GF25" s="62">
        <f t="shared" si="50"/>
        <v>315.58133946947294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9">
        <f t="shared" si="1"/>
        <v>303.83903031512267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3.887142857142857</v>
      </c>
      <c r="N26" s="14">
        <f>IF('Données projet'!$A$36&gt;35,N25+M26-V25,IF(A26&lt;'Données projet'!$A$36,$K$205^A26,IF(A26='Données projet'!$A$36,'Données projet'!$B$36,N25+M26-V25)))</f>
        <v>89.40428571428572</v>
      </c>
      <c r="O26" s="14">
        <f>N26*VLOOKUP('Données projet'!$B$9,Paramètres!$A$1:$I$89,3,0)*VLOOKUP('Données projet'!$B$9,Paramètres!$A$1:$I$89,5,0)</f>
        <v>80.892997714285713</v>
      </c>
      <c r="P26" s="14">
        <f t="shared" si="33"/>
        <v>22.355385450466887</v>
      </c>
      <c r="Q26" s="22">
        <f t="shared" si="2"/>
        <v>179.82426734527743</v>
      </c>
      <c r="R26" s="62">
        <f t="shared" si="0"/>
        <v>464.60204512305518</v>
      </c>
      <c r="S26" s="62">
        <f ca="1">AVERAGE(OFFSET($R$3,0,0,'Données projet'!$E$9+1,1))-AVERAGE(OFFSET($H$3,0,0,'Données projet'!$E$9+1,1))</f>
        <v>401.86262166363821</v>
      </c>
      <c r="T26" s="62">
        <f t="shared" si="34"/>
        <v>208.60314230781432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3.887142857142857</v>
      </c>
      <c r="AI26" s="14">
        <f>IF('Données projet'!$A$62&gt;35,AI25+AH26-AQ25,IF(A26&lt;'Données projet'!$A$62,$AF$205^A26,IF(A26='Données projet'!$A$62,'Données projet'!$B$62,AI25+AH26-AQ25)))</f>
        <v>89.40428571428572</v>
      </c>
      <c r="AJ26" s="14">
        <f>AI26*VLOOKUP('Données projet'!$B$10,Paramètres!$A$1:$I$89,3,0)*VLOOKUP('Données projet'!$B$10,Paramètres!$A$1:$I$89,5,0)</f>
        <v>96.234773142857151</v>
      </c>
      <c r="AK26" s="14">
        <f t="shared" si="35"/>
        <v>26.062990385411098</v>
      </c>
      <c r="AL26" s="22">
        <f t="shared" si="4"/>
        <v>213.00193814506721</v>
      </c>
      <c r="AM26" s="62">
        <f t="shared" si="5"/>
        <v>497.77971592284496</v>
      </c>
      <c r="AN26" s="62">
        <f ca="1">AVERAGE(OFFSET($AM$3,0,0,'Données projet'!$E$10+1,1))-AVERAGE(OFFSET($H$3,0,0,'Données projet'!$E$10+1,1))</f>
        <v>407.22515465568205</v>
      </c>
      <c r="AO26" s="62">
        <f t="shared" si="36"/>
        <v>251.6218558398258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3.887142857142857</v>
      </c>
      <c r="BD26" s="13">
        <f>IF('Données projet'!$A$88&gt;35,BD25+BC26-BL25,IF(A26&lt;'Données projet'!$A$88,$BA$205^A26,IF(A26='Données projet'!$A$88,'Données projet'!$B$88,BD25+BC26-BL25)))</f>
        <v>89.40428571428572</v>
      </c>
      <c r="BE26" s="14">
        <f>BD26*VLOOKUP('Données projet'!$B$11,Paramètres!$A$1:$I$89,3,0)*VLOOKUP('Données projet'!$B$11,Paramètres!$A$1:$I$89,5,0)</f>
        <v>86.471825142857142</v>
      </c>
      <c r="BF26" s="14">
        <f t="shared" si="37"/>
        <v>23.71234385445489</v>
      </c>
      <c r="BG26" s="22">
        <f t="shared" si="7"/>
        <v>191.90409433698508</v>
      </c>
      <c r="BH26" s="62">
        <f t="shared" si="8"/>
        <v>476.68187211476288</v>
      </c>
      <c r="BI26" s="62">
        <f ca="1">AVERAGE(OFFSET($BH$3,0,0,'Données projet'!$E$11+1,1))-AVERAGE(OFFSET($H$3,0,0,'Données projet'!$E$11+1,1))</f>
        <v>357.76044008074308</v>
      </c>
      <c r="BJ26" s="62">
        <f t="shared" si="38"/>
        <v>224.26555772810445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3.887142857142857</v>
      </c>
      <c r="BY26" s="13">
        <f>IF('Données projet'!$A$114&gt;35,BY25+BX26-CG25,IF(A26&lt;'Données projet'!$A$114,$BV$205^A26,IF(A26='Données projet'!$A$114,'Données projet'!$B$114,BY25+BX26-CG25)))</f>
        <v>89.40428571428572</v>
      </c>
      <c r="BZ26" s="14">
        <f>BY26*VLOOKUP('Données projet'!$B$12,Paramètres!$A$1:$I$89,3,0)*VLOOKUP('Données projet'!$B$12,Paramètres!$A$1:$I$89,5,0)</f>
        <v>59.972394857142866</v>
      </c>
      <c r="CA26" s="14">
        <f t="shared" si="39"/>
        <v>17.161289379351366</v>
      </c>
      <c r="CB26" s="22">
        <f t="shared" si="10"/>
        <v>134.34116671189412</v>
      </c>
      <c r="CC26" s="62">
        <f t="shared" si="11"/>
        <v>419.11894448967189</v>
      </c>
      <c r="CD26" s="62">
        <f ca="1">AVERAGE(OFFSET($CC$3,0,0,'Données projet'!$E$12+1,1))-AVERAGE(OFFSET($H$3,0,0,'Données projet'!$E$12+1,1))</f>
        <v>222.86701323374945</v>
      </c>
      <c r="CE26" s="62">
        <f t="shared" si="40"/>
        <v>149.63671045240511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9.6</v>
      </c>
      <c r="CT26" s="13">
        <f>IF('Données projet'!$A$140&gt;35,CT25+CS26-DB25,IF(A26&lt;'Données projet'!$A$140,$CQ$205^A26,IF(A26='Données projet'!$A$140,'Données projet'!$B$140,CT25+CS26-DB25)))</f>
        <v>118.79999999999998</v>
      </c>
      <c r="CU26" s="18">
        <f>CT26*VLOOKUP('Données projet'!$B$13,Paramètres!$A$1:$I$89,3,0)*VLOOKUP('Données projet'!$B$13,Paramètres!$A$1:$I$89,5,0)</f>
        <v>77.837759999999989</v>
      </c>
      <c r="CV26" s="14">
        <f t="shared" si="41"/>
        <v>21.607665094033621</v>
      </c>
      <c r="CW26" s="22">
        <f t="shared" si="13"/>
        <v>173.2007820387752</v>
      </c>
      <c r="CX26" s="62">
        <f t="shared" si="14"/>
        <v>457.978559816553</v>
      </c>
      <c r="CY26" s="62">
        <f ca="1">AVERAGE(OFFSET($CX$3,0,0,'Données projet'!$E$13+1,1))-AVERAGE(OFFSET($H$3,0,0,'Données projet'!$E$13+1,1))</f>
        <v>173.15672762188746</v>
      </c>
      <c r="CZ26" s="62">
        <f t="shared" si="42"/>
        <v>208.54841796921414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15.766000000000002</v>
      </c>
      <c r="EJ26" s="13">
        <f>IF('Données projet'!$A$192&gt;35,EJ25+EI26-ER25,IF(A26&lt;'Données projet'!$A$192,$EG$205^A26,IF(A26='Données projet'!$A$192,'Données projet'!$B$192,EJ25+EI26-ER25)))</f>
        <v>92.425999999999988</v>
      </c>
      <c r="EK26" s="18">
        <f>EJ26*VLOOKUP('Données projet'!$B$15,Paramètres!$A$1:$I$89,3,0)*VLOOKUP('Données projet'!$B$15,Paramètres!$A$1:$I$89,5,0)</f>
        <v>55.27074799999999</v>
      </c>
      <c r="EL26" s="14">
        <f t="shared" si="45"/>
        <v>15.966912640281619</v>
      </c>
      <c r="EM26" s="22">
        <f t="shared" si="19"/>
        <v>124.07225894849046</v>
      </c>
      <c r="EN26" s="62">
        <f t="shared" si="20"/>
        <v>408.85003672626823</v>
      </c>
      <c r="EO26" s="62">
        <f ca="1">AVERAGE(OFFSET($EN$3,0,0,'Données projet'!$E$15+1,1))-AVERAGE(OFFSET($H$3,0,0,'Données projet'!$E$15+1,1))</f>
        <v>269.18638759204373</v>
      </c>
      <c r="EP26" s="62">
        <f t="shared" si="46"/>
        <v>197.07126167823969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5.5027098235873133</v>
      </c>
      <c r="EW26" s="23">
        <f>EXP(-LN(2)/25)*EW25+(1-EXP(-LN(2)/25))/(LN(2)/25)*Calculateur!ER26*Calculateur!ET26*VLOOKUP('Données projet'!$B$15,Paramètres!$A$1:$I$89,3,0)*0.475*44/12</f>
        <v>7.0691347957691129</v>
      </c>
      <c r="EX26" s="23">
        <f>EXP(-LN(2)/2)*EX25+(1-EXP(-LN(2)/2))/(LN(2)/2)*ER26*EU26*VLOOKUP('Données projet'!$B$15,Paramètres!$A$1:$I$89,3,0)*0.475*44/12</f>
        <v>7.7785308574638954</v>
      </c>
      <c r="EY26" s="24">
        <f t="shared" si="21"/>
        <v>20.350375476820322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24.2</v>
      </c>
      <c r="FE26" s="13">
        <f>IF('Données projet'!$A$218&gt;35,FE25+FD26-FM25,IF(A26&lt;'Données projet'!$A$218,$FB$205^A26,IF(A26='Données projet'!$A$218,'Données projet'!$B$218,FE25+FD26-FM25)))</f>
        <v>224.79999999999995</v>
      </c>
      <c r="FF26" s="18">
        <f>FE26*VLOOKUP('Données projet'!$B$16,Paramètres!$A$1:$I$89,3,0)*VLOOKUP('Données projet'!$B$16,Paramètres!$A$1:$I$89,5,0)</f>
        <v>134.43039999999999</v>
      </c>
      <c r="FG26" s="14">
        <f t="shared" si="47"/>
        <v>35.018089455699787</v>
      </c>
      <c r="FH26" s="22">
        <f t="shared" si="22"/>
        <v>295.12278580201041</v>
      </c>
      <c r="FI26" s="62">
        <f t="shared" si="23"/>
        <v>579.90056357978824</v>
      </c>
      <c r="FJ26" s="62">
        <f ca="1">AVERAGE(OFFSET($FI$3,0,0,'Données projet'!$E$16+1,1))-AVERAGE(OFFSET($H$3,0,0,'Données projet'!$E$16+1,1))</f>
        <v>330.48891719033065</v>
      </c>
      <c r="FK26" s="62">
        <f t="shared" si="48"/>
        <v>419.35494198427284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11.956739679685114</v>
      </c>
      <c r="FR26" s="23">
        <f>EXP(-LN(2)/25)*FR25+(1-EXP(-LN(2)/25))/(LN(2)/25)*Calculateur!FM26*Calculateur!FO26*VLOOKUP('Données projet'!$B$16,Paramètres!$A$1:$I$89,3,0)*0.475*44/12</f>
        <v>11.661754278637153</v>
      </c>
      <c r="FS26" s="23">
        <f>EXP(-LN(2)/2)*FS25+(1-EXP(-LN(2)/2))/(LN(2)/2)*FM26*FP26*VLOOKUP('Données projet'!$B$16,Paramètres!$A$1:$I$89,3,0)*0.475*44/12</f>
        <v>4.0723656576481142</v>
      </c>
      <c r="FT26" s="24">
        <f t="shared" si="24"/>
        <v>27.690859615970382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>
        <f>VLOOKUP(A26,'Données projet'!$A$243:$I$263,2,0)</f>
        <v>290</v>
      </c>
      <c r="FX26" s="13">
        <f>VLOOKUP(A26,'Données projet'!$A$243:$I$263,9,0)</f>
        <v>11</v>
      </c>
      <c r="FY26" s="13">
        <f t="array" ref="FY26">INDEX(FX:FX,MIN(IF(ISNUMBER(FX26:FX222),ROW(FX26:FX222),"")))</f>
        <v>11</v>
      </c>
      <c r="FZ26" s="13">
        <f>IF('Données projet'!$A$244&gt;35,FZ25+FY26-GH25,IF(A26&lt;'Données projet'!$A$244,$FW$205^A26,IF(A26='Données projet'!$A$244,'Données projet'!$B$244,FZ25+FY26-GH25)))</f>
        <v>290</v>
      </c>
      <c r="GA26" s="18">
        <f>FZ26*VLOOKUP('Données projet'!$B$17,Paramètres!$A$1:$I$89,3,0)*VLOOKUP('Données projet'!$B$17,Paramètres!$A$1:$I$89,5,0)</f>
        <v>147.03</v>
      </c>
      <c r="GB26" s="14">
        <f t="shared" si="49"/>
        <v>37.90285889427615</v>
      </c>
      <c r="GC26" s="22">
        <f t="shared" si="25"/>
        <v>322.09139590753097</v>
      </c>
      <c r="GD26" s="62">
        <f t="shared" si="26"/>
        <v>606.86917368530874</v>
      </c>
      <c r="GE26" s="62">
        <f ca="1">AVERAGE(OFFSET($GD$3,0,0,'Données projet'!$E$17+1,1))-AVERAGE(OFFSET($H$3,0,0,'Données projet'!$E$17+1,1))</f>
        <v>132.18258156780018</v>
      </c>
      <c r="GF26" s="62">
        <f t="shared" si="50"/>
        <v>315.58133946947294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9">
        <f t="shared" si="1"/>
        <v>305.83043169862646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3.887142857142857</v>
      </c>
      <c r="N27" s="14">
        <f>IF('Données projet'!$A$36&gt;35,N26+M27-V26,IF(A27&lt;'Données projet'!$A$36,$K$205^A27,IF(A27='Données projet'!$A$36,'Données projet'!$B$36,N26+M27-V26)))</f>
        <v>93.291428571428582</v>
      </c>
      <c r="O27" s="14">
        <f>N27*VLOOKUP('Données projet'!$B$9,Paramètres!$A$1:$I$89,3,0)*VLOOKUP('Données projet'!$B$9,Paramètres!$A$1:$I$89,5,0)</f>
        <v>84.410084571428584</v>
      </c>
      <c r="P27" s="14">
        <f t="shared" si="33"/>
        <v>23.212082188219242</v>
      </c>
      <c r="Q27" s="22">
        <f t="shared" si="2"/>
        <v>187.44194043971996</v>
      </c>
      <c r="R27" s="62">
        <f t="shared" si="0"/>
        <v>473.44194043971993</v>
      </c>
      <c r="S27" s="62">
        <f ca="1">AVERAGE(OFFSET($R$3,0,0,'Données projet'!$E$9+1,1))-AVERAGE(OFFSET($H$3,0,0,'Données projet'!$E$9+1,1))</f>
        <v>401.86262166363821</v>
      </c>
      <c r="T27" s="62">
        <f t="shared" si="34"/>
        <v>208.60314230781432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3.887142857142857</v>
      </c>
      <c r="AI27" s="14">
        <f>IF('Données projet'!$A$62&gt;35,AI26+AH27-AQ26,IF(A27&lt;'Données projet'!$A$62,$AF$205^A27,IF(A27='Données projet'!$A$62,'Données projet'!$B$62,AI26+AH27-AQ26)))</f>
        <v>93.291428571428582</v>
      </c>
      <c r="AJ27" s="14">
        <f>AI27*VLOOKUP('Données projet'!$B$10,Paramètres!$A$1:$I$89,3,0)*VLOOKUP('Données projet'!$B$10,Paramètres!$A$1:$I$89,5,0)</f>
        <v>100.41889371428572</v>
      </c>
      <c r="AK27" s="14">
        <f t="shared" si="35"/>
        <v>27.06176890742432</v>
      </c>
      <c r="AL27" s="22">
        <f t="shared" si="4"/>
        <v>222.02882073281162</v>
      </c>
      <c r="AM27" s="62">
        <f t="shared" si="5"/>
        <v>508.0288207328116</v>
      </c>
      <c r="AN27" s="62">
        <f ca="1">AVERAGE(OFFSET($AM$3,0,0,'Données projet'!$E$10+1,1))-AVERAGE(OFFSET($H$3,0,0,'Données projet'!$E$10+1,1))</f>
        <v>407.22515465568205</v>
      </c>
      <c r="AO27" s="62">
        <f t="shared" si="36"/>
        <v>251.6218558398258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3.887142857142857</v>
      </c>
      <c r="BD27" s="13">
        <f>IF('Données projet'!$A$88&gt;35,BD26+BC27-BL26,IF(A27&lt;'Données projet'!$A$88,$BA$205^A27,IF(A27='Données projet'!$A$88,'Données projet'!$B$88,BD26+BC27-BL26)))</f>
        <v>93.291428571428582</v>
      </c>
      <c r="BE27" s="14">
        <f>BD27*VLOOKUP('Données projet'!$B$11,Paramètres!$A$1:$I$89,3,0)*VLOOKUP('Données projet'!$B$11,Paramètres!$A$1:$I$89,5,0)</f>
        <v>90.231469714285723</v>
      </c>
      <c r="BF27" s="14">
        <f t="shared" si="37"/>
        <v>24.621041567119438</v>
      </c>
      <c r="BG27" s="22">
        <f t="shared" si="7"/>
        <v>200.03479048178065</v>
      </c>
      <c r="BH27" s="62">
        <f t="shared" si="8"/>
        <v>486.03479048178065</v>
      </c>
      <c r="BI27" s="62">
        <f ca="1">AVERAGE(OFFSET($BH$3,0,0,'Données projet'!$E$11+1,1))-AVERAGE(OFFSET($H$3,0,0,'Données projet'!$E$11+1,1))</f>
        <v>357.76044008074308</v>
      </c>
      <c r="BJ27" s="62">
        <f t="shared" si="38"/>
        <v>224.26555772810445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3.887142857142857</v>
      </c>
      <c r="BY27" s="13">
        <f>IF('Données projet'!$A$114&gt;35,BY26+BX27-CG26,IF(A27&lt;'Données projet'!$A$114,$BV$205^A27,IF(A27='Données projet'!$A$114,'Données projet'!$B$114,BY26+BX27-CG26)))</f>
        <v>93.291428571428582</v>
      </c>
      <c r="BZ27" s="14">
        <f>BY27*VLOOKUP('Données projet'!$B$12,Paramètres!$A$1:$I$89,3,0)*VLOOKUP('Données projet'!$B$12,Paramètres!$A$1:$I$89,5,0)</f>
        <v>62.579890285714299</v>
      </c>
      <c r="CA27" s="14">
        <f t="shared" si="39"/>
        <v>17.818939441323689</v>
      </c>
      <c r="CB27" s="22">
        <f t="shared" si="10"/>
        <v>140.02796177459118</v>
      </c>
      <c r="CC27" s="62">
        <f t="shared" si="11"/>
        <v>426.02796177459118</v>
      </c>
      <c r="CD27" s="62">
        <f ca="1">AVERAGE(OFFSET($CC$3,0,0,'Données projet'!$E$12+1,1))-AVERAGE(OFFSET($H$3,0,0,'Données projet'!$E$12+1,1))</f>
        <v>222.86701323374945</v>
      </c>
      <c r="CE27" s="62">
        <f t="shared" si="40"/>
        <v>149.63671045240511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9.6</v>
      </c>
      <c r="CT27" s="13">
        <f>IF('Données projet'!$A$140&gt;35,CT26+CS27-DB26,IF(A27&lt;'Données projet'!$A$140,$CQ$205^A27,IF(A27='Données projet'!$A$140,'Données projet'!$B$140,CT26+CS27-DB26)))</f>
        <v>128.39999999999998</v>
      </c>
      <c r="CU27" s="18">
        <f>CT27*VLOOKUP('Données projet'!$B$13,Paramètres!$A$1:$I$89,3,0)*VLOOKUP('Données projet'!$B$13,Paramètres!$A$1:$I$89,5,0)</f>
        <v>84.127679999999984</v>
      </c>
      <c r="CV27" s="14">
        <f t="shared" si="41"/>
        <v>23.143449366413215</v>
      </c>
      <c r="CW27" s="22">
        <f t="shared" si="13"/>
        <v>186.83055031316962</v>
      </c>
      <c r="CX27" s="62">
        <f t="shared" si="14"/>
        <v>472.83055031316962</v>
      </c>
      <c r="CY27" s="62">
        <f ca="1">AVERAGE(OFFSET($CX$3,0,0,'Données projet'!$E$13+1,1))-AVERAGE(OFFSET($H$3,0,0,'Données projet'!$E$13+1,1))</f>
        <v>173.15672762188746</v>
      </c>
      <c r="CZ27" s="62">
        <f t="shared" si="42"/>
        <v>208.54841796921414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15.766000000000002</v>
      </c>
      <c r="EJ27" s="13">
        <f>IF('Données projet'!$A$192&gt;35,EJ26+EI27-ER26,IF(A27&lt;'Données projet'!$A$192,$EG$205^A27,IF(A27='Données projet'!$A$192,'Données projet'!$B$192,EJ26+EI27-ER26)))</f>
        <v>108.19199999999999</v>
      </c>
      <c r="EK27" s="18">
        <f>EJ27*VLOOKUP('Données projet'!$B$15,Paramètres!$A$1:$I$89,3,0)*VLOOKUP('Données projet'!$B$15,Paramètres!$A$1:$I$89,5,0)</f>
        <v>64.698815999999994</v>
      </c>
      <c r="EL27" s="14">
        <f t="shared" si="45"/>
        <v>18.351013925322782</v>
      </c>
      <c r="EM27" s="22">
        <f t="shared" si="19"/>
        <v>144.64512045327049</v>
      </c>
      <c r="EN27" s="62">
        <f t="shared" si="20"/>
        <v>430.64512045327047</v>
      </c>
      <c r="EO27" s="62">
        <f ca="1">AVERAGE(OFFSET($EN$3,0,0,'Données projet'!$E$15+1,1))-AVERAGE(OFFSET($H$3,0,0,'Données projet'!$E$15+1,1))</f>
        <v>269.18638759204373</v>
      </c>
      <c r="EP27" s="62">
        <f t="shared" si="46"/>
        <v>197.07126167823969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5.3948050402683494</v>
      </c>
      <c r="EW27" s="23">
        <f>EXP(-LN(2)/25)*EW26+(1-EXP(-LN(2)/25))/(LN(2)/25)*Calculateur!ER27*Calculateur!ET27*VLOOKUP('Données projet'!$B$15,Paramètres!$A$1:$I$89,3,0)*0.475*44/12</f>
        <v>6.8758289330291644</v>
      </c>
      <c r="EX27" s="23">
        <f>EXP(-LN(2)/2)*EX26+(1-EXP(-LN(2)/2))/(LN(2)/2)*ER27*EU27*VLOOKUP('Données projet'!$B$15,Paramètres!$A$1:$I$89,3,0)*0.475*44/12</f>
        <v>5.5002519169815312</v>
      </c>
      <c r="EY27" s="24">
        <f t="shared" si="21"/>
        <v>17.770885890279047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24.2</v>
      </c>
      <c r="FE27" s="13">
        <f>IF('Données projet'!$A$218&gt;35,FE26+FD27-FM26,IF(A27&lt;'Données projet'!$A$218,$FB$205^A27,IF(A27='Données projet'!$A$218,'Données projet'!$B$218,FE26+FD27-FM26)))</f>
        <v>248.99999999999994</v>
      </c>
      <c r="FF27" s="18">
        <f>FE27*VLOOKUP('Données projet'!$B$16,Paramètres!$A$1:$I$89,3,0)*VLOOKUP('Données projet'!$B$16,Paramètres!$A$1:$I$89,5,0)</f>
        <v>148.90199999999999</v>
      </c>
      <c r="FG27" s="14">
        <f t="shared" si="47"/>
        <v>38.328954586731257</v>
      </c>
      <c r="FH27" s="22">
        <f t="shared" si="22"/>
        <v>326.09391257189026</v>
      </c>
      <c r="FI27" s="62">
        <f t="shared" si="23"/>
        <v>612.09391257189031</v>
      </c>
      <c r="FJ27" s="62">
        <f ca="1">AVERAGE(OFFSET($FI$3,0,0,'Données projet'!$E$16+1,1))-AVERAGE(OFFSET($H$3,0,0,'Données projet'!$E$16+1,1))</f>
        <v>330.48891719033065</v>
      </c>
      <c r="FK27" s="62">
        <f t="shared" si="48"/>
        <v>419.35494198427284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11.722275307457581</v>
      </c>
      <c r="FR27" s="23">
        <f>EXP(-LN(2)/25)*FR26+(1-EXP(-LN(2)/25))/(LN(2)/25)*Calculateur!FM27*Calculateur!FO27*VLOOKUP('Données projet'!$B$16,Paramètres!$A$1:$I$89,3,0)*0.475*44/12</f>
        <v>11.342862994622816</v>
      </c>
      <c r="FS27" s="23">
        <f>EXP(-LN(2)/2)*FS26+(1-EXP(-LN(2)/2))/(LN(2)/2)*FM27*FP27*VLOOKUP('Données projet'!$B$16,Paramètres!$A$1:$I$89,3,0)*0.475*44/12</f>
        <v>2.8795973719941959</v>
      </c>
      <c r="FT27" s="24">
        <f t="shared" si="24"/>
        <v>25.944735674074593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>
        <f>VLOOKUP(A27,'Données projet'!$A$243:$I$263,2,0)</f>
        <v>298</v>
      </c>
      <c r="FX27" s="13">
        <f>VLOOKUP(A27,'Données projet'!$A$243:$I$263,9,0)</f>
        <v>8</v>
      </c>
      <c r="FY27" s="13">
        <f t="array" ref="FY27">INDEX(FX:FX,MIN(IF(ISNUMBER(FX27:FX223),ROW(FX27:FX223),"")))</f>
        <v>8</v>
      </c>
      <c r="FZ27" s="13">
        <f>IF('Données projet'!$A$244&gt;35,FZ26+FY27-GH26,IF(A27&lt;'Données projet'!$A$244,$FW$205^A27,IF(A27='Données projet'!$A$244,'Données projet'!$B$244,FZ26+FY27-GH26)))</f>
        <v>298</v>
      </c>
      <c r="GA27" s="18">
        <f>FZ27*VLOOKUP('Données projet'!$B$17,Paramètres!$A$1:$I$89,3,0)*VLOOKUP('Données projet'!$B$17,Paramètres!$A$1:$I$89,5,0)</f>
        <v>151.08600000000001</v>
      </c>
      <c r="GB27" s="14">
        <f t="shared" si="49"/>
        <v>38.825279304404233</v>
      </c>
      <c r="GC27" s="22">
        <f t="shared" si="25"/>
        <v>330.76214478850403</v>
      </c>
      <c r="GD27" s="62">
        <f t="shared" si="26"/>
        <v>616.76214478850397</v>
      </c>
      <c r="GE27" s="62">
        <f ca="1">AVERAGE(OFFSET($GD$3,0,0,'Données projet'!$E$17+1,1))-AVERAGE(OFFSET($H$3,0,0,'Données projet'!$E$17+1,1))</f>
        <v>132.18258156780018</v>
      </c>
      <c r="GF27" s="62">
        <f t="shared" si="50"/>
        <v>315.58133946947294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9">
        <f t="shared" si="1"/>
        <v>307.81969047561677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3.887142857142857</v>
      </c>
      <c r="N28" s="14">
        <f>IF('Données projet'!$A$36&gt;35,N27+M28-V27,IF(A28&lt;'Données projet'!$A$36,$K$205^A28,IF(A28='Données projet'!$A$36,'Données projet'!$B$36,N27+M28-V27)))</f>
        <v>97.178571428571445</v>
      </c>
      <c r="O28" s="14">
        <f>N28*VLOOKUP('Données projet'!$B$9,Paramètres!$A$1:$I$89,3,0)*VLOOKUP('Données projet'!$B$9,Paramètres!$A$1:$I$89,5,0)</f>
        <v>87.927171428571441</v>
      </c>
      <c r="P28" s="14">
        <f t="shared" si="33"/>
        <v>24.06463273936156</v>
      </c>
      <c r="Q28" s="22">
        <f t="shared" si="2"/>
        <v>195.05239225914997</v>
      </c>
      <c r="R28" s="62">
        <f t="shared" si="0"/>
        <v>482.27461448137217</v>
      </c>
      <c r="S28" s="62">
        <f ca="1">AVERAGE(OFFSET($R$3,0,0,'Données projet'!$E$9+1,1))-AVERAGE(OFFSET($H$3,0,0,'Données projet'!$E$9+1,1))</f>
        <v>401.86262166363821</v>
      </c>
      <c r="T28" s="62">
        <f t="shared" si="34"/>
        <v>208.60314230781432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3.887142857142857</v>
      </c>
      <c r="AI28" s="14">
        <f>IF('Données projet'!$A$62&gt;35,AI27+AH28-AQ27,IF(A28&lt;'Données projet'!$A$62,$AF$205^A28,IF(A28='Données projet'!$A$62,'Données projet'!$B$62,AI27+AH28-AQ27)))</f>
        <v>97.178571428571445</v>
      </c>
      <c r="AJ28" s="14">
        <f>AI28*VLOOKUP('Données projet'!$B$10,Paramètres!$A$1:$I$89,3,0)*VLOOKUP('Données projet'!$B$10,Paramètres!$A$1:$I$89,5,0)</f>
        <v>104.60301428571429</v>
      </c>
      <c r="AK28" s="14">
        <f t="shared" si="35"/>
        <v>28.055713604407149</v>
      </c>
      <c r="AL28" s="22">
        <f t="shared" si="4"/>
        <v>231.04728440862814</v>
      </c>
      <c r="AM28" s="62">
        <f t="shared" si="5"/>
        <v>518.2695066308504</v>
      </c>
      <c r="AN28" s="62">
        <f ca="1">AVERAGE(OFFSET($AM$3,0,0,'Données projet'!$E$10+1,1))-AVERAGE(OFFSET($H$3,0,0,'Données projet'!$E$10+1,1))</f>
        <v>407.22515465568205</v>
      </c>
      <c r="AO28" s="62">
        <f t="shared" si="36"/>
        <v>251.6218558398258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3.887142857142857</v>
      </c>
      <c r="BD28" s="13">
        <f>IF('Données projet'!$A$88&gt;35,BD27+BC28-BL27,IF(A28&lt;'Données projet'!$A$88,$BA$205^A28,IF(A28='Données projet'!$A$88,'Données projet'!$B$88,BD27+BC28-BL27)))</f>
        <v>97.178571428571445</v>
      </c>
      <c r="BE28" s="14">
        <f>BD28*VLOOKUP('Données projet'!$B$11,Paramètres!$A$1:$I$89,3,0)*VLOOKUP('Données projet'!$B$11,Paramètres!$A$1:$I$89,5,0)</f>
        <v>93.991114285714303</v>
      </c>
      <c r="BF28" s="14">
        <f t="shared" si="37"/>
        <v>25.525341422149168</v>
      </c>
      <c r="BG28" s="22">
        <f t="shared" si="7"/>
        <v>208.15782702452887</v>
      </c>
      <c r="BH28" s="62">
        <f t="shared" si="8"/>
        <v>495.38004924675113</v>
      </c>
      <c r="BI28" s="62">
        <f ca="1">AVERAGE(OFFSET($BH$3,0,0,'Données projet'!$E$11+1,1))-AVERAGE(OFFSET($H$3,0,0,'Données projet'!$E$11+1,1))</f>
        <v>357.76044008074308</v>
      </c>
      <c r="BJ28" s="62">
        <f t="shared" si="38"/>
        <v>224.26555772810445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3.887142857142857</v>
      </c>
      <c r="BY28" s="13">
        <f>IF('Données projet'!$A$114&gt;35,BY27+BX28-CG27,IF(A28&lt;'Données projet'!$A$114,$BV$205^A28,IF(A28='Données projet'!$A$114,'Données projet'!$B$114,BY27+BX28-CG27)))</f>
        <v>97.178571428571445</v>
      </c>
      <c r="BZ28" s="14">
        <f>BY28*VLOOKUP('Données projet'!$B$12,Paramètres!$A$1:$I$89,3,0)*VLOOKUP('Données projet'!$B$12,Paramètres!$A$1:$I$89,5,0)</f>
        <v>65.187385714285725</v>
      </c>
      <c r="CA28" s="14">
        <f t="shared" si="39"/>
        <v>18.473406650180198</v>
      </c>
      <c r="CB28" s="22">
        <f t="shared" si="10"/>
        <v>145.70921336811145</v>
      </c>
      <c r="CC28" s="62">
        <f t="shared" si="11"/>
        <v>432.93143559033365</v>
      </c>
      <c r="CD28" s="62">
        <f ca="1">AVERAGE(OFFSET($CC$3,0,0,'Données projet'!$E$12+1,1))-AVERAGE(OFFSET($H$3,0,0,'Données projet'!$E$12+1,1))</f>
        <v>222.86701323374945</v>
      </c>
      <c r="CE28" s="62">
        <f t="shared" si="40"/>
        <v>149.63671045240511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138</v>
      </c>
      <c r="CR28" s="13">
        <f>VLOOKUP(A28,'Données projet'!$A$139:$I$159,9,0)</f>
        <v>9.6</v>
      </c>
      <c r="CS28" s="13">
        <f t="array" ref="CS28">INDEX(CR:CR,MIN(IF(ISNUMBER(CR28:CR224),ROW(CR28:CR224),"")))</f>
        <v>9.6</v>
      </c>
      <c r="CT28" s="13">
        <f>IF('Données projet'!$A$140&gt;35,CT27+CS28-DB27,IF(A28&lt;'Données projet'!$A$140,$CQ$205^A28,IF(A28='Données projet'!$A$140,'Données projet'!$B$140,CT27+CS28-DB27)))</f>
        <v>137.99999999999997</v>
      </c>
      <c r="CU28" s="18">
        <f>CT28*VLOOKUP('Données projet'!$B$13,Paramètres!$A$1:$I$89,3,0)*VLOOKUP('Données projet'!$B$13,Paramètres!$A$1:$I$89,5,0)</f>
        <v>90.417599999999979</v>
      </c>
      <c r="CV28" s="14">
        <f t="shared" si="41"/>
        <v>24.665912907068826</v>
      </c>
      <c r="CW28" s="22">
        <f t="shared" si="13"/>
        <v>200.43711831314485</v>
      </c>
      <c r="CX28" s="62">
        <f t="shared" si="14"/>
        <v>487.65934053536705</v>
      </c>
      <c r="CY28" s="62">
        <f ca="1">AVERAGE(OFFSET($CX$3,0,0,'Données projet'!$E$13+1,1))-AVERAGE(OFFSET($H$3,0,0,'Données projet'!$E$13+1,1))</f>
        <v>173.15672762188746</v>
      </c>
      <c r="CZ28" s="62">
        <f t="shared" si="42"/>
        <v>208.54841796921414</v>
      </c>
      <c r="DA28" s="16">
        <f>IF(ISNA(VLOOKUP(A28,'Données projet'!$A$139:$I$159,3,0)),0,VLOOKUP(A28,'Données projet'!$A$139:$I$159,3,0))</f>
        <v>4</v>
      </c>
      <c r="DB28" s="16">
        <f>IF(ISNA(VLOOKUP(A28,'Données projet'!$A$139:$I$159,4,0)),0,VLOOKUP(A28,'Données projet'!$A$139:$I$159,4,0))</f>
        <v>21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15.766000000000002</v>
      </c>
      <c r="EJ28" s="13">
        <f>IF('Données projet'!$A$192&gt;35,EJ27+EI28-ER27,IF(A28&lt;'Données projet'!$A$192,$EG$205^A28,IF(A28='Données projet'!$A$192,'Données projet'!$B$192,EJ27+EI28-ER27)))</f>
        <v>123.958</v>
      </c>
      <c r="EK28" s="18">
        <f>EJ28*VLOOKUP('Données projet'!$B$15,Paramètres!$A$1:$I$89,3,0)*VLOOKUP('Données projet'!$B$15,Paramètres!$A$1:$I$89,5,0)</f>
        <v>74.126884000000004</v>
      </c>
      <c r="EL28" s="14">
        <f t="shared" si="45"/>
        <v>20.694866668390631</v>
      </c>
      <c r="EM28" s="22">
        <f t="shared" si="19"/>
        <v>165.1478824141137</v>
      </c>
      <c r="EN28" s="62">
        <f t="shared" si="20"/>
        <v>452.3701046363359</v>
      </c>
      <c r="EO28" s="62">
        <f ca="1">AVERAGE(OFFSET($EN$3,0,0,'Données projet'!$E$15+1,1))-AVERAGE(OFFSET($H$3,0,0,'Données projet'!$E$15+1,1))</f>
        <v>269.18638759204373</v>
      </c>
      <c r="EP28" s="62">
        <f t="shared" si="46"/>
        <v>197.07126167823969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5.2890162039348514</v>
      </c>
      <c r="EW28" s="23">
        <f>EXP(-LN(2)/25)*EW27+(1-EXP(-LN(2)/25))/(LN(2)/25)*Calculateur!ER28*Calculateur!ET28*VLOOKUP('Données projet'!$B$15,Paramètres!$A$1:$I$89,3,0)*0.475*44/12</f>
        <v>6.687809029271353</v>
      </c>
      <c r="EX28" s="23">
        <f>EXP(-LN(2)/2)*EX27+(1-EXP(-LN(2)/2))/(LN(2)/2)*ER28*EU28*VLOOKUP('Données projet'!$B$15,Paramètres!$A$1:$I$89,3,0)*0.475*44/12</f>
        <v>3.8892654287319486</v>
      </c>
      <c r="EY28" s="24">
        <f t="shared" si="21"/>
        <v>15.866090661938152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24.2</v>
      </c>
      <c r="FE28" s="13">
        <f>IF('Données projet'!$A$218&gt;35,FE27+FD28-FM27,IF(A28&lt;'Données projet'!$A$218,$FB$205^A28,IF(A28='Données projet'!$A$218,'Données projet'!$B$218,FE27+FD28-FM27)))</f>
        <v>273.19999999999993</v>
      </c>
      <c r="FF28" s="18">
        <f>FE28*VLOOKUP('Données projet'!$B$16,Paramètres!$A$1:$I$89,3,0)*VLOOKUP('Données projet'!$B$16,Paramètres!$A$1:$I$89,5,0)</f>
        <v>163.37359999999995</v>
      </c>
      <c r="FG28" s="14">
        <f t="shared" si="47"/>
        <v>41.602513782891641</v>
      </c>
      <c r="FH28" s="22">
        <f t="shared" si="22"/>
        <v>357.00006483853622</v>
      </c>
      <c r="FI28" s="62">
        <f t="shared" si="23"/>
        <v>644.22228706075839</v>
      </c>
      <c r="FJ28" s="62">
        <f ca="1">AVERAGE(OFFSET($FI$3,0,0,'Données projet'!$E$16+1,1))-AVERAGE(OFFSET($H$3,0,0,'Données projet'!$E$16+1,1))</f>
        <v>330.48891719033065</v>
      </c>
      <c r="FK28" s="62">
        <f t="shared" si="48"/>
        <v>419.35494198427284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11.492408638560283</v>
      </c>
      <c r="FR28" s="23">
        <f>EXP(-LN(2)/25)*FR27+(1-EXP(-LN(2)/25))/(LN(2)/25)*Calculateur!FM28*Calculateur!FO28*VLOOKUP('Données projet'!$B$16,Paramètres!$A$1:$I$89,3,0)*0.475*44/12</f>
        <v>11.032691809539616</v>
      </c>
      <c r="FS28" s="23">
        <f>EXP(-LN(2)/2)*FS27+(1-EXP(-LN(2)/2))/(LN(2)/2)*FM28*FP28*VLOOKUP('Données projet'!$B$16,Paramètres!$A$1:$I$89,3,0)*0.475*44/12</f>
        <v>2.0361828288240571</v>
      </c>
      <c r="FT28" s="24">
        <f t="shared" si="24"/>
        <v>24.561283276923955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303</v>
      </c>
      <c r="FX28" s="13">
        <f>VLOOKUP(A28,'Données projet'!$A$243:$I$263,9,0)</f>
        <v>5</v>
      </c>
      <c r="FY28" s="13">
        <f t="array" ref="FY28">INDEX(FX:FX,MIN(IF(ISNUMBER(FX28:FX224),ROW(FX28:FX224),"")))</f>
        <v>5</v>
      </c>
      <c r="FZ28" s="13">
        <f>IF('Données projet'!$A$244&gt;35,FZ27+FY28-GH27,IF(A28&lt;'Données projet'!$A$244,$FW$205^A28,IF(A28='Données projet'!$A$244,'Données projet'!$B$244,FZ27+FY28-GH27)))</f>
        <v>303</v>
      </c>
      <c r="GA28" s="18">
        <f>FZ28*VLOOKUP('Données projet'!$B$17,Paramètres!$A$1:$I$89,3,0)*VLOOKUP('Données projet'!$B$17,Paramètres!$A$1:$I$89,5,0)</f>
        <v>153.62100000000001</v>
      </c>
      <c r="GB28" s="14">
        <f t="shared" si="49"/>
        <v>39.400325008344971</v>
      </c>
      <c r="GC28" s="22">
        <f t="shared" si="25"/>
        <v>336.17880772286748</v>
      </c>
      <c r="GD28" s="62">
        <f t="shared" si="26"/>
        <v>623.4010299450897</v>
      </c>
      <c r="GE28" s="62">
        <f ca="1">AVERAGE(OFFSET($GD$3,0,0,'Données projet'!$E$17+1,1))-AVERAGE(OFFSET($H$3,0,0,'Données projet'!$E$17+1,1))</f>
        <v>132.18258156780018</v>
      </c>
      <c r="GF28" s="62">
        <f t="shared" si="50"/>
        <v>315.58133946947294</v>
      </c>
      <c r="GG28" s="16">
        <f>IF(ISNA(VLOOKUP(A28,'Données projet'!$A$243:$I$263,3,0)),0,VLOOKUP(A28,'Données projet'!$A$243:$I$263,3,0))</f>
        <v>1</v>
      </c>
      <c r="GH28" s="16">
        <f>IF(ISNA(VLOOKUP(A28,'Données projet'!$A$243:$I$263,4,0)),0,VLOOKUP(A28,'Données projet'!$A$243:$I$263,4,0))</f>
        <v>303</v>
      </c>
      <c r="GI28" s="17">
        <f>IF(ISNA(VLOOKUP(A28,'Données projet'!$A$243:$I$263,5,0)),0%,VLOOKUP(A28,'Données projet'!$A$243:$I$263,5,0)*VLOOKUP('Données projet'!$B$17,Paramètres!$A$1:$I$89,7,0))</f>
        <v>0.28199999999999997</v>
      </c>
      <c r="GJ28" s="17">
        <f>IF(ISNA(VLOOKUP(A28,'Données projet'!$A$243:$I$263,6,0)),0%,VLOOKUP(A28,'Données projet'!$A$243:$I$263,6,0)*VLOOKUP('Données projet'!$B$17,Paramètres!$A$1:$I$89,7,0))</f>
        <v>0.126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47.890217179133231</v>
      </c>
      <c r="GM28" s="23">
        <f>EXP(-LN(2)/25)*GM27+(1-EXP(-LN(2)/25))/(LN(2)/25)*Calculateur!GH28*Calculateur!GJ28*VLOOKUP('Données projet'!$B$17,Paramètres!$A$1:$I$89,3,0)*0.475*44/12</f>
        <v>21.313505490987424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69.203722670120655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9">
        <f t="shared" si="1"/>
        <v>309.80690215583428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3.887142857142857</v>
      </c>
      <c r="N29" s="14">
        <f>IF('Données projet'!$A$36&gt;35,N28+M29-V28,IF(A29&lt;'Données projet'!$A$36,$K$205^A29,IF(A29='Données projet'!$A$36,'Données projet'!$B$36,N28+M29-V28)))</f>
        <v>101.06571428571431</v>
      </c>
      <c r="O29" s="14">
        <f>N29*VLOOKUP('Données projet'!$B$9,Paramètres!$A$1:$I$89,3,0)*VLOOKUP('Données projet'!$B$9,Paramètres!$A$1:$I$89,5,0)</f>
        <v>91.444258285714298</v>
      </c>
      <c r="P29" s="14">
        <f t="shared" si="33"/>
        <v>24.913221926074399</v>
      </c>
      <c r="Q29" s="22">
        <f t="shared" si="2"/>
        <v>202.65594470219867</v>
      </c>
      <c r="R29" s="62">
        <f t="shared" si="0"/>
        <v>491.10038914664312</v>
      </c>
      <c r="S29" s="62">
        <f ca="1">AVERAGE(OFFSET($R$3,0,0,'Données projet'!$E$9+1,1))-AVERAGE(OFFSET($H$3,0,0,'Données projet'!$E$9+1,1))</f>
        <v>401.86262166363821</v>
      </c>
      <c r="T29" s="62">
        <f t="shared" si="34"/>
        <v>208.60314230781432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3.887142857142857</v>
      </c>
      <c r="AI29" s="14">
        <f>IF('Données projet'!$A$62&gt;35,AI28+AH29-AQ28,IF(A29&lt;'Données projet'!$A$62,$AF$205^A29,IF(A29='Données projet'!$A$62,'Données projet'!$B$62,AI28+AH29-AQ28)))</f>
        <v>101.06571428571431</v>
      </c>
      <c r="AJ29" s="14">
        <f>AI29*VLOOKUP('Données projet'!$B$10,Paramètres!$A$1:$I$89,3,0)*VLOOKUP('Données projet'!$B$10,Paramètres!$A$1:$I$89,5,0)</f>
        <v>108.78713485714287</v>
      </c>
      <c r="AK29" s="14">
        <f t="shared" si="35"/>
        <v>29.045039951003361</v>
      </c>
      <c r="AL29" s="22">
        <f t="shared" si="4"/>
        <v>240.05770445752137</v>
      </c>
      <c r="AM29" s="62">
        <f t="shared" si="5"/>
        <v>528.50214890196582</v>
      </c>
      <c r="AN29" s="62">
        <f ca="1">AVERAGE(OFFSET($AM$3,0,0,'Données projet'!$E$10+1,1))-AVERAGE(OFFSET($H$3,0,0,'Données projet'!$E$10+1,1))</f>
        <v>407.22515465568205</v>
      </c>
      <c r="AO29" s="62">
        <f t="shared" si="36"/>
        <v>251.6218558398258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3.887142857142857</v>
      </c>
      <c r="BD29" s="13">
        <f>IF('Données projet'!$A$88&gt;35,BD28+BC29-BL28,IF(A29&lt;'Données projet'!$A$88,$BA$205^A29,IF(A29='Données projet'!$A$88,'Données projet'!$B$88,BD28+BC29-BL28)))</f>
        <v>101.06571428571431</v>
      </c>
      <c r="BE29" s="14">
        <f>BD29*VLOOKUP('Données projet'!$B$11,Paramètres!$A$1:$I$89,3,0)*VLOOKUP('Données projet'!$B$11,Paramètres!$A$1:$I$89,5,0)</f>
        <v>97.750758857142884</v>
      </c>
      <c r="BF29" s="14">
        <f t="shared" si="37"/>
        <v>26.425439460319531</v>
      </c>
      <c r="BG29" s="22">
        <f t="shared" si="7"/>
        <v>216.2735454029137</v>
      </c>
      <c r="BH29" s="62">
        <f t="shared" si="8"/>
        <v>504.71798984735813</v>
      </c>
      <c r="BI29" s="62">
        <f ca="1">AVERAGE(OFFSET($BH$3,0,0,'Données projet'!$E$11+1,1))-AVERAGE(OFFSET($H$3,0,0,'Données projet'!$E$11+1,1))</f>
        <v>357.76044008074308</v>
      </c>
      <c r="BJ29" s="62">
        <f t="shared" si="38"/>
        <v>224.26555772810445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3.887142857142857</v>
      </c>
      <c r="BY29" s="13">
        <f>IF('Données projet'!$A$114&gt;35,BY28+BX29-CG28,IF(A29&lt;'Données projet'!$A$114,$BV$205^A29,IF(A29='Données projet'!$A$114,'Données projet'!$B$114,BY28+BX29-CG28)))</f>
        <v>101.06571428571431</v>
      </c>
      <c r="BZ29" s="14">
        <f>BY29*VLOOKUP('Données projet'!$B$12,Paramètres!$A$1:$I$89,3,0)*VLOOKUP('Données projet'!$B$12,Paramètres!$A$1:$I$89,5,0)</f>
        <v>67.79488114285715</v>
      </c>
      <c r="CA29" s="14">
        <f t="shared" si="39"/>
        <v>19.124832886137288</v>
      </c>
      <c r="CB29" s="22">
        <f t="shared" si="10"/>
        <v>151.38516860049864</v>
      </c>
      <c r="CC29" s="62">
        <f t="shared" si="11"/>
        <v>439.82961304494313</v>
      </c>
      <c r="CD29" s="62">
        <f ca="1">AVERAGE(OFFSET($CC$3,0,0,'Données projet'!$E$12+1,1))-AVERAGE(OFFSET($H$3,0,0,'Données projet'!$E$12+1,1))</f>
        <v>222.86701323374945</v>
      </c>
      <c r="CE29" s="62">
        <f t="shared" si="40"/>
        <v>149.63671045240511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8.8000000000000007</v>
      </c>
      <c r="CT29" s="13">
        <f>IF('Données projet'!$A$140&gt;35,CT28+CS29-DB28,IF(A29&lt;'Données projet'!$A$140,$CQ$205^A29,IF(A29='Données projet'!$A$140,'Données projet'!$B$140,CT28+CS29-DB28)))</f>
        <v>125.79999999999998</v>
      </c>
      <c r="CU29" s="18">
        <f>CT29*VLOOKUP('Données projet'!$B$13,Paramètres!$A$1:$I$89,3,0)*VLOOKUP('Données projet'!$B$13,Paramètres!$A$1:$I$89,5,0)</f>
        <v>82.424159999999986</v>
      </c>
      <c r="CV29" s="14">
        <f t="shared" si="41"/>
        <v>22.728870146421784</v>
      </c>
      <c r="CW29" s="22">
        <f t="shared" si="13"/>
        <v>183.14152750501788</v>
      </c>
      <c r="CX29" s="62">
        <f t="shared" si="14"/>
        <v>471.58597194946231</v>
      </c>
      <c r="CY29" s="62">
        <f ca="1">AVERAGE(OFFSET($CX$3,0,0,'Données projet'!$E$13+1,1))-AVERAGE(OFFSET($H$3,0,0,'Données projet'!$E$13+1,1))</f>
        <v>173.15672762188746</v>
      </c>
      <c r="CZ29" s="62">
        <f t="shared" si="42"/>
        <v>208.54841796921414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15.766000000000002</v>
      </c>
      <c r="EJ29" s="13">
        <f>IF('Données projet'!$A$192&gt;35,EJ28+EI29-ER28,IF(A29&lt;'Données projet'!$A$192,$EG$205^A29,IF(A29='Données projet'!$A$192,'Données projet'!$B$192,EJ28+EI29-ER28)))</f>
        <v>139.72399999999999</v>
      </c>
      <c r="EK29" s="18">
        <f>EJ29*VLOOKUP('Données projet'!$B$15,Paramètres!$A$1:$I$89,3,0)*VLOOKUP('Données projet'!$B$15,Paramètres!$A$1:$I$89,5,0)</f>
        <v>83.554952</v>
      </c>
      <c r="EL29" s="14">
        <f t="shared" si="45"/>
        <v>23.004176736574664</v>
      </c>
      <c r="EM29" s="22">
        <f t="shared" si="19"/>
        <v>185.59048254953419</v>
      </c>
      <c r="EN29" s="62">
        <f t="shared" si="20"/>
        <v>474.03492699397862</v>
      </c>
      <c r="EO29" s="62">
        <f ca="1">AVERAGE(OFFSET($EN$3,0,0,'Données projet'!$E$15+1,1))-AVERAGE(OFFSET($H$3,0,0,'Données projet'!$E$15+1,1))</f>
        <v>269.18638759204373</v>
      </c>
      <c r="EP29" s="62">
        <f t="shared" si="46"/>
        <v>197.07126167823969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5.1853018221570339</v>
      </c>
      <c r="EW29" s="23">
        <f>EXP(-LN(2)/25)*EW28+(1-EXP(-LN(2)/25))/(LN(2)/25)*Calculateur!ER29*Calculateur!ET29*VLOOKUP('Données projet'!$B$15,Paramètres!$A$1:$I$89,3,0)*0.475*44/12</f>
        <v>6.5049305396693367</v>
      </c>
      <c r="EX29" s="23">
        <f>EXP(-LN(2)/2)*EX28+(1-EXP(-LN(2)/2))/(LN(2)/2)*ER29*EU29*VLOOKUP('Données projet'!$B$15,Paramètres!$A$1:$I$89,3,0)*0.475*44/12</f>
        <v>2.750125958490766</v>
      </c>
      <c r="EY29" s="24">
        <f t="shared" si="21"/>
        <v>14.440358320317138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>
        <f>VLOOKUP(A29,'Données projet'!$A$217:$I$237,2,0)</f>
        <v>297.39999999999998</v>
      </c>
      <c r="FC29" s="13">
        <f>VLOOKUP(A29,'Données projet'!$A$217:$I$237,9,0)</f>
        <v>24.2</v>
      </c>
      <c r="FD29" s="13">
        <f t="array" ref="FD29">INDEX(FC:FC,MIN(IF(ISNUMBER(FC29:FC225),ROW(FC29:FC225),"")))</f>
        <v>24.2</v>
      </c>
      <c r="FE29" s="13">
        <f>IF('Données projet'!$A$218&gt;35,FE28+FD29-FM28,IF(A29&lt;'Données projet'!$A$218,$FB$205^A29,IF(A29='Données projet'!$A$218,'Données projet'!$B$218,FE28+FD29-FM28)))</f>
        <v>297.39999999999992</v>
      </c>
      <c r="FF29" s="18">
        <f>FE29*VLOOKUP('Données projet'!$B$16,Paramètres!$A$1:$I$89,3,0)*VLOOKUP('Données projet'!$B$16,Paramètres!$A$1:$I$89,5,0)</f>
        <v>177.84519999999998</v>
      </c>
      <c r="FG29" s="14">
        <f t="shared" si="47"/>
        <v>44.842447359713951</v>
      </c>
      <c r="FH29" s="22">
        <f t="shared" si="22"/>
        <v>387.84765248483512</v>
      </c>
      <c r="FI29" s="62">
        <f t="shared" si="23"/>
        <v>676.29209692927952</v>
      </c>
      <c r="FJ29" s="62">
        <f ca="1">AVERAGE(OFFSET($FI$3,0,0,'Données projet'!$E$16+1,1))-AVERAGE(OFFSET($H$3,0,0,'Données projet'!$E$16+1,1))</f>
        <v>330.48891719033065</v>
      </c>
      <c r="FK29" s="62">
        <f t="shared" si="48"/>
        <v>419.35494198427284</v>
      </c>
      <c r="FL29" s="16">
        <f>IF(ISNA(VLOOKUP(A29,'Données projet'!$A$217:$I$237,3,0)),0,VLOOKUP(A29,'Données projet'!$A$217:$I$237,3,0))</f>
        <v>3</v>
      </c>
      <c r="FM29" s="16">
        <f>IF(ISNA(VLOOKUP(A29,'Données projet'!$A$217:$I$237,4,0)),0,VLOOKUP(A29,'Données projet'!$A$217:$I$237,4,0))</f>
        <v>55.94</v>
      </c>
      <c r="FN29" s="17">
        <f>IF(ISNA(VLOOKUP(A29,'Données projet'!$A$217:$I$237,5,0)),0%,VLOOKUP(A29,'Données projet'!$A$217:$I$237,5,0)*VLOOKUP('Données projet'!$B$16,Paramètres!$A$1:$I$89,7,0))</f>
        <v>0.22500000000000001</v>
      </c>
      <c r="FO29" s="17">
        <f>IF(ISNA(VLOOKUP(A29,'Données projet'!$A$217:$I$237,6,0)),0%,VLOOKUP(A29,'Données projet'!$A$217:$I$237,6,0)*VLOOKUP('Données projet'!$B$16,Paramètres!$A$1:$I$89,7,0))</f>
        <v>0.12600000000000003</v>
      </c>
      <c r="FP29" s="17">
        <f>IF(ISNA(VLOOKUP(A29,'Données projet'!$A$217:$I$237,7,0)),0%,VLOOKUP(A29,'Données projet'!$A$217:$I$237,7,0))</f>
        <v>0.22</v>
      </c>
      <c r="FQ29" s="23">
        <f>EXP(-LN(2)/35)*FQ28+(1-EXP(-LN(2)/35))/(LN(2)/35)*FM29*FN29*VLOOKUP('Données projet'!$B$16,Paramètres!$A$1:$I$89,3,0)*0.475*44/12</f>
        <v>21.25173801883232</v>
      </c>
      <c r="FR29" s="23">
        <f>EXP(-LN(2)/25)*FR28+(1-EXP(-LN(2)/25))/(LN(2)/25)*Calculateur!FM29*Calculateur!FO29*VLOOKUP('Données projet'!$B$16,Paramètres!$A$1:$I$89,3,0)*0.475*44/12</f>
        <v>16.300412261123377</v>
      </c>
      <c r="FS29" s="23">
        <f>EXP(-LN(2)/2)*FS28+(1-EXP(-LN(2)/2))/(LN(2)/2)*FM29*FP29*VLOOKUP('Données projet'!$B$16,Paramètres!$A$1:$I$89,3,0)*0.475*44/12</f>
        <v>9.7724242366379279</v>
      </c>
      <c r="FT29" s="24">
        <f t="shared" si="24"/>
        <v>47.324574516593628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>
        <f>FZ29*VLOOKUP('Données projet'!$B$17,Paramètres!$A$1:$I$89,3,0)*VLOOKUP('Données projet'!$B$17,Paramètres!$A$1:$I$89,5,0)</f>
        <v>0</v>
      </c>
      <c r="GB29" s="14" t="e">
        <f t="shared" si="49"/>
        <v>#NUM!</v>
      </c>
      <c r="GC29" s="22" t="e">
        <f t="shared" si="25"/>
        <v>#NUM!</v>
      </c>
      <c r="GD29" s="62" t="e">
        <f t="shared" si="26"/>
        <v>#NUM!</v>
      </c>
      <c r="GE29" s="62">
        <f ca="1">AVERAGE(OFFSET($GD$3,0,0,'Données projet'!$E$17+1,1))-AVERAGE(OFFSET($H$3,0,0,'Données projet'!$E$17+1,1))</f>
        <v>132.18258156780018</v>
      </c>
      <c r="GF29" s="62">
        <f t="shared" si="50"/>
        <v>315.58133946947294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46.951119230398646</v>
      </c>
      <c r="GM29" s="23">
        <f>EXP(-LN(2)/25)*GM28+(1-EXP(-LN(2)/25))/(LN(2)/25)*Calculateur!GH29*Calculateur!GJ29*VLOOKUP('Données projet'!$B$17,Paramètres!$A$1:$I$89,3,0)*0.475*44/12</f>
        <v>20.730686562507831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67.681805792906474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9">
        <f t="shared" si="1"/>
        <v>311.79215448605208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3.887142857142857</v>
      </c>
      <c r="N30" s="14">
        <f>IF('Données projet'!$A$36&gt;35,N29+M30-V29,IF(A30&lt;'Données projet'!$A$36,$K$205^A30,IF(A30='Données projet'!$A$36,'Données projet'!$B$36,N29+M30-V29)))</f>
        <v>104.95285714285717</v>
      </c>
      <c r="O30" s="14">
        <f>N30*VLOOKUP('Données projet'!$B$9,Paramètres!$A$1:$I$89,3,0)*VLOOKUP('Données projet'!$B$9,Paramètres!$A$1:$I$89,5,0)</f>
        <v>94.961345142857169</v>
      </c>
      <c r="P30" s="14">
        <f t="shared" si="33"/>
        <v>25.758019548315733</v>
      </c>
      <c r="Q30" s="22">
        <f t="shared" si="2"/>
        <v>210.25289350379276</v>
      </c>
      <c r="R30" s="62">
        <f t="shared" si="0"/>
        <v>499.91956017045948</v>
      </c>
      <c r="S30" s="62">
        <f ca="1">AVERAGE(OFFSET($R$3,0,0,'Données projet'!$E$9+1,1))-AVERAGE(OFFSET($H$3,0,0,'Données projet'!$E$9+1,1))</f>
        <v>401.86262166363821</v>
      </c>
      <c r="T30" s="62">
        <f t="shared" si="34"/>
        <v>208.60314230781432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3.887142857142857</v>
      </c>
      <c r="AI30" s="14">
        <f>IF('Données projet'!$A$62&gt;35,AI29+AH30-AQ29,IF(A30&lt;'Données projet'!$A$62,$AF$205^A30,IF(A30='Données projet'!$A$62,'Données projet'!$B$62,AI29+AH30-AQ29)))</f>
        <v>104.95285714285717</v>
      </c>
      <c r="AJ30" s="14">
        <f>AI30*VLOOKUP('Données projet'!$B$10,Paramètres!$A$1:$I$89,3,0)*VLOOKUP('Données projet'!$B$10,Paramètres!$A$1:$I$89,5,0)</f>
        <v>112.97125542857145</v>
      </c>
      <c r="AK30" s="14">
        <f t="shared" si="35"/>
        <v>30.029945908222491</v>
      </c>
      <c r="AL30" s="22">
        <f t="shared" si="4"/>
        <v>249.0604256615828</v>
      </c>
      <c r="AM30" s="62">
        <f t="shared" si="5"/>
        <v>538.72709232824946</v>
      </c>
      <c r="AN30" s="62">
        <f ca="1">AVERAGE(OFFSET($AM$3,0,0,'Données projet'!$E$10+1,1))-AVERAGE(OFFSET($H$3,0,0,'Données projet'!$E$10+1,1))</f>
        <v>407.22515465568205</v>
      </c>
      <c r="AO30" s="62">
        <f t="shared" si="36"/>
        <v>251.6218558398258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3.887142857142857</v>
      </c>
      <c r="BD30" s="13">
        <f>IF('Données projet'!$A$88&gt;35,BD29+BC30-BL29,IF(A30&lt;'Données projet'!$A$88,$BA$205^A30,IF(A30='Données projet'!$A$88,'Données projet'!$B$88,BD29+BC30-BL29)))</f>
        <v>104.95285714285717</v>
      </c>
      <c r="BE30" s="14">
        <f>BD30*VLOOKUP('Données projet'!$B$11,Paramètres!$A$1:$I$89,3,0)*VLOOKUP('Données projet'!$B$11,Paramètres!$A$1:$I$89,5,0)</f>
        <v>101.51040342857146</v>
      </c>
      <c r="BF30" s="14">
        <f t="shared" si="37"/>
        <v>27.32151578834339</v>
      </c>
      <c r="BG30" s="22">
        <f t="shared" si="7"/>
        <v>224.38225930279336</v>
      </c>
      <c r="BH30" s="62">
        <f t="shared" si="8"/>
        <v>514.04892596946002</v>
      </c>
      <c r="BI30" s="62">
        <f ca="1">AVERAGE(OFFSET($BH$3,0,0,'Données projet'!$E$11+1,1))-AVERAGE(OFFSET($H$3,0,0,'Données projet'!$E$11+1,1))</f>
        <v>357.76044008074308</v>
      </c>
      <c r="BJ30" s="62">
        <f t="shared" si="38"/>
        <v>224.26555772810445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3.887142857142857</v>
      </c>
      <c r="BY30" s="13">
        <f>IF('Données projet'!$A$114&gt;35,BY29+BX30-CG29,IF(A30&lt;'Données projet'!$A$114,$BV$205^A30,IF(A30='Données projet'!$A$114,'Données projet'!$B$114,BY29+BX30-CG29)))</f>
        <v>104.95285714285717</v>
      </c>
      <c r="BZ30" s="14">
        <f>BY30*VLOOKUP('Données projet'!$B$12,Paramètres!$A$1:$I$89,3,0)*VLOOKUP('Données projet'!$B$12,Paramètres!$A$1:$I$89,5,0)</f>
        <v>70.40237657142859</v>
      </c>
      <c r="CA30" s="14">
        <f t="shared" si="39"/>
        <v>19.773348497482683</v>
      </c>
      <c r="CB30" s="22">
        <f t="shared" si="10"/>
        <v>157.05605449502048</v>
      </c>
      <c r="CC30" s="62">
        <f t="shared" si="11"/>
        <v>446.72272116168716</v>
      </c>
      <c r="CD30" s="62">
        <f ca="1">AVERAGE(OFFSET($CC$3,0,0,'Données projet'!$E$12+1,1))-AVERAGE(OFFSET($H$3,0,0,'Données projet'!$E$12+1,1))</f>
        <v>222.86701323374945</v>
      </c>
      <c r="CE30" s="62">
        <f t="shared" si="40"/>
        <v>149.63671045240511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8.8000000000000007</v>
      </c>
      <c r="CT30" s="13">
        <f>IF('Données projet'!$A$140&gt;35,CT29+CS30-DB29,IF(A30&lt;'Données projet'!$A$140,$CQ$205^A30,IF(A30='Données projet'!$A$140,'Données projet'!$B$140,CT29+CS30-DB29)))</f>
        <v>134.6</v>
      </c>
      <c r="CU30" s="18">
        <f>CT30*VLOOKUP('Données projet'!$B$13,Paramètres!$A$1:$I$89,3,0)*VLOOKUP('Données projet'!$B$13,Paramètres!$A$1:$I$89,5,0)</f>
        <v>88.189920000000001</v>
      </c>
      <c r="CV30" s="14">
        <f t="shared" si="41"/>
        <v>24.128162431798632</v>
      </c>
      <c r="CW30" s="22">
        <f t="shared" si="13"/>
        <v>195.62066023538262</v>
      </c>
      <c r="CX30" s="62">
        <f t="shared" si="14"/>
        <v>485.2873269020493</v>
      </c>
      <c r="CY30" s="62">
        <f ca="1">AVERAGE(OFFSET($CX$3,0,0,'Données projet'!$E$13+1,1))-AVERAGE(OFFSET($H$3,0,0,'Données projet'!$E$13+1,1))</f>
        <v>173.15672762188746</v>
      </c>
      <c r="CZ30" s="62">
        <f t="shared" si="42"/>
        <v>208.54841796921414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>
        <f>VLOOKUP(A30,'Données projet'!$A$191:$I$211,2,0)</f>
        <v>155.49</v>
      </c>
      <c r="EH30" s="13">
        <f>VLOOKUP(A30,'Données projet'!$A$191:$I$211,9,0)</f>
        <v>15.766000000000002</v>
      </c>
      <c r="EI30" s="13">
        <f t="array" ref="EI30">INDEX(EH:EH,MIN(IF(ISNUMBER(EH30:EH226),ROW(EH30:EH226),"")))</f>
        <v>15.766000000000002</v>
      </c>
      <c r="EJ30" s="13">
        <f>IF('Données projet'!$A$192&gt;35,EJ29+EI30-ER29,IF(A30&lt;'Données projet'!$A$192,$EG$205^A30,IF(A30='Données projet'!$A$192,'Données projet'!$B$192,EJ29+EI30-ER29)))</f>
        <v>155.48999999999998</v>
      </c>
      <c r="EK30" s="18">
        <f>EJ30*VLOOKUP('Données projet'!$B$15,Paramètres!$A$1:$I$89,3,0)*VLOOKUP('Données projet'!$B$15,Paramètres!$A$1:$I$89,5,0)</f>
        <v>92.983019999999996</v>
      </c>
      <c r="EL30" s="14">
        <f t="shared" si="45"/>
        <v>25.283286610692237</v>
      </c>
      <c r="EM30" s="22">
        <f t="shared" si="19"/>
        <v>205.98048401362226</v>
      </c>
      <c r="EN30" s="62">
        <f t="shared" si="20"/>
        <v>495.64715068028897</v>
      </c>
      <c r="EO30" s="62">
        <f ca="1">AVERAGE(OFFSET($EN$3,0,0,'Données projet'!$E$15+1,1))-AVERAGE(OFFSET($H$3,0,0,'Données projet'!$E$15+1,1))</f>
        <v>269.18638759204373</v>
      </c>
      <c r="EP30" s="62">
        <f t="shared" si="46"/>
        <v>197.07126167823969</v>
      </c>
      <c r="EQ30" s="16">
        <f>IF(ISNA(VLOOKUP(A30,'Données projet'!$A$191:$I$211,3,0)),0,VLOOKUP(A30,'Données projet'!$A$191:$I$211,3,0))</f>
        <v>2</v>
      </c>
      <c r="ER30" s="16">
        <f>IF(ISNA(VLOOKUP(A30,'Données projet'!$A$191:$I$211,4,0)),0,VLOOKUP(A30,'Données projet'!$A$191:$I$211,4,0))</f>
        <v>37.840000000000003</v>
      </c>
      <c r="ES30" s="17">
        <f>IF(ISNA(VLOOKUP(A30,'Données projet'!$A$191:$I$211,5,0)),0%,VLOOKUP(A30,'Données projet'!$A$191:$I$211,5,0)*VLOOKUP('Données projet'!$B$15,Paramètres!$A$1:$I$89,7,0))</f>
        <v>0.18000000000000002</v>
      </c>
      <c r="ET30" s="17">
        <f>IF(ISNA(VLOOKUP(A30,'Données projet'!$A$191:$I$211,6,0)),0%,VLOOKUP(A30,'Données projet'!$A$191:$I$211,6,0)*VLOOKUP('Données projet'!$B$15,Paramètres!$A$1:$I$89,7,0))</f>
        <v>0.15300000000000002</v>
      </c>
      <c r="EU30" s="17">
        <f>IF(ISNA(VLOOKUP(A30,'Données projet'!$A$191:$I$211,7,0)),0%,VLOOKUP(A30,'Données projet'!$A$191:$I$211,7,0))</f>
        <v>0.26</v>
      </c>
      <c r="EV30" s="23">
        <f>EXP(-LN(2)/35)*EV29+(1-EXP(-LN(2)/35))/(LN(2)/35)*ER30*ES30*VLOOKUP('Données projet'!$B$15,Paramètres!$A$1:$I$89,3,0)*0.475*44/12</f>
        <v>10.486847715842453</v>
      </c>
      <c r="EW30" s="23">
        <f>EXP(-LN(2)/25)*EW29+(1-EXP(-LN(2)/25))/(LN(2)/25)*Calculateur!ER30*Calculateur!ET30*VLOOKUP('Données projet'!$B$15,Paramètres!$A$1:$I$89,3,0)*0.475*44/12</f>
        <v>10.901712019432328</v>
      </c>
      <c r="EX30" s="23">
        <f>EXP(-LN(2)/2)*EX29+(1-EXP(-LN(2)/2))/(LN(2)/2)*ER30*EU30*VLOOKUP('Données projet'!$B$15,Paramètres!$A$1:$I$89,3,0)*0.475*44/12</f>
        <v>8.6059665474846359</v>
      </c>
      <c r="EY30" s="24">
        <f t="shared" si="21"/>
        <v>29.994526282759416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24.97666666666667</v>
      </c>
      <c r="FE30" s="13">
        <f>IF('Données projet'!$A$218&gt;35,FE29+FD30-FM29,IF(A30&lt;'Données projet'!$A$218,$FB$205^A30,IF(A30='Données projet'!$A$218,'Données projet'!$B$218,FE29+FD30-FM29)))</f>
        <v>266.43666666666661</v>
      </c>
      <c r="FF30" s="18">
        <f>FE30*VLOOKUP('Données projet'!$B$16,Paramètres!$A$1:$I$89,3,0)*VLOOKUP('Données projet'!$B$16,Paramètres!$A$1:$I$89,5,0)</f>
        <v>159.32912666666664</v>
      </c>
      <c r="FG30" s="14">
        <f t="shared" si="47"/>
        <v>40.69116106998591</v>
      </c>
      <c r="FH30" s="22">
        <f t="shared" si="22"/>
        <v>348.36866780800318</v>
      </c>
      <c r="FI30" s="62">
        <f t="shared" si="23"/>
        <v>638.03533447466987</v>
      </c>
      <c r="FJ30" s="62">
        <f ca="1">AVERAGE(OFFSET($FI$3,0,0,'Données projet'!$E$16+1,1))-AVERAGE(OFFSET($H$3,0,0,'Données projet'!$E$16+1,1))</f>
        <v>330.48891719033065</v>
      </c>
      <c r="FK30" s="62">
        <f t="shared" si="48"/>
        <v>419.35494198427284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20.835004398563292</v>
      </c>
      <c r="FR30" s="23">
        <f>EXP(-LN(2)/25)*FR29+(1-EXP(-LN(2)/25))/(LN(2)/25)*Calculateur!FM30*Calculateur!FO30*VLOOKUP('Données projet'!$B$16,Paramètres!$A$1:$I$89,3,0)*0.475*44/12</f>
        <v>15.854676630641533</v>
      </c>
      <c r="FS30" s="23">
        <f>EXP(-LN(2)/2)*FS29+(1-EXP(-LN(2)/2))/(LN(2)/2)*FM30*FP30*VLOOKUP('Données projet'!$B$16,Paramètres!$A$1:$I$89,3,0)*0.475*44/12</f>
        <v>6.9101474463584491</v>
      </c>
      <c r="FT30" s="24">
        <f t="shared" si="24"/>
        <v>43.599828475563278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>
        <f>FZ30*VLOOKUP('Données projet'!$B$17,Paramètres!$A$1:$I$89,3,0)*VLOOKUP('Données projet'!$B$17,Paramètres!$A$1:$I$89,5,0)</f>
        <v>0</v>
      </c>
      <c r="GB30" s="14" t="e">
        <f t="shared" si="49"/>
        <v>#NUM!</v>
      </c>
      <c r="GC30" s="22" t="e">
        <f t="shared" si="25"/>
        <v>#NUM!</v>
      </c>
      <c r="GD30" s="62" t="e">
        <f t="shared" si="26"/>
        <v>#NUM!</v>
      </c>
      <c r="GE30" s="62">
        <f ca="1">AVERAGE(OFFSET($GD$3,0,0,'Données projet'!$E$17+1,1))-AVERAGE(OFFSET($H$3,0,0,'Données projet'!$E$17+1,1))</f>
        <v>132.18258156780018</v>
      </c>
      <c r="GF30" s="62">
        <f t="shared" si="50"/>
        <v>315.58133946947294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46.030436419645554</v>
      </c>
      <c r="GM30" s="23">
        <f>EXP(-LN(2)/25)*GM29+(1-EXP(-LN(2)/25))/(LN(2)/25)*Calculateur!GH30*Calculateur!GJ30*VLOOKUP('Données projet'!$B$17,Paramètres!$A$1:$I$89,3,0)*0.475*44/12</f>
        <v>20.16380484827663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66.19424126792218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9">
        <f t="shared" si="1"/>
        <v>313.77552834500773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3.887142857142857</v>
      </c>
      <c r="N31" s="14">
        <f>IF('Données projet'!$A$36&gt;35,N30+M31-V30,IF(A31&lt;'Données projet'!$A$36,$K$205^A31,IF(A31='Données projet'!$A$36,'Données projet'!$B$36,N30+M31-V30)))</f>
        <v>108.84000000000003</v>
      </c>
      <c r="O31" s="14">
        <f>N31*VLOOKUP('Données projet'!$B$9,Paramètres!$A$1:$I$89,3,0)*VLOOKUP('Données projet'!$B$9,Paramètres!$A$1:$I$89,5,0)</f>
        <v>98.478432000000026</v>
      </c>
      <c r="P31" s="14">
        <f t="shared" si="33"/>
        <v>26.599182115615513</v>
      </c>
      <c r="Q31" s="22">
        <f t="shared" si="2"/>
        <v>217.84351125136371</v>
      </c>
      <c r="R31" s="62">
        <f t="shared" si="0"/>
        <v>508.73240014025259</v>
      </c>
      <c r="S31" s="62">
        <f ca="1">AVERAGE(OFFSET($R$3,0,0,'Données projet'!$E$9+1,1))-AVERAGE(OFFSET($H$3,0,0,'Données projet'!$E$9+1,1))</f>
        <v>401.86262166363821</v>
      </c>
      <c r="T31" s="62">
        <f t="shared" si="34"/>
        <v>208.60314230781432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3.887142857142857</v>
      </c>
      <c r="AI31" s="14">
        <f>IF('Données projet'!$A$62&gt;35,AI30+AH31-AQ30,IF(A31&lt;'Données projet'!$A$62,$AF$205^A31,IF(A31='Données projet'!$A$62,'Données projet'!$B$62,AI30+AH31-AQ30)))</f>
        <v>108.84000000000003</v>
      </c>
      <c r="AJ31" s="14">
        <f>AI31*VLOOKUP('Données projet'!$B$10,Paramètres!$A$1:$I$89,3,0)*VLOOKUP('Données projet'!$B$10,Paramètres!$A$1:$I$89,5,0)</f>
        <v>117.15537600000002</v>
      </c>
      <c r="AK31" s="14">
        <f t="shared" si="35"/>
        <v>31.010613942449716</v>
      </c>
      <c r="AL31" s="22">
        <f t="shared" si="4"/>
        <v>258.05576581643328</v>
      </c>
      <c r="AM31" s="62">
        <f t="shared" si="5"/>
        <v>548.94465470532214</v>
      </c>
      <c r="AN31" s="62">
        <f ca="1">AVERAGE(OFFSET($AM$3,0,0,'Données projet'!$E$10+1,1))-AVERAGE(OFFSET($H$3,0,0,'Données projet'!$E$10+1,1))</f>
        <v>407.22515465568205</v>
      </c>
      <c r="AO31" s="62">
        <f t="shared" si="36"/>
        <v>251.6218558398258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3.887142857142857</v>
      </c>
      <c r="BD31" s="13">
        <f>IF('Données projet'!$A$88&gt;35,BD30+BC31-BL30,IF(A31&lt;'Données projet'!$A$88,$BA$205^A31,IF(A31='Données projet'!$A$88,'Données projet'!$B$88,BD30+BC31-BL30)))</f>
        <v>108.84000000000003</v>
      </c>
      <c r="BE31" s="14">
        <f>BD31*VLOOKUP('Données projet'!$B$11,Paramètres!$A$1:$I$89,3,0)*VLOOKUP('Données projet'!$B$11,Paramètres!$A$1:$I$89,5,0)</f>
        <v>105.27004800000003</v>
      </c>
      <c r="BF31" s="14">
        <f t="shared" si="37"/>
        <v>28.213736415784727</v>
      </c>
      <c r="BG31" s="22">
        <f t="shared" si="7"/>
        <v>232.48425785749177</v>
      </c>
      <c r="BH31" s="62">
        <f t="shared" si="8"/>
        <v>523.3731467463806</v>
      </c>
      <c r="BI31" s="62">
        <f ca="1">AVERAGE(OFFSET($BH$3,0,0,'Données projet'!$E$11+1,1))-AVERAGE(OFFSET($H$3,0,0,'Données projet'!$E$11+1,1))</f>
        <v>357.76044008074308</v>
      </c>
      <c r="BJ31" s="62">
        <f t="shared" si="38"/>
        <v>224.26555772810445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3.887142857142857</v>
      </c>
      <c r="BY31" s="13">
        <f>IF('Données projet'!$A$114&gt;35,BY30+BX31-CG30,IF(A31&lt;'Données projet'!$A$114,$BV$205^A31,IF(A31='Données projet'!$A$114,'Données projet'!$B$114,BY30+BX31-CG30)))</f>
        <v>108.84000000000003</v>
      </c>
      <c r="BZ31" s="14">
        <f>BY31*VLOOKUP('Données projet'!$B$12,Paramètres!$A$1:$I$89,3,0)*VLOOKUP('Données projet'!$B$12,Paramètres!$A$1:$I$89,5,0)</f>
        <v>73.00987200000003</v>
      </c>
      <c r="CA31" s="14">
        <f t="shared" si="39"/>
        <v>20.419073630001385</v>
      </c>
      <c r="CB31" s="22">
        <f t="shared" si="10"/>
        <v>162.72208030558576</v>
      </c>
      <c r="CC31" s="62">
        <f t="shared" si="11"/>
        <v>453.61096919447459</v>
      </c>
      <c r="CD31" s="62">
        <f ca="1">AVERAGE(OFFSET($CC$3,0,0,'Données projet'!$E$12+1,1))-AVERAGE(OFFSET($H$3,0,0,'Données projet'!$E$12+1,1))</f>
        <v>222.86701323374945</v>
      </c>
      <c r="CE31" s="62">
        <f t="shared" si="40"/>
        <v>149.63671045240511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8.8000000000000007</v>
      </c>
      <c r="CT31" s="13">
        <f>IF('Données projet'!$A$140&gt;35,CT30+CS31-DB30,IF(A31&lt;'Données projet'!$A$140,$CQ$205^A31,IF(A31='Données projet'!$A$140,'Données projet'!$B$140,CT30+CS31-DB30)))</f>
        <v>143.4</v>
      </c>
      <c r="CU31" s="18">
        <f>CT31*VLOOKUP('Données projet'!$B$13,Paramètres!$A$1:$I$89,3,0)*VLOOKUP('Données projet'!$B$13,Paramètres!$A$1:$I$89,5,0)</f>
        <v>93.955680000000001</v>
      </c>
      <c r="CV31" s="14">
        <f t="shared" si="41"/>
        <v>25.516838392731955</v>
      </c>
      <c r="CW31" s="22">
        <f t="shared" si="13"/>
        <v>208.08130286734149</v>
      </c>
      <c r="CX31" s="62">
        <f t="shared" si="14"/>
        <v>498.97019175623035</v>
      </c>
      <c r="CY31" s="62">
        <f ca="1">AVERAGE(OFFSET($CX$3,0,0,'Données projet'!$E$13+1,1))-AVERAGE(OFFSET($H$3,0,0,'Données projet'!$E$13+1,1))</f>
        <v>173.15672762188746</v>
      </c>
      <c r="CZ31" s="62">
        <f t="shared" si="42"/>
        <v>208.54841796921414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16.614999999999998</v>
      </c>
      <c r="EJ31" s="13">
        <f>IF('Données projet'!$A$192&gt;35,EJ30+EI31-ER30,IF(A31&lt;'Données projet'!$A$192,$EG$205^A31,IF(A31='Données projet'!$A$192,'Données projet'!$B$192,EJ30+EI31-ER30)))</f>
        <v>134.26499999999999</v>
      </c>
      <c r="EK31" s="18">
        <f>EJ31*VLOOKUP('Données projet'!$B$15,Paramètres!$A$1:$I$89,3,0)*VLOOKUP('Données projet'!$B$15,Paramètres!$A$1:$I$89,5,0)</f>
        <v>80.290469999999999</v>
      </c>
      <c r="EL31" s="14">
        <f t="shared" si="45"/>
        <v>22.208190565938402</v>
      </c>
      <c r="EM31" s="22">
        <f t="shared" si="19"/>
        <v>178.51850048567601</v>
      </c>
      <c r="EN31" s="62">
        <f t="shared" si="20"/>
        <v>469.4073893745649</v>
      </c>
      <c r="EO31" s="62">
        <f ca="1">AVERAGE(OFFSET($EN$3,0,0,'Données projet'!$E$15+1,1))-AVERAGE(OFFSET($H$3,0,0,'Données projet'!$E$15+1,1))</f>
        <v>269.18638759204373</v>
      </c>
      <c r="EP31" s="62">
        <f t="shared" si="46"/>
        <v>197.07126167823969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10.281207028480303</v>
      </c>
      <c r="EW31" s="23">
        <f>EXP(-LN(2)/25)*EW30+(1-EXP(-LN(2)/25))/(LN(2)/25)*Calculateur!ER31*Calculateur!ET31*VLOOKUP('Données projet'!$B$15,Paramètres!$A$1:$I$89,3,0)*0.475*44/12</f>
        <v>10.603604130964833</v>
      </c>
      <c r="EX31" s="23">
        <f>EXP(-LN(2)/2)*EX30+(1-EXP(-LN(2)/2))/(LN(2)/2)*ER31*EU31*VLOOKUP('Données projet'!$B$15,Paramètres!$A$1:$I$89,3,0)*0.475*44/12</f>
        <v>6.0853373043909667</v>
      </c>
      <c r="EY31" s="24">
        <f t="shared" si="21"/>
        <v>26.970148463836104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24.97666666666667</v>
      </c>
      <c r="FE31" s="13">
        <f>IF('Données projet'!$A$218&gt;35,FE30+FD31-FM30,IF(A31&lt;'Données projet'!$A$218,$FB$205^A31,IF(A31='Données projet'!$A$218,'Données projet'!$B$218,FE30+FD31-FM30)))</f>
        <v>291.4133333333333</v>
      </c>
      <c r="FF31" s="18">
        <f>FE31*VLOOKUP('Données projet'!$B$16,Paramètres!$A$1:$I$89,3,0)*VLOOKUP('Données projet'!$B$16,Paramètres!$A$1:$I$89,5,0)</f>
        <v>174.26517333333334</v>
      </c>
      <c r="FG31" s="14">
        <f t="shared" si="47"/>
        <v>44.043898520130064</v>
      </c>
      <c r="FH31" s="22">
        <f t="shared" si="22"/>
        <v>380.22163347811539</v>
      </c>
      <c r="FI31" s="62">
        <f t="shared" si="23"/>
        <v>671.11052236700425</v>
      </c>
      <c r="FJ31" s="62">
        <f ca="1">AVERAGE(OFFSET($FI$3,0,0,'Données projet'!$E$16+1,1))-AVERAGE(OFFSET($H$3,0,0,'Données projet'!$E$16+1,1))</f>
        <v>330.48891719033065</v>
      </c>
      <c r="FK31" s="62">
        <f t="shared" si="48"/>
        <v>419.35494198427284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20.426442670405329</v>
      </c>
      <c r="FR31" s="23">
        <f>EXP(-LN(2)/25)*FR30+(1-EXP(-LN(2)/25))/(LN(2)/25)*Calculateur!FM31*Calculateur!FO31*VLOOKUP('Données projet'!$B$16,Paramètres!$A$1:$I$89,3,0)*0.475*44/12</f>
        <v>15.421129664415433</v>
      </c>
      <c r="FS31" s="23">
        <f>EXP(-LN(2)/2)*FS30+(1-EXP(-LN(2)/2))/(LN(2)/2)*FM31*FP31*VLOOKUP('Données projet'!$B$16,Paramètres!$A$1:$I$89,3,0)*0.475*44/12</f>
        <v>4.886212118318964</v>
      </c>
      <c r="FT31" s="24">
        <f t="shared" si="24"/>
        <v>40.733784453139727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>
        <f>FZ31*VLOOKUP('Données projet'!$B$17,Paramètres!$A$1:$I$89,3,0)*VLOOKUP('Données projet'!$B$17,Paramètres!$A$1:$I$89,5,0)</f>
        <v>0</v>
      </c>
      <c r="GB31" s="14" t="e">
        <f t="shared" si="49"/>
        <v>#NUM!</v>
      </c>
      <c r="GC31" s="22" t="e">
        <f t="shared" si="25"/>
        <v>#NUM!</v>
      </c>
      <c r="GD31" s="62" t="e">
        <f t="shared" si="26"/>
        <v>#NUM!</v>
      </c>
      <c r="GE31" s="62">
        <f ca="1">AVERAGE(OFFSET($GD$3,0,0,'Données projet'!$E$17+1,1))-AVERAGE(OFFSET($H$3,0,0,'Données projet'!$E$17+1,1))</f>
        <v>132.18258156780018</v>
      </c>
      <c r="GF31" s="62">
        <f t="shared" si="50"/>
        <v>315.58133946947294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45.127807637250264</v>
      </c>
      <c r="GM31" s="23">
        <f>EXP(-LN(2)/25)*GM30+(1-EXP(-LN(2)/25))/(LN(2)/25)*Calculateur!GH31*Calculateur!GJ31*VLOOKUP('Données projet'!$B$17,Paramètres!$A$1:$I$89,3,0)*0.475*44/12</f>
        <v>19.612424544332093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64.740232181582357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9">
        <f t="shared" si="1"/>
        <v>315.75709850689469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3.887142857142857</v>
      </c>
      <c r="N32" s="14">
        <f>IF('Données projet'!$A$36&gt;35,N31+M32-V31,IF(A32&lt;'Données projet'!$A$36,$K$205^A32,IF(A32='Données projet'!$A$36,'Données projet'!$B$36,N31+M32-V31)))</f>
        <v>112.72714285714289</v>
      </c>
      <c r="O32" s="14">
        <f>N32*VLOOKUP('Données projet'!$B$9,Paramètres!$A$1:$I$89,3,0)*VLOOKUP('Données projet'!$B$9,Paramètres!$A$1:$I$89,5,0)</f>
        <v>101.99551885714288</v>
      </c>
      <c r="P32" s="14">
        <f t="shared" si="33"/>
        <v>27.436854324518826</v>
      </c>
      <c r="Q32" s="22">
        <f t="shared" si="2"/>
        <v>225.4280499580608</v>
      </c>
      <c r="R32" s="62">
        <f t="shared" si="0"/>
        <v>517.539161069172</v>
      </c>
      <c r="S32" s="62">
        <f ca="1">AVERAGE(OFFSET($R$3,0,0,'Données projet'!$E$9+1,1))-AVERAGE(OFFSET($H$3,0,0,'Données projet'!$E$9+1,1))</f>
        <v>401.86262166363821</v>
      </c>
      <c r="T32" s="62">
        <f t="shared" si="34"/>
        <v>208.60314230781432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3.887142857142857</v>
      </c>
      <c r="AI32" s="14">
        <f>IF('Données projet'!$A$62&gt;35,AI31+AH32-AQ31,IF(A32&lt;'Données projet'!$A$62,$AF$205^A32,IF(A32='Données projet'!$A$62,'Données projet'!$B$62,AI31+AH32-AQ31)))</f>
        <v>112.72714285714289</v>
      </c>
      <c r="AJ32" s="14">
        <f>AI32*VLOOKUP('Données projet'!$B$10,Paramètres!$A$1:$I$89,3,0)*VLOOKUP('Données projet'!$B$10,Paramètres!$A$1:$I$89,5,0)</f>
        <v>121.3394965714286</v>
      </c>
      <c r="AK32" s="14">
        <f t="shared" si="35"/>
        <v>31.987212747920864</v>
      </c>
      <c r="AL32" s="22">
        <f t="shared" si="4"/>
        <v>267.04401873120031</v>
      </c>
      <c r="AM32" s="62">
        <f t="shared" si="5"/>
        <v>559.15512984231145</v>
      </c>
      <c r="AN32" s="62">
        <f ca="1">AVERAGE(OFFSET($AM$3,0,0,'Données projet'!$E$10+1,1))-AVERAGE(OFFSET($H$3,0,0,'Données projet'!$E$10+1,1))</f>
        <v>407.22515465568205</v>
      </c>
      <c r="AO32" s="62">
        <f t="shared" si="36"/>
        <v>251.6218558398258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3.887142857142857</v>
      </c>
      <c r="BD32" s="13">
        <f>IF('Données projet'!$A$88&gt;35,BD31+BC32-BL31,IF(A32&lt;'Données projet'!$A$88,$BA$205^A32,IF(A32='Données projet'!$A$88,'Données projet'!$B$88,BD31+BC32-BL31)))</f>
        <v>112.72714285714289</v>
      </c>
      <c r="BE32" s="14">
        <f>BD32*VLOOKUP('Données projet'!$B$11,Paramètres!$A$1:$I$89,3,0)*VLOOKUP('Données projet'!$B$11,Paramètres!$A$1:$I$89,5,0)</f>
        <v>109.02969257142863</v>
      </c>
      <c r="BF32" s="14">
        <f t="shared" si="37"/>
        <v>29.102254822181546</v>
      </c>
      <c r="BG32" s="22">
        <f t="shared" si="7"/>
        <v>240.57980837720436</v>
      </c>
      <c r="BH32" s="62">
        <f t="shared" si="8"/>
        <v>532.69091948831556</v>
      </c>
      <c r="BI32" s="62">
        <f ca="1">AVERAGE(OFFSET($BH$3,0,0,'Données projet'!$E$11+1,1))-AVERAGE(OFFSET($H$3,0,0,'Données projet'!$E$11+1,1))</f>
        <v>357.76044008074308</v>
      </c>
      <c r="BJ32" s="62">
        <f t="shared" si="38"/>
        <v>224.26555772810445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3.887142857142857</v>
      </c>
      <c r="BY32" s="13">
        <f>IF('Données projet'!$A$114&gt;35,BY31+BX32-CG31,IF(A32&lt;'Données projet'!$A$114,$BV$205^A32,IF(A32='Données projet'!$A$114,'Données projet'!$B$114,BY31+BX32-CG31)))</f>
        <v>112.72714285714289</v>
      </c>
      <c r="BZ32" s="14">
        <f>BY32*VLOOKUP('Données projet'!$B$12,Paramètres!$A$1:$I$89,3,0)*VLOOKUP('Données projet'!$B$12,Paramètres!$A$1:$I$89,5,0)</f>
        <v>75.617367428571455</v>
      </c>
      <c r="CA32" s="14">
        <f t="shared" si="39"/>
        <v>21.062119361146681</v>
      </c>
      <c r="CB32" s="22">
        <f t="shared" si="10"/>
        <v>168.38343949209244</v>
      </c>
      <c r="CC32" s="62">
        <f t="shared" si="11"/>
        <v>460.49455060320361</v>
      </c>
      <c r="CD32" s="62">
        <f ca="1">AVERAGE(OFFSET($CC$3,0,0,'Données projet'!$E$12+1,1))-AVERAGE(OFFSET($H$3,0,0,'Données projet'!$E$12+1,1))</f>
        <v>222.86701323374945</v>
      </c>
      <c r="CE32" s="62">
        <f t="shared" si="40"/>
        <v>149.63671045240511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8.8000000000000007</v>
      </c>
      <c r="CT32" s="13">
        <f>IF('Données projet'!$A$140&gt;35,CT31+CS32-DB31,IF(A32&lt;'Données projet'!$A$140,$CQ$205^A32,IF(A32='Données projet'!$A$140,'Données projet'!$B$140,CT31+CS32-DB31)))</f>
        <v>152.20000000000002</v>
      </c>
      <c r="CU32" s="18">
        <f>CT32*VLOOKUP('Données projet'!$B$13,Paramètres!$A$1:$I$89,3,0)*VLOOKUP('Données projet'!$B$13,Paramètres!$A$1:$I$89,5,0)</f>
        <v>99.721440000000015</v>
      </c>
      <c r="CV32" s="14">
        <f t="shared" si="41"/>
        <v>26.895623699520389</v>
      </c>
      <c r="CW32" s="22">
        <f t="shared" si="13"/>
        <v>220.52471927666468</v>
      </c>
      <c r="CX32" s="62">
        <f t="shared" si="14"/>
        <v>512.63583038777585</v>
      </c>
      <c r="CY32" s="62">
        <f ca="1">AVERAGE(OFFSET($CX$3,0,0,'Données projet'!$E$13+1,1))-AVERAGE(OFFSET($H$3,0,0,'Données projet'!$E$13+1,1))</f>
        <v>173.15672762188746</v>
      </c>
      <c r="CZ32" s="62">
        <f t="shared" si="42"/>
        <v>208.54841796921414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16.614999999999998</v>
      </c>
      <c r="EJ32" s="13">
        <f>IF('Données projet'!$A$192&gt;35,EJ31+EI32-ER31,IF(A32&lt;'Données projet'!$A$192,$EG$205^A32,IF(A32='Données projet'!$A$192,'Données projet'!$B$192,EJ31+EI32-ER31)))</f>
        <v>150.88</v>
      </c>
      <c r="EK32" s="18">
        <f>EJ32*VLOOKUP('Données projet'!$B$15,Paramètres!$A$1:$I$89,3,0)*VLOOKUP('Données projet'!$B$15,Paramètres!$A$1:$I$89,5,0)</f>
        <v>90.22623999999999</v>
      </c>
      <c r="EL32" s="14">
        <f t="shared" si="45"/>
        <v>24.619780658757083</v>
      </c>
      <c r="EM32" s="22">
        <f t="shared" si="19"/>
        <v>200.02348598066854</v>
      </c>
      <c r="EN32" s="62">
        <f t="shared" si="20"/>
        <v>492.13459709177971</v>
      </c>
      <c r="EO32" s="62">
        <f ca="1">AVERAGE(OFFSET($EN$3,0,0,'Données projet'!$E$15+1,1))-AVERAGE(OFFSET($H$3,0,0,'Données projet'!$E$15+1,1))</f>
        <v>269.18638759204373</v>
      </c>
      <c r="EP32" s="62">
        <f t="shared" si="46"/>
        <v>197.07126167823969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10.079598829568889</v>
      </c>
      <c r="EW32" s="23">
        <f>EXP(-LN(2)/25)*EW31+(1-EXP(-LN(2)/25))/(LN(2)/25)*Calculateur!ER32*Calculateur!ET32*VLOOKUP('Données projet'!$B$15,Paramètres!$A$1:$I$89,3,0)*0.475*44/12</f>
        <v>10.313648018384292</v>
      </c>
      <c r="EX32" s="23">
        <f>EXP(-LN(2)/2)*EX31+(1-EXP(-LN(2)/2))/(LN(2)/2)*ER32*EU32*VLOOKUP('Données projet'!$B$15,Paramètres!$A$1:$I$89,3,0)*0.475*44/12</f>
        <v>4.3029832737423188</v>
      </c>
      <c r="EY32" s="24">
        <f t="shared" si="21"/>
        <v>24.6962301216955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24.97666666666667</v>
      </c>
      <c r="FE32" s="13">
        <f>IF('Données projet'!$A$218&gt;35,FE31+FD32-FM31,IF(A32&lt;'Données projet'!$A$218,$FB$205^A32,IF(A32='Données projet'!$A$218,'Données projet'!$B$218,FE31+FD32-FM31)))</f>
        <v>316.39</v>
      </c>
      <c r="FF32" s="18">
        <f>FE32*VLOOKUP('Données projet'!$B$16,Paramètres!$A$1:$I$89,3,0)*VLOOKUP('Données projet'!$B$16,Paramètres!$A$1:$I$89,5,0)</f>
        <v>189.20122000000001</v>
      </c>
      <c r="FG32" s="14">
        <f t="shared" si="47"/>
        <v>47.363310656691716</v>
      </c>
      <c r="FH32" s="22">
        <f t="shared" si="22"/>
        <v>412.01655756040469</v>
      </c>
      <c r="FI32" s="62">
        <f t="shared" si="23"/>
        <v>704.12766867151583</v>
      </c>
      <c r="FJ32" s="62">
        <f ca="1">AVERAGE(OFFSET($FI$3,0,0,'Données projet'!$E$16+1,1))-AVERAGE(OFFSET($H$3,0,0,'Données projet'!$E$16+1,1))</f>
        <v>330.48891719033065</v>
      </c>
      <c r="FK32" s="62">
        <f t="shared" si="48"/>
        <v>419.35494198427284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20.025892588538497</v>
      </c>
      <c r="FR32" s="23">
        <f>EXP(-LN(2)/25)*FR31+(1-EXP(-LN(2)/25))/(LN(2)/25)*Calculateur!FM32*Calculateur!FO32*VLOOKUP('Données projet'!$B$16,Paramètres!$A$1:$I$89,3,0)*0.475*44/12</f>
        <v>14.99943806278003</v>
      </c>
      <c r="FS32" s="23">
        <f>EXP(-LN(2)/2)*FS31+(1-EXP(-LN(2)/2))/(LN(2)/2)*FM32*FP32*VLOOKUP('Données projet'!$B$16,Paramètres!$A$1:$I$89,3,0)*0.475*44/12</f>
        <v>3.4550737231792246</v>
      </c>
      <c r="FT32" s="24">
        <f t="shared" si="24"/>
        <v>38.480404374497752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>
        <f>FZ32*VLOOKUP('Données projet'!$B$17,Paramètres!$A$1:$I$89,3,0)*VLOOKUP('Données projet'!$B$17,Paramètres!$A$1:$I$89,5,0)</f>
        <v>0</v>
      </c>
      <c r="GB32" s="14" t="e">
        <f t="shared" si="49"/>
        <v>#NUM!</v>
      </c>
      <c r="GC32" s="22" t="e">
        <f t="shared" si="25"/>
        <v>#NUM!</v>
      </c>
      <c r="GD32" s="62" t="e">
        <f t="shared" si="26"/>
        <v>#NUM!</v>
      </c>
      <c r="GE32" s="62">
        <f ca="1">AVERAGE(OFFSET($GD$3,0,0,'Données projet'!$E$17+1,1))-AVERAGE(OFFSET($H$3,0,0,'Données projet'!$E$17+1,1))</f>
        <v>132.18258156780018</v>
      </c>
      <c r="GF32" s="62">
        <f t="shared" si="50"/>
        <v>315.58133946947294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44.242878854728552</v>
      </c>
      <c r="GM32" s="23">
        <f>EXP(-LN(2)/25)*GM31+(1-EXP(-LN(2)/25))/(LN(2)/25)*Calculateur!GH32*Calculateur!GJ32*VLOOKUP('Données projet'!$B$17,Paramètres!$A$1:$I$89,3,0)*0.475*44/12</f>
        <v>19.076121763794749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63.319000618523305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9">
        <f t="shared" si="1"/>
        <v>317.73693429658658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3.887142857142857</v>
      </c>
      <c r="N33" s="14">
        <f>IF('Données projet'!$A$36&gt;35,N32+M33-V32,IF(A33&lt;'Données projet'!$A$36,$K$205^A33,IF(A33='Données projet'!$A$36,'Données projet'!$B$36,N32+M33-V32)))</f>
        <v>116.61428571428576</v>
      </c>
      <c r="O33" s="14">
        <f>N33*VLOOKUP('Données projet'!$B$9,Paramètres!$A$1:$I$89,3,0)*VLOOKUP('Données projet'!$B$9,Paramètres!$A$1:$I$89,5,0)</f>
        <v>105.51260571428575</v>
      </c>
      <c r="P33" s="14">
        <f t="shared" si="33"/>
        <v>28.271170326518615</v>
      </c>
      <c r="Q33" s="22">
        <f t="shared" si="2"/>
        <v>233.00674327106756</v>
      </c>
      <c r="R33" s="62">
        <f t="shared" si="0"/>
        <v>526.34007660440091</v>
      </c>
      <c r="S33" s="62">
        <f ca="1">AVERAGE(OFFSET($R$3,0,0,'Données projet'!$E$9+1,1))-AVERAGE(OFFSET($H$3,0,0,'Données projet'!$E$9+1,1))</f>
        <v>401.86262166363821</v>
      </c>
      <c r="T33" s="62">
        <f t="shared" si="34"/>
        <v>208.60314230781432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3.887142857142857</v>
      </c>
      <c r="AI33" s="14">
        <f>IF('Données projet'!$A$62&gt;35,AI32+AH33-AQ32,IF(A33&lt;'Données projet'!$A$62,$AF$205^A33,IF(A33='Données projet'!$A$62,'Données projet'!$B$62,AI32+AH33-AQ32)))</f>
        <v>116.61428571428576</v>
      </c>
      <c r="AJ33" s="14">
        <f>AI33*VLOOKUP('Données projet'!$B$10,Paramètres!$A$1:$I$89,3,0)*VLOOKUP('Données projet'!$B$10,Paramètres!$A$1:$I$89,5,0)</f>
        <v>125.52361714285718</v>
      </c>
      <c r="AK33" s="14">
        <f t="shared" si="35"/>
        <v>32.959898724939478</v>
      </c>
      <c r="AL33" s="22">
        <f t="shared" si="4"/>
        <v>276.02545680307912</v>
      </c>
      <c r="AM33" s="62">
        <f t="shared" si="5"/>
        <v>569.35879013641238</v>
      </c>
      <c r="AN33" s="62">
        <f ca="1">AVERAGE(OFFSET($AM$3,0,0,'Données projet'!$E$10+1,1))-AVERAGE(OFFSET($H$3,0,0,'Données projet'!$E$10+1,1))</f>
        <v>407.22515465568205</v>
      </c>
      <c r="AO33" s="62">
        <f t="shared" si="36"/>
        <v>251.6218558398258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3.887142857142857</v>
      </c>
      <c r="BD33" s="13">
        <f>IF('Données projet'!$A$88&gt;35,BD32+BC33-BL32,IF(A33&lt;'Données projet'!$A$88,$BA$205^A33,IF(A33='Données projet'!$A$88,'Données projet'!$B$88,BD32+BC33-BL32)))</f>
        <v>116.61428571428576</v>
      </c>
      <c r="BE33" s="14">
        <f>BD33*VLOOKUP('Données projet'!$B$11,Paramètres!$A$1:$I$89,3,0)*VLOOKUP('Données projet'!$B$11,Paramètres!$A$1:$I$89,5,0)</f>
        <v>112.78933714285719</v>
      </c>
      <c r="BF33" s="14">
        <f t="shared" si="37"/>
        <v>29.987213301941502</v>
      </c>
      <c r="BG33" s="22">
        <f t="shared" si="7"/>
        <v>248.66915869135769</v>
      </c>
      <c r="BH33" s="62">
        <f t="shared" si="8"/>
        <v>542.00249202469104</v>
      </c>
      <c r="BI33" s="62">
        <f ca="1">AVERAGE(OFFSET($BH$3,0,0,'Données projet'!$E$11+1,1))-AVERAGE(OFFSET($H$3,0,0,'Données projet'!$E$11+1,1))</f>
        <v>357.76044008074308</v>
      </c>
      <c r="BJ33" s="62">
        <f t="shared" si="38"/>
        <v>224.26555772810445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3.887142857142857</v>
      </c>
      <c r="BY33" s="13">
        <f>IF('Données projet'!$A$114&gt;35,BY32+BX33-CG32,IF(A33&lt;'Données projet'!$A$114,$BV$205^A33,IF(A33='Données projet'!$A$114,'Données projet'!$B$114,BY32+BX33-CG32)))</f>
        <v>116.61428571428576</v>
      </c>
      <c r="BZ33" s="14">
        <f>BY33*VLOOKUP('Données projet'!$B$12,Paramètres!$A$1:$I$89,3,0)*VLOOKUP('Données projet'!$B$12,Paramètres!$A$1:$I$89,5,0)</f>
        <v>78.224862857142881</v>
      </c>
      <c r="CA33" s="14">
        <f t="shared" si="39"/>
        <v>21.702588673378685</v>
      </c>
      <c r="CB33" s="22">
        <f t="shared" si="10"/>
        <v>174.04031141565838</v>
      </c>
      <c r="CC33" s="62">
        <f t="shared" si="11"/>
        <v>467.37364474899169</v>
      </c>
      <c r="CD33" s="62">
        <f ca="1">AVERAGE(OFFSET($CC$3,0,0,'Données projet'!$E$12+1,1))-AVERAGE(OFFSET($H$3,0,0,'Données projet'!$E$12+1,1))</f>
        <v>222.86701323374945</v>
      </c>
      <c r="CE33" s="62">
        <f t="shared" si="40"/>
        <v>149.63671045240511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161</v>
      </c>
      <c r="CR33" s="13">
        <f>VLOOKUP(A33,'Données projet'!$A$139:$I$159,9,0)</f>
        <v>8.8000000000000007</v>
      </c>
      <c r="CS33" s="13">
        <f t="array" ref="CS33">INDEX(CR:CR,MIN(IF(ISNUMBER(CR33:CR229),ROW(CR33:CR229),"")))</f>
        <v>8.8000000000000007</v>
      </c>
      <c r="CT33" s="13">
        <f>IF('Données projet'!$A$140&gt;35,CT32+CS33-DB32,IF(A33&lt;'Données projet'!$A$140,$CQ$205^A33,IF(A33='Données projet'!$A$140,'Données projet'!$B$140,CT32+CS33-DB32)))</f>
        <v>161.00000000000003</v>
      </c>
      <c r="CU33" s="18">
        <f>CT33*VLOOKUP('Données projet'!$B$13,Paramètres!$A$1:$I$89,3,0)*VLOOKUP('Données projet'!$B$13,Paramètres!$A$1:$I$89,5,0)</f>
        <v>105.48720000000002</v>
      </c>
      <c r="CV33" s="14">
        <f t="shared" si="41"/>
        <v>28.265155367923839</v>
      </c>
      <c r="CW33" s="22">
        <f t="shared" si="13"/>
        <v>232.95201893246738</v>
      </c>
      <c r="CX33" s="62">
        <f t="shared" si="14"/>
        <v>526.28535226580073</v>
      </c>
      <c r="CY33" s="62">
        <f ca="1">AVERAGE(OFFSET($CX$3,0,0,'Données projet'!$E$13+1,1))-AVERAGE(OFFSET($H$3,0,0,'Données projet'!$E$13+1,1))</f>
        <v>173.15672762188746</v>
      </c>
      <c r="CZ33" s="62">
        <f t="shared" si="42"/>
        <v>208.54841796921414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23</v>
      </c>
      <c r="DC33" s="17">
        <f>IF(ISNA(VLOOKUP(A33,'Données projet'!$A$139:$I$159,5,0)),0%,VLOOKUP(A33,'Données projet'!$A$139:$I$159,5,0)*VLOOKUP('Données projet'!$B$13,Paramètres!$A$1:$I$89,7,0))</f>
        <v>8.6000000000000007E-2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1.4326736931012383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1.4326736931012383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16.614999999999998</v>
      </c>
      <c r="EJ33" s="13">
        <f>IF('Données projet'!$A$192&gt;35,EJ32+EI33-ER32,IF(A33&lt;'Données projet'!$A$192,$EG$205^A33,IF(A33='Données projet'!$A$192,'Données projet'!$B$192,EJ32+EI33-ER32)))</f>
        <v>167.495</v>
      </c>
      <c r="EK33" s="18">
        <f>EJ33*VLOOKUP('Données projet'!$B$15,Paramètres!$A$1:$I$89,3,0)*VLOOKUP('Données projet'!$B$15,Paramètres!$A$1:$I$89,5,0)</f>
        <v>100.16201000000001</v>
      </c>
      <c r="EL33" s="14">
        <f t="shared" si="45"/>
        <v>27.000590559708886</v>
      </c>
      <c r="EM33" s="22">
        <f t="shared" si="19"/>
        <v>221.47486264149299</v>
      </c>
      <c r="EN33" s="62">
        <f t="shared" si="20"/>
        <v>514.80819597482628</v>
      </c>
      <c r="EO33" s="62">
        <f ca="1">AVERAGE(OFFSET($EN$3,0,0,'Données projet'!$E$15+1,1))-AVERAGE(OFFSET($H$3,0,0,'Données projet'!$E$15+1,1))</f>
        <v>269.18638759204373</v>
      </c>
      <c r="EP33" s="62">
        <f t="shared" si="46"/>
        <v>197.07126167823969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9.8819440444692699</v>
      </c>
      <c r="EW33" s="23">
        <f>EXP(-LN(2)/25)*EW32+(1-EXP(-LN(2)/25))/(LN(2)/25)*Calculateur!ER33*Calculateur!ET33*VLOOKUP('Données projet'!$B$15,Paramètres!$A$1:$I$89,3,0)*0.475*44/12</f>
        <v>10.031620770950397</v>
      </c>
      <c r="EX33" s="23">
        <f>EXP(-LN(2)/2)*EX32+(1-EXP(-LN(2)/2))/(LN(2)/2)*ER33*EU33*VLOOKUP('Données projet'!$B$15,Paramètres!$A$1:$I$89,3,0)*0.475*44/12</f>
        <v>3.0426686521954838</v>
      </c>
      <c r="EY33" s="24">
        <f t="shared" si="21"/>
        <v>22.956233467615153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24.97666666666667</v>
      </c>
      <c r="FE33" s="13">
        <f>IF('Données projet'!$A$218&gt;35,FE32+FD33-FM32,IF(A33&lt;'Données projet'!$A$218,$FB$205^A33,IF(A33='Données projet'!$A$218,'Données projet'!$B$218,FE32+FD33-FM32)))</f>
        <v>341.36666666666667</v>
      </c>
      <c r="FF33" s="18">
        <f>FE33*VLOOKUP('Données projet'!$B$16,Paramètres!$A$1:$I$89,3,0)*VLOOKUP('Données projet'!$B$16,Paramètres!$A$1:$I$89,5,0)</f>
        <v>204.1372666666667</v>
      </c>
      <c r="FG33" s="14">
        <f t="shared" si="47"/>
        <v>50.65232737019042</v>
      </c>
      <c r="FH33" s="22">
        <f t="shared" si="22"/>
        <v>443.75854294752617</v>
      </c>
      <c r="FI33" s="62">
        <f t="shared" si="23"/>
        <v>737.09187628085942</v>
      </c>
      <c r="FJ33" s="62">
        <f ca="1">AVERAGE(OFFSET($FI$3,0,0,'Données projet'!$E$16+1,1))-AVERAGE(OFFSET($H$3,0,0,'Données projet'!$E$16+1,1))</f>
        <v>330.48891719033065</v>
      </c>
      <c r="FK33" s="62">
        <f t="shared" si="48"/>
        <v>419.35494198427284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19.633197049465647</v>
      </c>
      <c r="FR33" s="23">
        <f>EXP(-LN(2)/25)*FR32+(1-EXP(-LN(2)/25))/(LN(2)/25)*Calculateur!FM33*Calculateur!FO33*VLOOKUP('Données projet'!$B$16,Paramètres!$A$1:$I$89,3,0)*0.475*44/12</f>
        <v>14.589277640167143</v>
      </c>
      <c r="FS33" s="23">
        <f>EXP(-LN(2)/2)*FS32+(1-EXP(-LN(2)/2))/(LN(2)/2)*FM33*FP33*VLOOKUP('Données projet'!$B$16,Paramètres!$A$1:$I$89,3,0)*0.475*44/12</f>
        <v>2.443106059159482</v>
      </c>
      <c r="FT33" s="24">
        <f t="shared" si="24"/>
        <v>36.665580748792273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>
        <f>FZ33*VLOOKUP('Données projet'!$B$17,Paramètres!$A$1:$I$89,3,0)*VLOOKUP('Données projet'!$B$17,Paramètres!$A$1:$I$89,5,0)</f>
        <v>0</v>
      </c>
      <c r="GB33" s="14" t="e">
        <f t="shared" si="49"/>
        <v>#NUM!</v>
      </c>
      <c r="GC33" s="22" t="e">
        <f t="shared" si="25"/>
        <v>#NUM!</v>
      </c>
      <c r="GD33" s="62" t="e">
        <f t="shared" si="26"/>
        <v>#NUM!</v>
      </c>
      <c r="GE33" s="62">
        <f ca="1">AVERAGE(OFFSET($GD$3,0,0,'Données projet'!$E$17+1,1))-AVERAGE(OFFSET($H$3,0,0,'Données projet'!$E$17+1,1))</f>
        <v>132.18258156780018</v>
      </c>
      <c r="GF33" s="62">
        <f t="shared" si="50"/>
        <v>315.58133946947294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43.375302985878832</v>
      </c>
      <c r="GM33" s="23">
        <f>EXP(-LN(2)/25)*GM32+(1-EXP(-LN(2)/25))/(LN(2)/25)*Calculateur!GH33*Calculateur!GJ33*VLOOKUP('Données projet'!$B$17,Paramètres!$A$1:$I$89,3,0)*0.475*44/12</f>
        <v>18.554484210994136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61.929787196872965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9">
        <f t="shared" si="1"/>
        <v>319.71510015504356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3.887142857142857</v>
      </c>
      <c r="N34" s="14">
        <f>IF('Données projet'!$A$36&gt;35,N33+M34-V33,IF(A34&lt;'Données projet'!$A$36,$K$205^A34,IF(A34='Données projet'!$A$36,'Données projet'!$B$36,N33+M34-V33)))</f>
        <v>120.50142857142862</v>
      </c>
      <c r="O34" s="14">
        <f>N34*VLOOKUP('Données projet'!$B$9,Paramètres!$A$1:$I$89,3,0)*VLOOKUP('Données projet'!$B$9,Paramètres!$A$1:$I$89,5,0)</f>
        <v>109.02969257142863</v>
      </c>
      <c r="P34" s="14">
        <f t="shared" si="33"/>
        <v>29.102254822181546</v>
      </c>
      <c r="Q34" s="22">
        <f t="shared" si="2"/>
        <v>240.57980837720436</v>
      </c>
      <c r="R34" s="62">
        <f t="shared" si="0"/>
        <v>533.91314171053773</v>
      </c>
      <c r="S34" s="62">
        <f ca="1">AVERAGE(OFFSET($R$3,0,0,'Données projet'!$E$9+1,1))-AVERAGE(OFFSET($H$3,0,0,'Données projet'!$E$9+1,1))</f>
        <v>401.86262166363821</v>
      </c>
      <c r="T34" s="62">
        <f t="shared" si="34"/>
        <v>208.60314230781432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3.887142857142857</v>
      </c>
      <c r="AI34" s="14">
        <f>IF('Données projet'!$A$62&gt;35,AI33+AH34-AQ33,IF(A34&lt;'Données projet'!$A$62,$AF$205^A34,IF(A34='Données projet'!$A$62,'Données projet'!$B$62,AI33+AH34-AQ33)))</f>
        <v>120.50142857142862</v>
      </c>
      <c r="AJ34" s="14">
        <f>AI34*VLOOKUP('Données projet'!$B$10,Paramètres!$A$1:$I$89,3,0)*VLOOKUP('Données projet'!$B$10,Paramètres!$A$1:$I$89,5,0)</f>
        <v>129.70773771428577</v>
      </c>
      <c r="AK34" s="14">
        <f t="shared" si="35"/>
        <v>33.928817255461865</v>
      </c>
      <c r="AL34" s="22">
        <f t="shared" si="4"/>
        <v>285.00033323897713</v>
      </c>
      <c r="AM34" s="62">
        <f t="shared" si="5"/>
        <v>578.33366657231045</v>
      </c>
      <c r="AN34" s="62">
        <f ca="1">AVERAGE(OFFSET($AM$3,0,0,'Données projet'!$E$10+1,1))-AVERAGE(OFFSET($H$3,0,0,'Données projet'!$E$10+1,1))</f>
        <v>407.22515465568205</v>
      </c>
      <c r="AO34" s="62">
        <f t="shared" si="36"/>
        <v>251.6218558398258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3.887142857142857</v>
      </c>
      <c r="BD34" s="13">
        <f>IF('Données projet'!$A$88&gt;35,BD33+BC34-BL33,IF(A34&lt;'Données projet'!$A$88,$BA$205^A34,IF(A34='Données projet'!$A$88,'Données projet'!$B$88,BD33+BC34-BL33)))</f>
        <v>120.50142857142862</v>
      </c>
      <c r="BE34" s="14">
        <f>BD34*VLOOKUP('Données projet'!$B$11,Paramètres!$A$1:$I$89,3,0)*VLOOKUP('Données projet'!$B$11,Paramètres!$A$1:$I$89,5,0)</f>
        <v>116.54898171428576</v>
      </c>
      <c r="BF34" s="14">
        <f t="shared" si="37"/>
        <v>30.868744124880426</v>
      </c>
      <c r="BG34" s="22">
        <f t="shared" si="7"/>
        <v>256.75253916988112</v>
      </c>
      <c r="BH34" s="62">
        <f t="shared" si="8"/>
        <v>550.08587250321443</v>
      </c>
      <c r="BI34" s="62">
        <f ca="1">AVERAGE(OFFSET($BH$3,0,0,'Données projet'!$E$11+1,1))-AVERAGE(OFFSET($H$3,0,0,'Données projet'!$E$11+1,1))</f>
        <v>357.76044008074308</v>
      </c>
      <c r="BJ34" s="62">
        <f t="shared" si="38"/>
        <v>224.26555772810445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3.887142857142857</v>
      </c>
      <c r="BY34" s="13">
        <f>IF('Données projet'!$A$114&gt;35,BY33+BX34-CG33,IF(A34&lt;'Données projet'!$A$114,$BV$205^A34,IF(A34='Données projet'!$A$114,'Données projet'!$B$114,BY33+BX34-CG33)))</f>
        <v>120.50142857142862</v>
      </c>
      <c r="BZ34" s="14">
        <f>BY34*VLOOKUP('Données projet'!$B$12,Paramètres!$A$1:$I$89,3,0)*VLOOKUP('Données projet'!$B$12,Paramètres!$A$1:$I$89,5,0)</f>
        <v>80.832358285714321</v>
      </c>
      <c r="CA34" s="14">
        <f t="shared" si="39"/>
        <v>22.34057729407888</v>
      </c>
      <c r="CB34" s="22">
        <f t="shared" si="10"/>
        <v>179.69286280147318</v>
      </c>
      <c r="CC34" s="62">
        <f t="shared" si="11"/>
        <v>473.02619613480647</v>
      </c>
      <c r="CD34" s="62">
        <f ca="1">AVERAGE(OFFSET($CC$3,0,0,'Données projet'!$E$12+1,1))-AVERAGE(OFFSET($H$3,0,0,'Données projet'!$E$12+1,1))</f>
        <v>222.86701323374945</v>
      </c>
      <c r="CE34" s="62">
        <f t="shared" si="40"/>
        <v>149.63671045240511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8.6</v>
      </c>
      <c r="CT34" s="13">
        <f>IF('Données projet'!$A$140&gt;35,CT33+CS34-DB33,IF(A34&lt;'Données projet'!$A$140,$CQ$205^A34,IF(A34='Données projet'!$A$140,'Données projet'!$B$140,CT33+CS34-DB33)))</f>
        <v>146.60000000000002</v>
      </c>
      <c r="CU34" s="18">
        <f>CT34*VLOOKUP('Données projet'!$B$13,Paramètres!$A$1:$I$89,3,0)*VLOOKUP('Données projet'!$B$13,Paramètres!$A$1:$I$89,5,0)</f>
        <v>96.052320000000023</v>
      </c>
      <c r="CV34" s="14">
        <f t="shared" si="41"/>
        <v>26.019324001860248</v>
      </c>
      <c r="CW34" s="22">
        <f t="shared" si="13"/>
        <v>212.60811330323997</v>
      </c>
      <c r="CX34" s="62">
        <f t="shared" si="14"/>
        <v>505.94144663657329</v>
      </c>
      <c r="CY34" s="62">
        <f ca="1">AVERAGE(OFFSET($CX$3,0,0,'Données projet'!$E$13+1,1))-AVERAGE(OFFSET($H$3,0,0,'Données projet'!$E$13+1,1))</f>
        <v>173.15672762188746</v>
      </c>
      <c r="CZ34" s="62">
        <f t="shared" si="42"/>
        <v>208.54841796921414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1.4045798358241908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1.4045798358241908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16.614999999999998</v>
      </c>
      <c r="EJ34" s="13">
        <f>IF('Données projet'!$A$192&gt;35,EJ33+EI34-ER33,IF(A34&lt;'Données projet'!$A$192,$EG$205^A34,IF(A34='Données projet'!$A$192,'Données projet'!$B$192,EJ33+EI34-ER33)))</f>
        <v>184.11</v>
      </c>
      <c r="EK34" s="18">
        <f>EJ34*VLOOKUP('Données projet'!$B$15,Paramètres!$A$1:$I$89,3,0)*VLOOKUP('Données projet'!$B$15,Paramètres!$A$1:$I$89,5,0)</f>
        <v>110.09778000000001</v>
      </c>
      <c r="EL34" s="14">
        <f t="shared" si="45"/>
        <v>29.354021111763256</v>
      </c>
      <c r="EM34" s="22">
        <f t="shared" si="19"/>
        <v>242.87855360298769</v>
      </c>
      <c r="EN34" s="62">
        <f t="shared" si="20"/>
        <v>536.21188693632098</v>
      </c>
      <c r="EO34" s="62">
        <f ca="1">AVERAGE(OFFSET($EN$3,0,0,'Données projet'!$E$15+1,1))-AVERAGE(OFFSET($H$3,0,0,'Données projet'!$E$15+1,1))</f>
        <v>269.18638759204373</v>
      </c>
      <c r="EP34" s="62">
        <f t="shared" si="46"/>
        <v>197.07126167823969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9.6881651491479399</v>
      </c>
      <c r="EW34" s="23">
        <f>EXP(-LN(2)/25)*EW33+(1-EXP(-LN(2)/25))/(LN(2)/25)*Calculateur!ER34*Calculateur!ET34*VLOOKUP('Données projet'!$B$15,Paramètres!$A$1:$I$89,3,0)*0.475*44/12</f>
        <v>9.7573055734287504</v>
      </c>
      <c r="EX34" s="23">
        <f>EXP(-LN(2)/2)*EX33+(1-EXP(-LN(2)/2))/(LN(2)/2)*ER34*EU34*VLOOKUP('Données projet'!$B$15,Paramètres!$A$1:$I$89,3,0)*0.475*44/12</f>
        <v>2.1514916368711594</v>
      </c>
      <c r="EY34" s="24">
        <f t="shared" si="21"/>
        <v>21.596962359447851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24.97666666666667</v>
      </c>
      <c r="FE34" s="13">
        <f>IF('Données projet'!$A$218&gt;35,FE33+FD34-FM33,IF(A34&lt;'Données projet'!$A$218,$FB$205^A34,IF(A34='Données projet'!$A$218,'Données projet'!$B$218,FE33+FD34-FM33)))</f>
        <v>366.34333333333336</v>
      </c>
      <c r="FF34" s="18">
        <f>FE34*VLOOKUP('Données projet'!$B$16,Paramètres!$A$1:$I$89,3,0)*VLOOKUP('Données projet'!$B$16,Paramètres!$A$1:$I$89,5,0)</f>
        <v>219.07331333333337</v>
      </c>
      <c r="FG34" s="14">
        <f t="shared" si="47"/>
        <v>53.913425498604823</v>
      </c>
      <c r="FH34" s="22">
        <f t="shared" si="22"/>
        <v>475.45190346562566</v>
      </c>
      <c r="FI34" s="62">
        <f t="shared" si="23"/>
        <v>768.78523679895898</v>
      </c>
      <c r="FJ34" s="62">
        <f ca="1">AVERAGE(OFFSET($FI$3,0,0,'Données projet'!$E$16+1,1))-AVERAGE(OFFSET($H$3,0,0,'Données projet'!$E$16+1,1))</f>
        <v>330.48891719033065</v>
      </c>
      <c r="FK34" s="62">
        <f t="shared" si="48"/>
        <v>419.35494198427284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19.248202030393387</v>
      </c>
      <c r="FR34" s="23">
        <f>EXP(-LN(2)/25)*FR33+(1-EXP(-LN(2)/25))/(LN(2)/25)*Calculateur!FM34*Calculateur!FO34*VLOOKUP('Données projet'!$B$16,Paramètres!$A$1:$I$89,3,0)*0.475*44/12</f>
        <v>14.190333075880005</v>
      </c>
      <c r="FS34" s="23">
        <f>EXP(-LN(2)/2)*FS33+(1-EXP(-LN(2)/2))/(LN(2)/2)*FM34*FP34*VLOOKUP('Données projet'!$B$16,Paramètres!$A$1:$I$89,3,0)*0.475*44/12</f>
        <v>1.7275368615896123</v>
      </c>
      <c r="FT34" s="24">
        <f t="shared" si="24"/>
        <v>35.166071967863004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>
        <f>FZ34*VLOOKUP('Données projet'!$B$17,Paramètres!$A$1:$I$89,3,0)*VLOOKUP('Données projet'!$B$17,Paramètres!$A$1:$I$89,5,0)</f>
        <v>0</v>
      </c>
      <c r="GB34" s="14" t="e">
        <f t="shared" si="49"/>
        <v>#NUM!</v>
      </c>
      <c r="GC34" s="22" t="e">
        <f t="shared" si="25"/>
        <v>#NUM!</v>
      </c>
      <c r="GD34" s="62" t="e">
        <f t="shared" si="26"/>
        <v>#NUM!</v>
      </c>
      <c r="GE34" s="62">
        <f ca="1">AVERAGE(OFFSET($GD$3,0,0,'Données projet'!$E$17+1,1))-AVERAGE(OFFSET($H$3,0,0,'Données projet'!$E$17+1,1))</f>
        <v>132.18258156780018</v>
      </c>
      <c r="GF34" s="62">
        <f t="shared" si="50"/>
        <v>315.58133946947294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42.524739750648223</v>
      </c>
      <c r="GM34" s="23">
        <f>EXP(-LN(2)/25)*GM33+(1-EXP(-LN(2)/25))/(LN(2)/25)*Calculateur!GH34*Calculateur!GJ34*VLOOKUP('Données projet'!$B$17,Paramètres!$A$1:$I$89,3,0)*0.475*44/12</f>
        <v>18.047110864506585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60.571850615154808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9">
        <f t="shared" si="1"/>
        <v>321.69165612971409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3.887142857142857</v>
      </c>
      <c r="N35" s="14">
        <f>IF('Données projet'!$A$36&gt;35,N34+M35-V34,IF(A35&lt;'Données projet'!$A$36,$K$205^A35,IF(A35='Données projet'!$A$36,'Données projet'!$B$36,N34+M35-V34)))</f>
        <v>124.38857142857148</v>
      </c>
      <c r="O35" s="14">
        <f>N35*VLOOKUP('Données projet'!$B$9,Paramètres!$A$1:$I$89,3,0)*VLOOKUP('Données projet'!$B$9,Paramètres!$A$1:$I$89,5,0)</f>
        <v>112.54677942857147</v>
      </c>
      <c r="P35" s="14">
        <f t="shared" si="33"/>
        <v>29.930224010130704</v>
      </c>
      <c r="Q35" s="22">
        <f t="shared" ref="Q35:Q66" si="53">(O35+P35)*0.475*44/12</f>
        <v>248.14744765573963</v>
      </c>
      <c r="R35" s="62">
        <f t="shared" si="0"/>
        <v>541.48078098907297</v>
      </c>
      <c r="S35" s="62">
        <f ca="1">AVERAGE(OFFSET($R$3,0,0,'Données projet'!$E$9+1,1))-AVERAGE(OFFSET($H$3,0,0,'Données projet'!$E$9+1,1))</f>
        <v>401.86262166363821</v>
      </c>
      <c r="T35" s="62">
        <f t="shared" si="34"/>
        <v>208.60314230781432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3.887142857142857</v>
      </c>
      <c r="AI35" s="14">
        <f>IF('Données projet'!$A$62&gt;35,AI34+AH35-AQ34,IF(A35&lt;'Données projet'!$A$62,$AF$205^A35,IF(A35='Données projet'!$A$62,'Données projet'!$B$62,AI34+AH35-AQ34)))</f>
        <v>124.38857142857148</v>
      </c>
      <c r="AJ35" s="14">
        <f>AI35*VLOOKUP('Données projet'!$B$10,Paramètres!$A$1:$I$89,3,0)*VLOOKUP('Données projet'!$B$10,Paramètres!$A$1:$I$89,5,0)</f>
        <v>133.89185828571433</v>
      </c>
      <c r="AK35" s="14">
        <f t="shared" si="35"/>
        <v>34.89410380946687</v>
      </c>
      <c r="AL35" s="22">
        <f t="shared" si="4"/>
        <v>293.96888398244056</v>
      </c>
      <c r="AM35" s="62">
        <f t="shared" si="5"/>
        <v>587.30221731577387</v>
      </c>
      <c r="AN35" s="62">
        <f ca="1">AVERAGE(OFFSET($AM$3,0,0,'Données projet'!$E$10+1,1))-AVERAGE(OFFSET($H$3,0,0,'Données projet'!$E$10+1,1))</f>
        <v>407.22515465568205</v>
      </c>
      <c r="AO35" s="62">
        <f t="shared" si="36"/>
        <v>251.6218558398258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3.887142857142857</v>
      </c>
      <c r="BD35" s="13">
        <f>IF('Données projet'!$A$88&gt;35,BD34+BC35-BL34,IF(A35&lt;'Données projet'!$A$88,$BA$205^A35,IF(A35='Données projet'!$A$88,'Données projet'!$B$88,BD34+BC35-BL34)))</f>
        <v>124.38857142857148</v>
      </c>
      <c r="BE35" s="14">
        <f>BD35*VLOOKUP('Données projet'!$B$11,Paramètres!$A$1:$I$89,3,0)*VLOOKUP('Données projet'!$B$11,Paramètres!$A$1:$I$89,5,0)</f>
        <v>120.30862628571434</v>
      </c>
      <c r="BF35" s="14">
        <f t="shared" si="37"/>
        <v>31.746970542807571</v>
      </c>
      <c r="BG35" s="22">
        <f t="shared" si="7"/>
        <v>264.8301644763423</v>
      </c>
      <c r="BH35" s="62">
        <f t="shared" si="8"/>
        <v>558.16349780967562</v>
      </c>
      <c r="BI35" s="62">
        <f ca="1">AVERAGE(OFFSET($BH$3,0,0,'Données projet'!$E$11+1,1))-AVERAGE(OFFSET($H$3,0,0,'Données projet'!$E$11+1,1))</f>
        <v>357.76044008074308</v>
      </c>
      <c r="BJ35" s="62">
        <f t="shared" si="38"/>
        <v>224.26555772810445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3.887142857142857</v>
      </c>
      <c r="BY35" s="13">
        <f>IF('Données projet'!$A$114&gt;35,BY34+BX35-CG34,IF(A35&lt;'Données projet'!$A$114,$BV$205^A35,IF(A35='Données projet'!$A$114,'Données projet'!$B$114,BY34+BX35-CG34)))</f>
        <v>124.38857142857148</v>
      </c>
      <c r="BZ35" s="14">
        <f>BY35*VLOOKUP('Données projet'!$B$12,Paramètres!$A$1:$I$89,3,0)*VLOOKUP('Données projet'!$B$12,Paramètres!$A$1:$I$89,5,0)</f>
        <v>83.439853714285746</v>
      </c>
      <c r="CA35" s="14">
        <f t="shared" si="39"/>
        <v>22.976174424044025</v>
      </c>
      <c r="CB35" s="22">
        <f t="shared" si="10"/>
        <v>185.34124900759105</v>
      </c>
      <c r="CC35" s="62">
        <f t="shared" si="11"/>
        <v>478.67458234092436</v>
      </c>
      <c r="CD35" s="62">
        <f ca="1">AVERAGE(OFFSET($CC$3,0,0,'Données projet'!$E$12+1,1))-AVERAGE(OFFSET($H$3,0,0,'Données projet'!$E$12+1,1))</f>
        <v>222.86701323374945</v>
      </c>
      <c r="CE35" s="62">
        <f t="shared" si="40"/>
        <v>149.63671045240511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8.6</v>
      </c>
      <c r="CT35" s="13">
        <f>IF('Données projet'!$A$140&gt;35,CT34+CS35-DB34,IF(A35&lt;'Données projet'!$A$140,$CQ$205^A35,IF(A35='Données projet'!$A$140,'Données projet'!$B$140,CT34+CS35-DB34)))</f>
        <v>155.20000000000002</v>
      </c>
      <c r="CU35" s="18">
        <f>CT35*VLOOKUP('Données projet'!$B$13,Paramètres!$A$1:$I$89,3,0)*VLOOKUP('Données projet'!$B$13,Paramètres!$A$1:$I$89,5,0)</f>
        <v>101.68704000000002</v>
      </c>
      <c r="CV35" s="14">
        <f t="shared" si="41"/>
        <v>27.363519398004541</v>
      </c>
      <c r="CW35" s="22">
        <f t="shared" si="13"/>
        <v>224.76305761819128</v>
      </c>
      <c r="CX35" s="62">
        <f t="shared" si="14"/>
        <v>518.09639095152465</v>
      </c>
      <c r="CY35" s="62">
        <f ca="1">AVERAGE(OFFSET($CX$3,0,0,'Données projet'!$E$13+1,1))-AVERAGE(OFFSET($H$3,0,0,'Données projet'!$E$13+1,1))</f>
        <v>173.15672762188746</v>
      </c>
      <c r="CZ35" s="62">
        <f t="shared" si="42"/>
        <v>208.54841796921414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1.3770368819527852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1.3770368819527852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16.614999999999998</v>
      </c>
      <c r="EJ35" s="13">
        <f>IF('Données projet'!$A$192&gt;35,EJ34+EI35-ER34,IF(A35&lt;'Données projet'!$A$192,$EG$205^A35,IF(A35='Données projet'!$A$192,'Données projet'!$B$192,EJ34+EI35-ER34)))</f>
        <v>200.72500000000002</v>
      </c>
      <c r="EK35" s="18">
        <f>EJ35*VLOOKUP('Données projet'!$B$15,Paramètres!$A$1:$I$89,3,0)*VLOOKUP('Données projet'!$B$15,Paramètres!$A$1:$I$89,5,0)</f>
        <v>120.03355000000002</v>
      </c>
      <c r="EL35" s="14">
        <f t="shared" si="45"/>
        <v>31.68282415335652</v>
      </c>
      <c r="EM35" s="22">
        <f t="shared" si="19"/>
        <v>264.23935165042923</v>
      </c>
      <c r="EN35" s="62">
        <f t="shared" si="20"/>
        <v>557.57268498376254</v>
      </c>
      <c r="EO35" s="62">
        <f ca="1">AVERAGE(OFFSET($EN$3,0,0,'Données projet'!$E$15+1,1))-AVERAGE(OFFSET($H$3,0,0,'Données projet'!$E$15+1,1))</f>
        <v>269.18638759204373</v>
      </c>
      <c r="EP35" s="62">
        <f t="shared" si="46"/>
        <v>197.07126167823969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9.4981861397704055</v>
      </c>
      <c r="EW35" s="23">
        <f>EXP(-LN(2)/25)*EW34+(1-EXP(-LN(2)/25))/(LN(2)/25)*Calculateur!ER35*Calculateur!ET35*VLOOKUP('Données projet'!$B$15,Paramètres!$A$1:$I$89,3,0)*0.475*44/12</f>
        <v>9.4904915394089411</v>
      </c>
      <c r="EX35" s="23">
        <f>EXP(-LN(2)/2)*EX34+(1-EXP(-LN(2)/2))/(LN(2)/2)*ER35*EU35*VLOOKUP('Données projet'!$B$15,Paramètres!$A$1:$I$89,3,0)*0.475*44/12</f>
        <v>1.5213343260977419</v>
      </c>
      <c r="EY35" s="24">
        <f t="shared" si="21"/>
        <v>20.510012005277087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>
        <f>VLOOKUP(A35,'Données projet'!$A$217:$I$237,2,0)</f>
        <v>391.32</v>
      </c>
      <c r="FC35" s="13">
        <f>VLOOKUP(A35,'Données projet'!$A$217:$I$237,9,0)</f>
        <v>24.97666666666667</v>
      </c>
      <c r="FD35" s="13">
        <f t="array" ref="FD35">INDEX(FC:FC,MIN(IF(ISNUMBER(FC35:FC231),ROW(FC35:FC231),"")))</f>
        <v>24.97666666666667</v>
      </c>
      <c r="FE35" s="13">
        <f>IF('Données projet'!$A$218&gt;35,FE34+FD35-FM34,IF(A35&lt;'Données projet'!$A$218,$FB$205^A35,IF(A35='Données projet'!$A$218,'Données projet'!$B$218,FE34+FD35-FM34)))</f>
        <v>391.32000000000005</v>
      </c>
      <c r="FF35" s="18">
        <f>FE35*VLOOKUP('Données projet'!$B$16,Paramètres!$A$1:$I$89,3,0)*VLOOKUP('Données projet'!$B$16,Paramètres!$A$1:$I$89,5,0)</f>
        <v>234.00936000000007</v>
      </c>
      <c r="FG35" s="14">
        <f t="shared" si="47"/>
        <v>57.148725031005249</v>
      </c>
      <c r="FH35" s="22">
        <f t="shared" si="22"/>
        <v>507.10033142900096</v>
      </c>
      <c r="FI35" s="62">
        <f t="shared" si="23"/>
        <v>800.43366476233427</v>
      </c>
      <c r="FJ35" s="62">
        <f ca="1">AVERAGE(OFFSET($FI$3,0,0,'Données projet'!$E$16+1,1))-AVERAGE(OFFSET($H$3,0,0,'Données projet'!$E$16+1,1))</f>
        <v>330.48891719033065</v>
      </c>
      <c r="FK35" s="62">
        <f t="shared" si="48"/>
        <v>419.35494198427284</v>
      </c>
      <c r="FL35" s="16">
        <f>IF(ISNA(VLOOKUP(A35,'Données projet'!$A$217:$I$237,3,0)),0,VLOOKUP(A35,'Données projet'!$A$217:$I$237,3,0))</f>
        <v>4</v>
      </c>
      <c r="FM35" s="16">
        <f>IF(ISNA(VLOOKUP(A35,'Données projet'!$A$217:$I$237,4,0)),0,VLOOKUP(A35,'Données projet'!$A$217:$I$237,4,0))</f>
        <v>79.400000000000006</v>
      </c>
      <c r="FN35" s="17">
        <f>IF(ISNA(VLOOKUP(A35,'Données projet'!$A$217:$I$237,5,0)),0%,VLOOKUP(A35,'Données projet'!$A$217:$I$237,5,0)*VLOOKUP('Données projet'!$B$16,Paramètres!$A$1:$I$89,7,0))</f>
        <v>0.27</v>
      </c>
      <c r="FO35" s="17">
        <f>IF(ISNA(VLOOKUP(A35,'Données projet'!$A$217:$I$237,6,0)),0%,VLOOKUP(A35,'Données projet'!$A$217:$I$237,6,0)*VLOOKUP('Données projet'!$B$16,Paramètres!$A$1:$I$89,7,0))</f>
        <v>9.9000000000000005E-2</v>
      </c>
      <c r="FP35" s="17">
        <f>IF(ISNA(VLOOKUP(A35,'Données projet'!$A$217:$I$237,7,0)),0%,VLOOKUP(A35,'Données projet'!$A$217:$I$237,7,0))</f>
        <v>0.18</v>
      </c>
      <c r="FQ35" s="23">
        <f>EXP(-LN(2)/35)*FQ34+(1-EXP(-LN(2)/35))/(LN(2)/35)*FM35*FN35*VLOOKUP('Données projet'!$B$16,Paramètres!$A$1:$I$89,3,0)*0.475*44/12</f>
        <v>35.877212028657652</v>
      </c>
      <c r="FR35" s="23">
        <f>EXP(-LN(2)/25)*FR34+(1-EXP(-LN(2)/25))/(LN(2)/25)*Calculateur!FM35*Calculateur!FO35*VLOOKUP('Données projet'!$B$16,Paramètres!$A$1:$I$89,3,0)*0.475*44/12</f>
        <v>20.013445693357035</v>
      </c>
      <c r="FS35" s="23">
        <f>EXP(-LN(2)/2)*FS34+(1-EXP(-LN(2)/2))/(LN(2)/2)*FM35*FP35*VLOOKUP('Données projet'!$B$16,Paramètres!$A$1:$I$89,3,0)*0.475*44/12</f>
        <v>10.898307699336195</v>
      </c>
      <c r="FT35" s="24">
        <f t="shared" si="24"/>
        <v>66.788965421350881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>
        <f>FZ35*VLOOKUP('Données projet'!$B$17,Paramètres!$A$1:$I$89,3,0)*VLOOKUP('Données projet'!$B$17,Paramètres!$A$1:$I$89,5,0)</f>
        <v>0</v>
      </c>
      <c r="GB35" s="14" t="e">
        <f t="shared" si="49"/>
        <v>#NUM!</v>
      </c>
      <c r="GC35" s="22" t="e">
        <f t="shared" si="25"/>
        <v>#NUM!</v>
      </c>
      <c r="GD35" s="62" t="e">
        <f t="shared" si="26"/>
        <v>#NUM!</v>
      </c>
      <c r="GE35" s="62">
        <f ca="1">AVERAGE(OFFSET($GD$3,0,0,'Données projet'!$E$17+1,1))-AVERAGE(OFFSET($H$3,0,0,'Données projet'!$E$17+1,1))</f>
        <v>132.18258156780018</v>
      </c>
      <c r="GF35" s="62">
        <f t="shared" si="50"/>
        <v>315.58133946947294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41.690855541668142</v>
      </c>
      <c r="GM35" s="23">
        <f>EXP(-LN(2)/25)*GM34+(1-EXP(-LN(2)/25))/(LN(2)/25)*Calculateur!GH35*Calculateur!GJ35*VLOOKUP('Données projet'!$B$17,Paramètres!$A$1:$I$89,3,0)*0.475*44/12</f>
        <v>17.553611668860341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59.244467210528484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9">
        <f t="shared" si="1"/>
        <v>323.66665830191403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3.887142857142857</v>
      </c>
      <c r="N36" s="14">
        <f>IF('Données projet'!$A$36&gt;35,N35+M36-V35,IF(A36&lt;'Données projet'!$A$36,$K$205^A36,IF(A36='Données projet'!$A$36,'Données projet'!$B$36,N35+M36-V35)))</f>
        <v>128.27571428571434</v>
      </c>
      <c r="O36" s="14">
        <f>N36*VLOOKUP('Données projet'!$B$9,Paramètres!$A$1:$I$89,3,0)*VLOOKUP('Données projet'!$B$9,Paramètres!$A$1:$I$89,5,0)</f>
        <v>116.06386628571434</v>
      </c>
      <c r="P36" s="14">
        <f t="shared" si="33"/>
        <v>30.755186414072718</v>
      </c>
      <c r="Q36" s="22">
        <f t="shared" si="53"/>
        <v>255.70985011879577</v>
      </c>
      <c r="R36" s="62">
        <f t="shared" si="0"/>
        <v>549.04318345212914</v>
      </c>
      <c r="S36" s="62">
        <f ca="1">AVERAGE(OFFSET($R$3,0,0,'Données projet'!$E$9+1,1))-AVERAGE(OFFSET($H$3,0,0,'Données projet'!$E$9+1,1))</f>
        <v>401.86262166363821</v>
      </c>
      <c r="T36" s="62">
        <f t="shared" si="34"/>
        <v>208.60314230781432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3.887142857142857</v>
      </c>
      <c r="AI36" s="14">
        <f>IF('Données projet'!$A$62&gt;35,AI35+AH36-AQ35,IF(A36&lt;'Données projet'!$A$62,$AF$205^A36,IF(A36='Données projet'!$A$62,'Données projet'!$B$62,AI35+AH36-AQ35)))</f>
        <v>128.27571428571434</v>
      </c>
      <c r="AJ36" s="14">
        <f>AI36*VLOOKUP('Données projet'!$B$10,Paramètres!$A$1:$I$89,3,0)*VLOOKUP('Données projet'!$B$10,Paramètres!$A$1:$I$89,5,0)</f>
        <v>138.0759788571429</v>
      </c>
      <c r="AK36" s="14">
        <f t="shared" si="35"/>
        <v>35.855884909144457</v>
      </c>
      <c r="AL36" s="22">
        <f t="shared" si="4"/>
        <v>302.93132939295043</v>
      </c>
      <c r="AM36" s="62">
        <f t="shared" si="5"/>
        <v>596.26466272628375</v>
      </c>
      <c r="AN36" s="62">
        <f ca="1">AVERAGE(OFFSET($AM$3,0,0,'Données projet'!$E$10+1,1))-AVERAGE(OFFSET($H$3,0,0,'Données projet'!$E$10+1,1))</f>
        <v>407.22515465568205</v>
      </c>
      <c r="AO36" s="62">
        <f t="shared" si="36"/>
        <v>251.6218558398258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3.887142857142857</v>
      </c>
      <c r="BD36" s="13">
        <f>IF('Données projet'!$A$88&gt;35,BD35+BC36-BL35,IF(A36&lt;'Données projet'!$A$88,$BA$205^A36,IF(A36='Données projet'!$A$88,'Données projet'!$B$88,BD35+BC36-BL35)))</f>
        <v>128.27571428571434</v>
      </c>
      <c r="BE36" s="14">
        <f>BD36*VLOOKUP('Données projet'!$B$11,Paramètres!$A$1:$I$89,3,0)*VLOOKUP('Données projet'!$B$11,Paramètres!$A$1:$I$89,5,0)</f>
        <v>124.06827085714291</v>
      </c>
      <c r="BF36" s="14">
        <f t="shared" si="37"/>
        <v>32.622007666753092</v>
      </c>
      <c r="BG36" s="22">
        <f t="shared" si="7"/>
        <v>272.9022350957855</v>
      </c>
      <c r="BH36" s="62">
        <f t="shared" si="8"/>
        <v>566.23556842911876</v>
      </c>
      <c r="BI36" s="62">
        <f ca="1">AVERAGE(OFFSET($BH$3,0,0,'Données projet'!$E$11+1,1))-AVERAGE(OFFSET($H$3,0,0,'Données projet'!$E$11+1,1))</f>
        <v>357.76044008074308</v>
      </c>
      <c r="BJ36" s="62">
        <f t="shared" si="38"/>
        <v>224.26555772810445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3.887142857142857</v>
      </c>
      <c r="BY36" s="13">
        <f>IF('Données projet'!$A$114&gt;35,BY35+BX36-CG35,IF(A36&lt;'Données projet'!$A$114,$BV$205^A36,IF(A36='Données projet'!$A$114,'Données projet'!$B$114,BY35+BX36-CG35)))</f>
        <v>128.27571428571434</v>
      </c>
      <c r="BZ36" s="14">
        <f>BY36*VLOOKUP('Données projet'!$B$12,Paramètres!$A$1:$I$89,3,0)*VLOOKUP('Données projet'!$B$12,Paramètres!$A$1:$I$89,5,0)</f>
        <v>86.047349142857186</v>
      </c>
      <c r="CA36" s="14">
        <f t="shared" si="39"/>
        <v>23.609463372360441</v>
      </c>
      <c r="CB36" s="22">
        <f t="shared" si="10"/>
        <v>190.98561513067068</v>
      </c>
      <c r="CC36" s="62">
        <f t="shared" si="11"/>
        <v>484.318948464004</v>
      </c>
      <c r="CD36" s="62">
        <f ca="1">AVERAGE(OFFSET($CC$3,0,0,'Données projet'!$E$12+1,1))-AVERAGE(OFFSET($H$3,0,0,'Données projet'!$E$12+1,1))</f>
        <v>222.86701323374945</v>
      </c>
      <c r="CE36" s="62">
        <f t="shared" si="40"/>
        <v>149.63671045240511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8.6</v>
      </c>
      <c r="CT36" s="13">
        <f>IF('Données projet'!$A$140&gt;35,CT35+CS36-DB35,IF(A36&lt;'Données projet'!$A$140,$CQ$205^A36,IF(A36='Données projet'!$A$140,'Données projet'!$B$140,CT35+CS36-DB35)))</f>
        <v>163.80000000000001</v>
      </c>
      <c r="CU36" s="18">
        <f>CT36*VLOOKUP('Données projet'!$B$13,Paramètres!$A$1:$I$89,3,0)*VLOOKUP('Données projet'!$B$13,Paramètres!$A$1:$I$89,5,0)</f>
        <v>107.32176000000001</v>
      </c>
      <c r="CV36" s="14">
        <f t="shared" si="41"/>
        <v>28.699067963776873</v>
      </c>
      <c r="CW36" s="22">
        <f t="shared" si="13"/>
        <v>236.90294203691141</v>
      </c>
      <c r="CX36" s="62">
        <f t="shared" si="14"/>
        <v>530.2362753702447</v>
      </c>
      <c r="CY36" s="62">
        <f ca="1">AVERAGE(OFFSET($CX$3,0,0,'Données projet'!$E$13+1,1))-AVERAGE(OFFSET($H$3,0,0,'Données projet'!$E$13+1,1))</f>
        <v>173.15672762188746</v>
      </c>
      <c r="CZ36" s="62">
        <f t="shared" si="42"/>
        <v>208.54841796921414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1.350034028607255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1.350034028607255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>
        <f>VLOOKUP(A36,'Données projet'!$A$191:$I$211,2,0)</f>
        <v>217.34</v>
      </c>
      <c r="EH36" s="13">
        <f>VLOOKUP(A36,'Données projet'!$A$191:$I$211,9,0)</f>
        <v>16.614999999999998</v>
      </c>
      <c r="EI36" s="13">
        <f t="array" ref="EI36">INDEX(EH:EH,MIN(IF(ISNUMBER(EH36:EH232),ROW(EH36:EH232),"")))</f>
        <v>16.614999999999998</v>
      </c>
      <c r="EJ36" s="13">
        <f>IF('Données projet'!$A$192&gt;35,EJ35+EI36-ER35,IF(A36&lt;'Données projet'!$A$192,$EG$205^A36,IF(A36='Données projet'!$A$192,'Données projet'!$B$192,EJ35+EI36-ER35)))</f>
        <v>217.34000000000003</v>
      </c>
      <c r="EK36" s="18">
        <f>EJ36*VLOOKUP('Données projet'!$B$15,Paramètres!$A$1:$I$89,3,0)*VLOOKUP('Données projet'!$B$15,Paramètres!$A$1:$I$89,5,0)</f>
        <v>129.96932000000001</v>
      </c>
      <c r="EL36" s="14">
        <f t="shared" si="45"/>
        <v>33.989269987755954</v>
      </c>
      <c r="EM36" s="22">
        <f t="shared" si="19"/>
        <v>285.56121089534162</v>
      </c>
      <c r="EN36" s="62">
        <f t="shared" si="20"/>
        <v>578.89454422867493</v>
      </c>
      <c r="EO36" s="62">
        <f ca="1">AVERAGE(OFFSET($EN$3,0,0,'Données projet'!$E$15+1,1))-AVERAGE(OFFSET($H$3,0,0,'Données projet'!$E$15+1,1))</f>
        <v>269.18638759204373</v>
      </c>
      <c r="EP36" s="62">
        <f t="shared" si="46"/>
        <v>197.07126167823969</v>
      </c>
      <c r="EQ36" s="16">
        <f>IF(ISNA(VLOOKUP(A36,'Données projet'!$A$191:$I$211,3,0)),0,VLOOKUP(A36,'Données projet'!$A$191:$I$211,3,0))</f>
        <v>3</v>
      </c>
      <c r="ER36" s="16">
        <f>IF(ISNA(VLOOKUP(A36,'Données projet'!$A$191:$I$211,4,0)),0,VLOOKUP(A36,'Données projet'!$A$191:$I$211,4,0))</f>
        <v>50.41</v>
      </c>
      <c r="ES36" s="17">
        <f>IF(ISNA(VLOOKUP(A36,'Données projet'!$A$191:$I$211,5,0)),0%,VLOOKUP(A36,'Données projet'!$A$191:$I$211,5,0)*VLOOKUP('Données projet'!$B$15,Paramètres!$A$1:$I$89,7,0))</f>
        <v>0.22500000000000001</v>
      </c>
      <c r="ET36" s="17">
        <f>IF(ISNA(VLOOKUP(A36,'Données projet'!$A$191:$I$211,6,0)),0%,VLOOKUP(A36,'Données projet'!$A$191:$I$211,6,0)*VLOOKUP('Données projet'!$B$15,Paramètres!$A$1:$I$89,7,0))</f>
        <v>0.12600000000000003</v>
      </c>
      <c r="EU36" s="17">
        <f>IF(ISNA(VLOOKUP(A36,'Données projet'!$A$191:$I$211,7,0)),0%,VLOOKUP(A36,'Données projet'!$A$191:$I$211,7,0))</f>
        <v>0.22</v>
      </c>
      <c r="EV36" s="23">
        <f>EXP(-LN(2)/35)*EV35+(1-EXP(-LN(2)/35))/(LN(2)/35)*ER36*ES36*VLOOKUP('Données projet'!$B$15,Paramètres!$A$1:$I$89,3,0)*0.475*44/12</f>
        <v>18.309575468327065</v>
      </c>
      <c r="EW36" s="23">
        <f>EXP(-LN(2)/25)*EW35+(1-EXP(-LN(2)/25))/(LN(2)/25)*Calculateur!ER36*Calculateur!ET36*VLOOKUP('Données projet'!$B$15,Paramètres!$A$1:$I$89,3,0)*0.475*44/12</f>
        <v>14.249814406538363</v>
      </c>
      <c r="EX36" s="23">
        <f>EXP(-LN(2)/2)*EX35+(1-EXP(-LN(2)/2))/(LN(2)/2)*ER36*EU36*VLOOKUP('Données projet'!$B$15,Paramètres!$A$1:$I$89,3,0)*0.475*44/12</f>
        <v>8.5846420288003298</v>
      </c>
      <c r="EY36" s="24">
        <f t="shared" si="21"/>
        <v>41.144031903665763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23.308750000000003</v>
      </c>
      <c r="FE36" s="13">
        <f>IF('Données projet'!$A$218&gt;35,FE35+FD36-FM35,IF(A36&lt;'Données projet'!$A$218,$FB$205^A36,IF(A36='Données projet'!$A$218,'Données projet'!$B$218,FE35+FD36-FM35)))</f>
        <v>335.2287500000001</v>
      </c>
      <c r="FF36" s="18">
        <f>FE36*VLOOKUP('Données projet'!$B$16,Paramètres!$A$1:$I$89,3,0)*VLOOKUP('Données projet'!$B$16,Paramètres!$A$1:$I$89,5,0)</f>
        <v>200.46679250000005</v>
      </c>
      <c r="FG36" s="14">
        <f t="shared" si="47"/>
        <v>49.846740665515398</v>
      </c>
      <c r="FH36" s="22">
        <f t="shared" si="22"/>
        <v>435.96273692993935</v>
      </c>
      <c r="FI36" s="62">
        <f t="shared" si="23"/>
        <v>729.29607026327267</v>
      </c>
      <c r="FJ36" s="62">
        <f ca="1">AVERAGE(OFFSET($FI$3,0,0,'Données projet'!$E$16+1,1))-AVERAGE(OFFSET($H$3,0,0,'Données projet'!$E$16+1,1))</f>
        <v>330.48891719033065</v>
      </c>
      <c r="FK36" s="62">
        <f t="shared" si="48"/>
        <v>419.35494198427284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35.173681783714251</v>
      </c>
      <c r="FR36" s="23">
        <f>EXP(-LN(2)/25)*FR35+(1-EXP(-LN(2)/25))/(LN(2)/25)*Calculateur!FM36*Calculateur!FO36*VLOOKUP('Données projet'!$B$16,Paramètres!$A$1:$I$89,3,0)*0.475*44/12</f>
        <v>19.466176968410821</v>
      </c>
      <c r="FS36" s="23">
        <f>EXP(-LN(2)/2)*FS35+(1-EXP(-LN(2)/2))/(LN(2)/2)*FM36*FP36*VLOOKUP('Données projet'!$B$16,Paramètres!$A$1:$I$89,3,0)*0.475*44/12</f>
        <v>7.7062672776581858</v>
      </c>
      <c r="FT36" s="24">
        <f t="shared" si="24"/>
        <v>62.346126029783257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>
        <f>FZ36*VLOOKUP('Données projet'!$B$17,Paramètres!$A$1:$I$89,3,0)*VLOOKUP('Données projet'!$B$17,Paramètres!$A$1:$I$89,5,0)</f>
        <v>0</v>
      </c>
      <c r="GB36" s="14" t="e">
        <f t="shared" si="49"/>
        <v>#NUM!</v>
      </c>
      <c r="GC36" s="22" t="e">
        <f t="shared" si="25"/>
        <v>#NUM!</v>
      </c>
      <c r="GD36" s="62" t="e">
        <f t="shared" si="26"/>
        <v>#NUM!</v>
      </c>
      <c r="GE36" s="62">
        <f ca="1">AVERAGE(OFFSET($GD$3,0,0,'Données projet'!$E$17+1,1))-AVERAGE(OFFSET($H$3,0,0,'Données projet'!$E$17+1,1))</f>
        <v>132.18258156780018</v>
      </c>
      <c r="GF36" s="62">
        <f t="shared" si="50"/>
        <v>315.58133946947294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40.873323293407012</v>
      </c>
      <c r="GM36" s="23">
        <f>EXP(-LN(2)/25)*GM35+(1-EXP(-LN(2)/25))/(LN(2)/25)*Calculateur!GH36*Calculateur!GJ36*VLOOKUP('Données projet'!$B$17,Paramètres!$A$1:$I$89,3,0)*0.475*44/12</f>
        <v>17.073607234671037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57.946930528078049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9">
        <f t="shared" si="1"/>
        <v>325.64015916094684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3.887142857142857</v>
      </c>
      <c r="N37" s="14">
        <f>IF('Données projet'!$A$36&gt;35,N36+M37-V36,IF(A37&lt;'Données projet'!$A$36,$K$205^A37,IF(A37='Données projet'!$A$36,'Données projet'!$B$36,N36+M37-V36)))</f>
        <v>132.16285714285721</v>
      </c>
      <c r="O37" s="14">
        <f>N37*VLOOKUP('Données projet'!$B$9,Paramètres!$A$1:$I$89,3,0)*VLOOKUP('Données projet'!$B$9,Paramètres!$A$1:$I$89,5,0)</f>
        <v>119.58095314285718</v>
      </c>
      <c r="P37" s="14">
        <f t="shared" si="33"/>
        <v>31.577243606763055</v>
      </c>
      <c r="Q37" s="22">
        <f t="shared" si="53"/>
        <v>263.26719267225525</v>
      </c>
      <c r="R37" s="62">
        <f t="shared" si="0"/>
        <v>556.60052600558856</v>
      </c>
      <c r="S37" s="62">
        <f ca="1">AVERAGE(OFFSET($R$3,0,0,'Données projet'!$E$9+1,1))-AVERAGE(OFFSET($H$3,0,0,'Données projet'!$E$9+1,1))</f>
        <v>401.86262166363821</v>
      </c>
      <c r="T37" s="62">
        <f t="shared" si="34"/>
        <v>208.60314230781432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3.887142857142857</v>
      </c>
      <c r="AI37" s="14">
        <f>IF('Données projet'!$A$62&gt;35,AI36+AH37-AQ36,IF(A37&lt;'Données projet'!$A$62,$AF$205^A37,IF(A37='Données projet'!$A$62,'Données projet'!$B$62,AI36+AH37-AQ36)))</f>
        <v>132.16285714285721</v>
      </c>
      <c r="AJ37" s="14">
        <f>AI37*VLOOKUP('Données projet'!$B$10,Paramètres!$A$1:$I$89,3,0)*VLOOKUP('Données projet'!$B$10,Paramètres!$A$1:$I$89,5,0)</f>
        <v>142.26009942857149</v>
      </c>
      <c r="AK37" s="14">
        <f t="shared" si="35"/>
        <v>36.814278972929188</v>
      </c>
      <c r="AL37" s="22">
        <f t="shared" si="4"/>
        <v>311.88787571594702</v>
      </c>
      <c r="AM37" s="62">
        <f t="shared" si="5"/>
        <v>605.22120904928033</v>
      </c>
      <c r="AN37" s="62">
        <f ca="1">AVERAGE(OFFSET($AM$3,0,0,'Données projet'!$E$10+1,1))-AVERAGE(OFFSET($H$3,0,0,'Données projet'!$E$10+1,1))</f>
        <v>407.22515465568205</v>
      </c>
      <c r="AO37" s="62">
        <f t="shared" si="36"/>
        <v>251.6218558398258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3.887142857142857</v>
      </c>
      <c r="BD37" s="13">
        <f>IF('Données projet'!$A$88&gt;35,BD36+BC37-BL36,IF(A37&lt;'Données projet'!$A$88,$BA$205^A37,IF(A37='Données projet'!$A$88,'Données projet'!$B$88,BD36+BC37-BL36)))</f>
        <v>132.16285714285721</v>
      </c>
      <c r="BE37" s="14">
        <f>BD37*VLOOKUP('Données projet'!$B$11,Paramètres!$A$1:$I$89,3,0)*VLOOKUP('Données projet'!$B$11,Paramètres!$A$1:$I$89,5,0)</f>
        <v>127.8279154285715</v>
      </c>
      <c r="BF37" s="14">
        <f t="shared" si="37"/>
        <v>33.493963234877462</v>
      </c>
      <c r="BG37" s="22">
        <f t="shared" si="7"/>
        <v>280.96893867217358</v>
      </c>
      <c r="BH37" s="62">
        <f t="shared" si="8"/>
        <v>574.30227200550689</v>
      </c>
      <c r="BI37" s="62">
        <f ca="1">AVERAGE(OFFSET($BH$3,0,0,'Données projet'!$E$11+1,1))-AVERAGE(OFFSET($H$3,0,0,'Données projet'!$E$11+1,1))</f>
        <v>357.76044008074308</v>
      </c>
      <c r="BJ37" s="62">
        <f t="shared" si="38"/>
        <v>224.26555772810445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3.887142857142857</v>
      </c>
      <c r="BY37" s="13">
        <f>IF('Données projet'!$A$114&gt;35,BY36+BX37-CG36,IF(A37&lt;'Données projet'!$A$114,$BV$205^A37,IF(A37='Données projet'!$A$114,'Données projet'!$B$114,BY36+BX37-CG36)))</f>
        <v>132.16285714285721</v>
      </c>
      <c r="BZ37" s="14">
        <f>BY37*VLOOKUP('Données projet'!$B$12,Paramètres!$A$1:$I$89,3,0)*VLOOKUP('Données projet'!$B$12,Paramètres!$A$1:$I$89,5,0)</f>
        <v>88.654844571428612</v>
      </c>
      <c r="CA37" s="14">
        <f t="shared" si="39"/>
        <v>24.240522112161401</v>
      </c>
      <c r="CB37" s="22">
        <f t="shared" si="10"/>
        <v>196.62609697391926</v>
      </c>
      <c r="CC37" s="62">
        <f t="shared" si="11"/>
        <v>489.95943030725255</v>
      </c>
      <c r="CD37" s="62">
        <f ca="1">AVERAGE(OFFSET($CC$3,0,0,'Données projet'!$E$12+1,1))-AVERAGE(OFFSET($H$3,0,0,'Données projet'!$E$12+1,1))</f>
        <v>222.86701323374945</v>
      </c>
      <c r="CE37" s="62">
        <f t="shared" si="40"/>
        <v>149.63671045240511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8.6</v>
      </c>
      <c r="CT37" s="13">
        <f>IF('Données projet'!$A$140&gt;35,CT36+CS37-DB36,IF(A37&lt;'Données projet'!$A$140,$CQ$205^A37,IF(A37='Données projet'!$A$140,'Données projet'!$B$140,CT36+CS37-DB36)))</f>
        <v>172.4</v>
      </c>
      <c r="CU37" s="18">
        <f>CT37*VLOOKUP('Données projet'!$B$13,Paramètres!$A$1:$I$89,3,0)*VLOOKUP('Données projet'!$B$13,Paramètres!$A$1:$I$89,5,0)</f>
        <v>112.95648</v>
      </c>
      <c r="CV37" s="14">
        <f t="shared" si="41"/>
        <v>30.026475458997034</v>
      </c>
      <c r="CW37" s="22">
        <f t="shared" si="13"/>
        <v>249.0286474244198</v>
      </c>
      <c r="CX37" s="62">
        <f t="shared" si="14"/>
        <v>542.36198075775314</v>
      </c>
      <c r="CY37" s="62">
        <f ca="1">AVERAGE(OFFSET($CX$3,0,0,'Données projet'!$E$13+1,1))-AVERAGE(OFFSET($H$3,0,0,'Données projet'!$E$13+1,1))</f>
        <v>173.15672762188746</v>
      </c>
      <c r="CZ37" s="62">
        <f t="shared" si="42"/>
        <v>208.54841796921414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1.3235606847457162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1.3235606847457162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16.701250000000002</v>
      </c>
      <c r="EJ37" s="13">
        <f>IF('Données projet'!$A$192&gt;35,EJ36+EI37-ER36,IF(A37&lt;'Données projet'!$A$192,$EG$205^A37,IF(A37='Données projet'!$A$192,'Données projet'!$B$192,EJ36+EI37-ER36)))</f>
        <v>183.63125000000005</v>
      </c>
      <c r="EK37" s="18">
        <f>EJ37*VLOOKUP('Données projet'!$B$15,Paramètres!$A$1:$I$89,3,0)*VLOOKUP('Données projet'!$B$15,Paramètres!$A$1:$I$89,5,0)</f>
        <v>109.81148750000004</v>
      </c>
      <c r="EL37" s="14">
        <f t="shared" si="45"/>
        <v>29.286565124423376</v>
      </c>
      <c r="EM37" s="22">
        <f t="shared" si="19"/>
        <v>242.26244165420408</v>
      </c>
      <c r="EN37" s="62">
        <f t="shared" si="20"/>
        <v>535.59577498753742</v>
      </c>
      <c r="EO37" s="62">
        <f ca="1">AVERAGE(OFFSET($EN$3,0,0,'Données projet'!$E$15+1,1))-AVERAGE(OFFSET($H$3,0,0,'Données projet'!$E$15+1,1))</f>
        <v>269.18638759204373</v>
      </c>
      <c r="EP37" s="62">
        <f t="shared" si="46"/>
        <v>197.07126167823969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17.950535861131485</v>
      </c>
      <c r="EW37" s="23">
        <f>EXP(-LN(2)/25)*EW36+(1-EXP(-LN(2)/25))/(LN(2)/25)*Calculateur!ER37*Calculateur!ET37*VLOOKUP('Données projet'!$B$15,Paramètres!$A$1:$I$89,3,0)*0.475*44/12</f>
        <v>13.8601524822264</v>
      </c>
      <c r="EX37" s="23">
        <f>EXP(-LN(2)/2)*EX36+(1-EXP(-LN(2)/2))/(LN(2)/2)*ER37*EU37*VLOOKUP('Données projet'!$B$15,Paramètres!$A$1:$I$89,3,0)*0.475*44/12</f>
        <v>6.0702585926237544</v>
      </c>
      <c r="EY37" s="24">
        <f t="shared" si="21"/>
        <v>37.88094693598164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23.308750000000003</v>
      </c>
      <c r="FE37" s="13">
        <f>IF('Données projet'!$A$218&gt;35,FE36+FD37-FM36,IF(A37&lt;'Données projet'!$A$218,$FB$205^A37,IF(A37='Données projet'!$A$218,'Données projet'!$B$218,FE36+FD37-FM36)))</f>
        <v>358.53750000000014</v>
      </c>
      <c r="FF37" s="18">
        <f>FE37*VLOOKUP('Données projet'!$B$16,Paramètres!$A$1:$I$89,3,0)*VLOOKUP('Données projet'!$B$16,Paramètres!$A$1:$I$89,5,0)</f>
        <v>214.40542500000009</v>
      </c>
      <c r="FG37" s="14">
        <f t="shared" si="47"/>
        <v>52.897115588358794</v>
      </c>
      <c r="FH37" s="22">
        <f t="shared" si="22"/>
        <v>465.55192485805838</v>
      </c>
      <c r="FI37" s="62">
        <f t="shared" si="23"/>
        <v>758.8852581913917</v>
      </c>
      <c r="FJ37" s="62">
        <f ca="1">AVERAGE(OFFSET($FI$3,0,0,'Données projet'!$E$16+1,1))-AVERAGE(OFFSET($H$3,0,0,'Données projet'!$E$16+1,1))</f>
        <v>330.48891719033065</v>
      </c>
      <c r="FK37" s="62">
        <f t="shared" si="48"/>
        <v>419.35494198427284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34.483947337763112</v>
      </c>
      <c r="FR37" s="23">
        <f>EXP(-LN(2)/25)*FR36+(1-EXP(-LN(2)/25))/(LN(2)/25)*Calculateur!FM37*Calculateur!FO37*VLOOKUP('Données projet'!$B$16,Paramètres!$A$1:$I$89,3,0)*0.475*44/12</f>
        <v>18.933873335527871</v>
      </c>
      <c r="FS37" s="23">
        <f>EXP(-LN(2)/2)*FS36+(1-EXP(-LN(2)/2))/(LN(2)/2)*FM37*FP37*VLOOKUP('Données projet'!$B$16,Paramètres!$A$1:$I$89,3,0)*0.475*44/12</f>
        <v>5.4491538496680985</v>
      </c>
      <c r="FT37" s="24">
        <f t="shared" si="24"/>
        <v>58.866974522959083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>
        <f>FZ37*VLOOKUP('Données projet'!$B$17,Paramètres!$A$1:$I$89,3,0)*VLOOKUP('Données projet'!$B$17,Paramètres!$A$1:$I$89,5,0)</f>
        <v>0</v>
      </c>
      <c r="GB37" s="14" t="e">
        <f t="shared" si="49"/>
        <v>#NUM!</v>
      </c>
      <c r="GC37" s="22" t="e">
        <f t="shared" si="25"/>
        <v>#NUM!</v>
      </c>
      <c r="GD37" s="62" t="e">
        <f t="shared" si="26"/>
        <v>#NUM!</v>
      </c>
      <c r="GE37" s="62">
        <f ca="1">AVERAGE(OFFSET($GD$3,0,0,'Données projet'!$E$17+1,1))-AVERAGE(OFFSET($H$3,0,0,'Données projet'!$E$17+1,1))</f>
        <v>132.18258156780018</v>
      </c>
      <c r="GF37" s="62">
        <f t="shared" si="50"/>
        <v>315.58133946947294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40.071822353888848</v>
      </c>
      <c r="GM37" s="23">
        <f>EXP(-LN(2)/25)*GM36+(1-EXP(-LN(2)/25))/(LN(2)/25)*Calculateur!GH37*Calculateur!GJ37*VLOOKUP('Données projet'!$B$17,Paramètres!$A$1:$I$89,3,0)*0.475*44/12</f>
        <v>16.606728546976974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56.678550900865822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9">
        <f t="shared" si="1"/>
        <v>327.61220793297304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3.887142857142857</v>
      </c>
      <c r="N38" s="14">
        <f>IF('Données projet'!$A$36&gt;35,N37+M38-V37,IF(A38&lt;'Données projet'!$A$36,$K$205^A38,IF(A38='Données projet'!$A$36,'Données projet'!$B$36,N37+M38-V37)))</f>
        <v>136.05000000000007</v>
      </c>
      <c r="O38" s="14">
        <f>N38*VLOOKUP('Données projet'!$B$9,Paramètres!$A$1:$I$89,3,0)*VLOOKUP('Données projet'!$B$9,Paramètres!$A$1:$I$89,5,0)</f>
        <v>123.09804000000005</v>
      </c>
      <c r="P38" s="14">
        <f t="shared" si="33"/>
        <v>32.396490846405321</v>
      </c>
      <c r="Q38" s="22">
        <f t="shared" si="53"/>
        <v>270.81964122415599</v>
      </c>
      <c r="R38" s="62">
        <f t="shared" si="0"/>
        <v>564.1529745574893</v>
      </c>
      <c r="S38" s="62">
        <f ca="1">AVERAGE(OFFSET($R$3,0,0,'Données projet'!$E$9+1,1))-AVERAGE(OFFSET($H$3,0,0,'Données projet'!$E$9+1,1))</f>
        <v>401.86262166363821</v>
      </c>
      <c r="T38" s="62">
        <f t="shared" si="34"/>
        <v>208.60314230781432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3.887142857142857</v>
      </c>
      <c r="AI38" s="14">
        <f>IF('Données projet'!$A$62&gt;35,AI37+AH38-AQ37,IF(A38&lt;'Données projet'!$A$62,$AF$205^A38,IF(A38='Données projet'!$A$62,'Données projet'!$B$62,AI37+AH38-AQ37)))</f>
        <v>136.05000000000007</v>
      </c>
      <c r="AJ38" s="14">
        <f>AI38*VLOOKUP('Données projet'!$B$10,Paramètres!$A$1:$I$89,3,0)*VLOOKUP('Données projet'!$B$10,Paramètres!$A$1:$I$89,5,0)</f>
        <v>146.44422000000006</v>
      </c>
      <c r="AK38" s="14">
        <f t="shared" si="35"/>
        <v>37.769397057445374</v>
      </c>
      <c r="AL38" s="22">
        <f t="shared" si="4"/>
        <v>320.83871637505081</v>
      </c>
      <c r="AM38" s="62">
        <f t="shared" si="5"/>
        <v>614.17204970838407</v>
      </c>
      <c r="AN38" s="62">
        <f ca="1">AVERAGE(OFFSET($AM$3,0,0,'Données projet'!$E$10+1,1))-AVERAGE(OFFSET($H$3,0,0,'Données projet'!$E$10+1,1))</f>
        <v>407.22515465568205</v>
      </c>
      <c r="AO38" s="62">
        <f t="shared" si="36"/>
        <v>251.6218558398258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3.887142857142857</v>
      </c>
      <c r="BD38" s="13">
        <f>IF('Données projet'!$A$88&gt;35,BD37+BC38-BL37,IF(A38&lt;'Données projet'!$A$88,$BA$205^A38,IF(A38='Données projet'!$A$88,'Données projet'!$B$88,BD37+BC38-BL37)))</f>
        <v>136.05000000000007</v>
      </c>
      <c r="BE38" s="14">
        <f>BD38*VLOOKUP('Données projet'!$B$11,Paramètres!$A$1:$I$89,3,0)*VLOOKUP('Données projet'!$B$11,Paramètres!$A$1:$I$89,5,0)</f>
        <v>131.58756000000008</v>
      </c>
      <c r="BF38" s="14">
        <f t="shared" si="37"/>
        <v>34.362938287499752</v>
      </c>
      <c r="BG38" s="22">
        <f t="shared" si="7"/>
        <v>289.0304511840622</v>
      </c>
      <c r="BH38" s="62">
        <f t="shared" si="8"/>
        <v>582.36378451739552</v>
      </c>
      <c r="BI38" s="62">
        <f ca="1">AVERAGE(OFFSET($BH$3,0,0,'Données projet'!$E$11+1,1))-AVERAGE(OFFSET($H$3,0,0,'Données projet'!$E$11+1,1))</f>
        <v>357.76044008074308</v>
      </c>
      <c r="BJ38" s="62">
        <f t="shared" si="38"/>
        <v>224.26555772810445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3.887142857142857</v>
      </c>
      <c r="BY38" s="13">
        <f>IF('Données projet'!$A$114&gt;35,BY37+BX38-CG37,IF(A38&lt;'Données projet'!$A$114,$BV$205^A38,IF(A38='Données projet'!$A$114,'Données projet'!$B$114,BY37+BX38-CG37)))</f>
        <v>136.05000000000007</v>
      </c>
      <c r="BZ38" s="14">
        <f>BY38*VLOOKUP('Données projet'!$B$12,Paramètres!$A$1:$I$89,3,0)*VLOOKUP('Données projet'!$B$12,Paramètres!$A$1:$I$89,5,0)</f>
        <v>91.262340000000052</v>
      </c>
      <c r="CA38" s="14">
        <f t="shared" si="39"/>
        <v>24.869423769164257</v>
      </c>
      <c r="CB38" s="22">
        <f t="shared" si="10"/>
        <v>202.26282189796117</v>
      </c>
      <c r="CC38" s="62">
        <f t="shared" si="11"/>
        <v>495.59615523129446</v>
      </c>
      <c r="CD38" s="62">
        <f ca="1">AVERAGE(OFFSET($CC$3,0,0,'Données projet'!$E$12+1,1))-AVERAGE(OFFSET($H$3,0,0,'Données projet'!$E$12+1,1))</f>
        <v>222.86701323374945</v>
      </c>
      <c r="CE38" s="62">
        <f t="shared" si="40"/>
        <v>149.63671045240511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181</v>
      </c>
      <c r="CR38" s="13">
        <f>VLOOKUP(A38,'Données projet'!$A$139:$I$159,9,0)</f>
        <v>8.6</v>
      </c>
      <c r="CS38" s="13">
        <f t="array" ref="CS38">INDEX(CR:CR,MIN(IF(ISNUMBER(CR38:CR234),ROW(CR38:CR234),"")))</f>
        <v>8.6</v>
      </c>
      <c r="CT38" s="13">
        <f>IF('Données projet'!$A$140&gt;35,CT37+CS38-DB37,IF(A38&lt;'Données projet'!$A$140,$CQ$205^A38,IF(A38='Données projet'!$A$140,'Données projet'!$B$140,CT37+CS38-DB37)))</f>
        <v>181</v>
      </c>
      <c r="CU38" s="18">
        <f>CT38*VLOOKUP('Données projet'!$B$13,Paramètres!$A$1:$I$89,3,0)*VLOOKUP('Données projet'!$B$13,Paramètres!$A$1:$I$89,5,0)</f>
        <v>118.5912</v>
      </c>
      <c r="CV38" s="14">
        <f t="shared" si="41"/>
        <v>31.346194334434067</v>
      </c>
      <c r="CW38" s="22">
        <f t="shared" si="13"/>
        <v>261.14096179913935</v>
      </c>
      <c r="CX38" s="62">
        <f t="shared" si="14"/>
        <v>554.47429513247266</v>
      </c>
      <c r="CY38" s="62">
        <f ca="1">AVERAGE(OFFSET($CX$3,0,0,'Données projet'!$E$13+1,1))-AVERAGE(OFFSET($H$3,0,0,'Données projet'!$E$13+1,1))</f>
        <v>173.15672762188746</v>
      </c>
      <c r="CZ38" s="62">
        <f t="shared" si="42"/>
        <v>208.54841796921414</v>
      </c>
      <c r="DA38" s="16">
        <f>IF(ISNA(VLOOKUP(A38,'Données projet'!$A$139:$I$159,3,0)),0,VLOOKUP(A38,'Données projet'!$A$139:$I$159,3,0))</f>
        <v>6</v>
      </c>
      <c r="DB38" s="16">
        <f>IF(ISNA(VLOOKUP(A38,'Données projet'!$A$139:$I$159,4,0)),0,VLOOKUP(A38,'Données projet'!$A$139:$I$159,4,0))</f>
        <v>25</v>
      </c>
      <c r="DC38" s="17">
        <f>IF(ISNA(VLOOKUP(A38,'Données projet'!$A$139:$I$159,5,0)),0%,VLOOKUP(A38,'Données projet'!$A$139:$I$159,5,0)*VLOOKUP('Données projet'!$B$13,Paramètres!$A$1:$I$89,7,0))</f>
        <v>8.6000000000000007E-2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2.8548604812506335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2.8548604812506335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16.701250000000002</v>
      </c>
      <c r="EJ38" s="13">
        <f>IF('Données projet'!$A$192&gt;35,EJ37+EI38-ER37,IF(A38&lt;'Données projet'!$A$192,$EG$205^A38,IF(A38='Données projet'!$A$192,'Données projet'!$B$192,EJ37+EI38-ER37)))</f>
        <v>200.33250000000004</v>
      </c>
      <c r="EK38" s="18">
        <f>EJ38*VLOOKUP('Données projet'!$B$15,Paramètres!$A$1:$I$89,3,0)*VLOOKUP('Données projet'!$B$15,Paramètres!$A$1:$I$89,5,0)</f>
        <v>119.79883500000003</v>
      </c>
      <c r="EL38" s="14">
        <f t="shared" si="45"/>
        <v>31.628076280921128</v>
      </c>
      <c r="EM38" s="22">
        <f t="shared" si="19"/>
        <v>263.73520381427102</v>
      </c>
      <c r="EN38" s="62">
        <f t="shared" si="20"/>
        <v>557.06853714760427</v>
      </c>
      <c r="EO38" s="62">
        <f ca="1">AVERAGE(OFFSET($EN$3,0,0,'Données projet'!$E$15+1,1))-AVERAGE(OFFSET($H$3,0,0,'Données projet'!$E$15+1,1))</f>
        <v>269.18638759204373</v>
      </c>
      <c r="EP38" s="62">
        <f t="shared" si="46"/>
        <v>197.07126167823969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17.598536801640474</v>
      </c>
      <c r="EW38" s="23">
        <f>EXP(-LN(2)/25)*EW37+(1-EXP(-LN(2)/25))/(LN(2)/25)*Calculateur!ER38*Calculateur!ET38*VLOOKUP('Données projet'!$B$15,Paramètres!$A$1:$I$89,3,0)*0.475*44/12</f>
        <v>13.481145883726178</v>
      </c>
      <c r="EX38" s="23">
        <f>EXP(-LN(2)/2)*EX37+(1-EXP(-LN(2)/2))/(LN(2)/2)*ER38*EU38*VLOOKUP('Données projet'!$B$15,Paramètres!$A$1:$I$89,3,0)*0.475*44/12</f>
        <v>4.2923210144001658</v>
      </c>
      <c r="EY38" s="24">
        <f t="shared" si="21"/>
        <v>35.372003699766822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23.308750000000003</v>
      </c>
      <c r="FE38" s="13">
        <f>IF('Données projet'!$A$218&gt;35,FE37+FD38-FM37,IF(A38&lt;'Données projet'!$A$218,$FB$205^A38,IF(A38='Données projet'!$A$218,'Données projet'!$B$218,FE37+FD38-FM37)))</f>
        <v>381.84625000000017</v>
      </c>
      <c r="FF38" s="18">
        <f>FE38*VLOOKUP('Données projet'!$B$16,Paramètres!$A$1:$I$89,3,0)*VLOOKUP('Données projet'!$B$16,Paramètres!$A$1:$I$89,5,0)</f>
        <v>228.3440575000001</v>
      </c>
      <c r="FG38" s="14">
        <f t="shared" si="47"/>
        <v>55.924477609658268</v>
      </c>
      <c r="FH38" s="22">
        <f t="shared" si="22"/>
        <v>495.101031982655</v>
      </c>
      <c r="FI38" s="62">
        <f t="shared" si="23"/>
        <v>788.43436531598832</v>
      </c>
      <c r="FJ38" s="62">
        <f ca="1">AVERAGE(OFFSET($FI$3,0,0,'Données projet'!$E$16+1,1))-AVERAGE(OFFSET($H$3,0,0,'Données projet'!$E$16+1,1))</f>
        <v>330.48891719033065</v>
      </c>
      <c r="FK38" s="62">
        <f t="shared" si="48"/>
        <v>419.35494198427284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33.807738163600604</v>
      </c>
      <c r="FR38" s="23">
        <f>EXP(-LN(2)/25)*FR37+(1-EXP(-LN(2)/25))/(LN(2)/25)*Calculateur!FM38*Calculateur!FO38*VLOOKUP('Données projet'!$B$16,Paramètres!$A$1:$I$89,3,0)*0.475*44/12</f>
        <v>18.416125573478737</v>
      </c>
      <c r="FS38" s="23">
        <f>EXP(-LN(2)/2)*FS37+(1-EXP(-LN(2)/2))/(LN(2)/2)*FM38*FP38*VLOOKUP('Données projet'!$B$16,Paramètres!$A$1:$I$89,3,0)*0.475*44/12</f>
        <v>3.8531336388290933</v>
      </c>
      <c r="FT38" s="24">
        <f t="shared" si="24"/>
        <v>56.076997375908434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>
        <f>FZ38*VLOOKUP('Données projet'!$B$17,Paramètres!$A$1:$I$89,3,0)*VLOOKUP('Données projet'!$B$17,Paramètres!$A$1:$I$89,5,0)</f>
        <v>0</v>
      </c>
      <c r="GB38" s="14" t="e">
        <f t="shared" si="49"/>
        <v>#NUM!</v>
      </c>
      <c r="GC38" s="22" t="e">
        <f t="shared" si="25"/>
        <v>#NUM!</v>
      </c>
      <c r="GD38" s="62" t="e">
        <f t="shared" si="26"/>
        <v>#NUM!</v>
      </c>
      <c r="GE38" s="62">
        <f ca="1">AVERAGE(OFFSET($GD$3,0,0,'Données projet'!$E$17+1,1))-AVERAGE(OFFSET($H$3,0,0,'Données projet'!$E$17+1,1))</f>
        <v>132.18258156780018</v>
      </c>
      <c r="GF38" s="62">
        <f t="shared" si="50"/>
        <v>315.58133946947294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39.286038358927335</v>
      </c>
      <c r="GM38" s="23">
        <f>EXP(-LN(2)/25)*GM37+(1-EXP(-LN(2)/25))/(LN(2)/25)*Calculateur!GH38*Calculateur!GJ38*VLOOKUP('Données projet'!$B$17,Paramètres!$A$1:$I$89,3,0)*0.475*44/12</f>
        <v>16.15261668154999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55.438655040477329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9">
        <f t="shared" si="1"/>
        <v>329.58285087123795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3.887142857142857</v>
      </c>
      <c r="N39" s="14">
        <f>IF('Données projet'!$A$36&gt;35,N38+M39-V38,IF(A39&lt;'Données projet'!$A$36,$K$205^A39,IF(A39='Données projet'!$A$36,'Données projet'!$B$36,N38+M39-V38)))</f>
        <v>139.93714285714293</v>
      </c>
      <c r="O39" s="14">
        <f>N39*VLOOKUP('Données projet'!$B$9,Paramètres!$A$1:$I$89,3,0)*VLOOKUP('Données projet'!$B$9,Paramètres!$A$1:$I$89,5,0)</f>
        <v>126.61512685714293</v>
      </c>
      <c r="P39" s="14">
        <f t="shared" si="33"/>
        <v>33.213017638275041</v>
      </c>
      <c r="Q39" s="22">
        <f t="shared" si="53"/>
        <v>278.36735166285297</v>
      </c>
      <c r="R39" s="62">
        <f t="shared" si="0"/>
        <v>571.70068499618628</v>
      </c>
      <c r="S39" s="62">
        <f ca="1">AVERAGE(OFFSET($R$3,0,0,'Données projet'!$E$9+1,1))-AVERAGE(OFFSET($H$3,0,0,'Données projet'!$E$9+1,1))</f>
        <v>401.86262166363821</v>
      </c>
      <c r="T39" s="62">
        <f t="shared" si="34"/>
        <v>208.60314230781432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3.887142857142857</v>
      </c>
      <c r="AI39" s="14">
        <f>IF('Données projet'!$A$62&gt;35,AI38+AH39-AQ38,IF(A39&lt;'Données projet'!$A$62,$AF$205^A39,IF(A39='Données projet'!$A$62,'Données projet'!$B$62,AI38+AH39-AQ38)))</f>
        <v>139.93714285714293</v>
      </c>
      <c r="AJ39" s="14">
        <f>AI39*VLOOKUP('Données projet'!$B$10,Paramètres!$A$1:$I$89,3,0)*VLOOKUP('Données projet'!$B$10,Paramètres!$A$1:$I$89,5,0)</f>
        <v>150.62834057142865</v>
      </c>
      <c r="AK39" s="14">
        <f t="shared" si="35"/>
        <v>38.721343512275389</v>
      </c>
      <c r="AL39" s="22">
        <f t="shared" si="4"/>
        <v>329.78403311245114</v>
      </c>
      <c r="AM39" s="62">
        <f t="shared" si="5"/>
        <v>623.11736644578446</v>
      </c>
      <c r="AN39" s="62">
        <f ca="1">AVERAGE(OFFSET($AM$3,0,0,'Données projet'!$E$10+1,1))-AVERAGE(OFFSET($H$3,0,0,'Données projet'!$E$10+1,1))</f>
        <v>407.22515465568205</v>
      </c>
      <c r="AO39" s="62">
        <f t="shared" si="36"/>
        <v>251.6218558398258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3.887142857142857</v>
      </c>
      <c r="BD39" s="13">
        <f>IF('Données projet'!$A$88&gt;35,BD38+BC39-BL38,IF(A39&lt;'Données projet'!$A$88,$BA$205^A39,IF(A39='Données projet'!$A$88,'Données projet'!$B$88,BD38+BC39-BL38)))</f>
        <v>139.93714285714293</v>
      </c>
      <c r="BE39" s="14">
        <f>BD39*VLOOKUP('Données projet'!$B$11,Paramètres!$A$1:$I$89,3,0)*VLOOKUP('Données projet'!$B$11,Paramètres!$A$1:$I$89,5,0)</f>
        <v>135.34720457142865</v>
      </c>
      <c r="BF39" s="14">
        <f t="shared" si="37"/>
        <v>35.229027762811612</v>
      </c>
      <c r="BG39" s="22">
        <f t="shared" si="7"/>
        <v>297.08693798213511</v>
      </c>
      <c r="BH39" s="62">
        <f t="shared" si="8"/>
        <v>590.42027131546843</v>
      </c>
      <c r="BI39" s="62">
        <f ca="1">AVERAGE(OFFSET($BH$3,0,0,'Données projet'!$E$11+1,1))-AVERAGE(OFFSET($H$3,0,0,'Données projet'!$E$11+1,1))</f>
        <v>357.76044008074308</v>
      </c>
      <c r="BJ39" s="62">
        <f t="shared" si="38"/>
        <v>224.26555772810445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3.887142857142857</v>
      </c>
      <c r="BY39" s="13">
        <f>IF('Données projet'!$A$114&gt;35,BY38+BX39-CG38,IF(A39&lt;'Données projet'!$A$114,$BV$205^A39,IF(A39='Données projet'!$A$114,'Données projet'!$B$114,BY38+BX39-CG38)))</f>
        <v>139.93714285714293</v>
      </c>
      <c r="BZ39" s="14">
        <f>BY39*VLOOKUP('Données projet'!$B$12,Paramètres!$A$1:$I$89,3,0)*VLOOKUP('Données projet'!$B$12,Paramètres!$A$1:$I$89,5,0)</f>
        <v>93.869835428571477</v>
      </c>
      <c r="CA39" s="14">
        <f t="shared" si="39"/>
        <v>25.49623705280532</v>
      </c>
      <c r="CB39" s="22">
        <f t="shared" si="10"/>
        <v>207.89590957173127</v>
      </c>
      <c r="CC39" s="62">
        <f t="shared" si="11"/>
        <v>501.22924290506455</v>
      </c>
      <c r="CD39" s="62">
        <f ca="1">AVERAGE(OFFSET($CC$3,0,0,'Données projet'!$E$12+1,1))-AVERAGE(OFFSET($H$3,0,0,'Données projet'!$E$12+1,1))</f>
        <v>222.86701323374945</v>
      </c>
      <c r="CE39" s="62">
        <f t="shared" si="40"/>
        <v>149.63671045240511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7.8</v>
      </c>
      <c r="CT39" s="13">
        <f>IF('Données projet'!$A$140&gt;35,CT38+CS39-DB38,IF(A39&lt;'Données projet'!$A$140,$CQ$205^A39,IF(A39='Données projet'!$A$140,'Données projet'!$B$140,CT38+CS39-DB38)))</f>
        <v>163.80000000000001</v>
      </c>
      <c r="CU39" s="18">
        <f>CT39*VLOOKUP('Données projet'!$B$13,Paramètres!$A$1:$I$89,3,0)*VLOOKUP('Données projet'!$B$13,Paramètres!$A$1:$I$89,5,0)</f>
        <v>107.32176000000001</v>
      </c>
      <c r="CV39" s="14">
        <f t="shared" si="41"/>
        <v>28.699067963776873</v>
      </c>
      <c r="CW39" s="22">
        <f t="shared" si="13"/>
        <v>236.90294203691141</v>
      </c>
      <c r="CX39" s="62">
        <f t="shared" si="14"/>
        <v>530.2362753702447</v>
      </c>
      <c r="CY39" s="62">
        <f ca="1">AVERAGE(OFFSET($CX$3,0,0,'Données projet'!$E$13+1,1))-AVERAGE(OFFSET($H$3,0,0,'Données projet'!$E$13+1,1))</f>
        <v>173.15672762188746</v>
      </c>
      <c r="CZ39" s="62">
        <f t="shared" si="42"/>
        <v>208.54841796921414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2.7988784085062637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2.7988784085062637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16.701250000000002</v>
      </c>
      <c r="EJ39" s="13">
        <f>IF('Données projet'!$A$192&gt;35,EJ38+EI39-ER38,IF(A39&lt;'Données projet'!$A$192,$EG$205^A39,IF(A39='Données projet'!$A$192,'Données projet'!$B$192,EJ38+EI39-ER38)))</f>
        <v>217.03375000000005</v>
      </c>
      <c r="EK39" s="18">
        <f>EJ39*VLOOKUP('Données projet'!$B$15,Paramètres!$A$1:$I$89,3,0)*VLOOKUP('Données projet'!$B$15,Paramètres!$A$1:$I$89,5,0)</f>
        <v>129.78618250000005</v>
      </c>
      <c r="EL39" s="14">
        <f t="shared" si="45"/>
        <v>33.946947653586037</v>
      </c>
      <c r="EM39" s="22">
        <f t="shared" si="19"/>
        <v>285.1685350174958</v>
      </c>
      <c r="EN39" s="62">
        <f t="shared" si="20"/>
        <v>578.50186835082911</v>
      </c>
      <c r="EO39" s="62">
        <f ca="1">AVERAGE(OFFSET($EN$3,0,0,'Données projet'!$E$15+1,1))-AVERAGE(OFFSET($H$3,0,0,'Données projet'!$E$15+1,1))</f>
        <v>269.18638759204373</v>
      </c>
      <c r="EP39" s="62">
        <f t="shared" si="46"/>
        <v>197.07126167823969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17.253440229007854</v>
      </c>
      <c r="EW39" s="23">
        <f>EXP(-LN(2)/25)*EW38+(1-EXP(-LN(2)/25))/(LN(2)/25)*Calculateur!ER39*Calculateur!ET39*VLOOKUP('Données projet'!$B$15,Paramètres!$A$1:$I$89,3,0)*0.475*44/12</f>
        <v>13.112503240593036</v>
      </c>
      <c r="EX39" s="23">
        <f>EXP(-LN(2)/2)*EX38+(1-EXP(-LN(2)/2))/(LN(2)/2)*ER39*EU39*VLOOKUP('Données projet'!$B$15,Paramètres!$A$1:$I$89,3,0)*0.475*44/12</f>
        <v>3.0351292963118781</v>
      </c>
      <c r="EY39" s="24">
        <f t="shared" si="21"/>
        <v>33.401072765912765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23.308750000000003</v>
      </c>
      <c r="FE39" s="13">
        <f>IF('Données projet'!$A$218&gt;35,FE38+FD39-FM38,IF(A39&lt;'Données projet'!$A$218,$FB$205^A39,IF(A39='Données projet'!$A$218,'Données projet'!$B$218,FE38+FD39-FM38)))</f>
        <v>405.1550000000002</v>
      </c>
      <c r="FF39" s="18">
        <f>FE39*VLOOKUP('Données projet'!$B$16,Paramètres!$A$1:$I$89,3,0)*VLOOKUP('Données projet'!$B$16,Paramètres!$A$1:$I$89,5,0)</f>
        <v>242.28269000000014</v>
      </c>
      <c r="FG39" s="14">
        <f t="shared" si="47"/>
        <v>58.930391445845103</v>
      </c>
      <c r="FH39" s="22">
        <f t="shared" si="22"/>
        <v>524.61278351818044</v>
      </c>
      <c r="FI39" s="62">
        <f t="shared" si="23"/>
        <v>817.94611685151381</v>
      </c>
      <c r="FJ39" s="62">
        <f ca="1">AVERAGE(OFFSET($FI$3,0,0,'Données projet'!$E$16+1,1))-AVERAGE(OFFSET($H$3,0,0,'Données projet'!$E$16+1,1))</f>
        <v>330.48891719033065</v>
      </c>
      <c r="FK39" s="62">
        <f t="shared" si="48"/>
        <v>419.35494198427284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33.144789038896555</v>
      </c>
      <c r="FR39" s="23">
        <f>EXP(-LN(2)/25)*FR38+(1-EXP(-LN(2)/25))/(LN(2)/25)*Calculateur!FM39*Calculateur!FO39*VLOOKUP('Données projet'!$B$16,Paramètres!$A$1:$I$89,3,0)*0.475*44/12</f>
        <v>17.912535651210007</v>
      </c>
      <c r="FS39" s="23">
        <f>EXP(-LN(2)/2)*FS38+(1-EXP(-LN(2)/2))/(LN(2)/2)*FM39*FP39*VLOOKUP('Données projet'!$B$16,Paramètres!$A$1:$I$89,3,0)*0.475*44/12</f>
        <v>2.7245769248340497</v>
      </c>
      <c r="FT39" s="24">
        <f t="shared" si="24"/>
        <v>53.781901614940608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>
        <f>FZ39*VLOOKUP('Données projet'!$B$17,Paramètres!$A$1:$I$89,3,0)*VLOOKUP('Données projet'!$B$17,Paramètres!$A$1:$I$89,5,0)</f>
        <v>0</v>
      </c>
      <c r="GB39" s="14" t="e">
        <f t="shared" si="49"/>
        <v>#NUM!</v>
      </c>
      <c r="GC39" s="22" t="e">
        <f t="shared" si="25"/>
        <v>#NUM!</v>
      </c>
      <c r="GD39" s="62" t="e">
        <f t="shared" si="26"/>
        <v>#NUM!</v>
      </c>
      <c r="GE39" s="62">
        <f ca="1">AVERAGE(OFFSET($GD$3,0,0,'Données projet'!$E$17+1,1))-AVERAGE(OFFSET($H$3,0,0,'Données projet'!$E$17+1,1))</f>
        <v>132.18258156780018</v>
      </c>
      <c r="GF39" s="62">
        <f t="shared" si="50"/>
        <v>315.58133946947294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38.515663108826104</v>
      </c>
      <c r="GM39" s="23">
        <f>EXP(-LN(2)/25)*GM38+(1-EXP(-LN(2)/25))/(LN(2)/25)*Calculateur!GH39*Calculateur!GJ39*VLOOKUP('Données projet'!$B$17,Paramètres!$A$1:$I$89,3,0)*0.475*44/12</f>
        <v>15.710922528963811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54.226585637789917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9">
        <f t="shared" si="1"/>
        <v>331.55213151314524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3.887142857142857</v>
      </c>
      <c r="N40" s="14">
        <f>IF('Données projet'!$A$36&gt;35,N39+M40-V39,IF(A40&lt;'Données projet'!$A$36,$K$205^A40,IF(A40='Données projet'!$A$36,'Données projet'!$B$36,N39+M40-V39)))</f>
        <v>143.82428571428579</v>
      </c>
      <c r="O40" s="14">
        <f>N40*VLOOKUP('Données projet'!$B$9,Paramètres!$A$1:$I$89,3,0)*VLOOKUP('Données projet'!$B$9,Paramètres!$A$1:$I$89,5,0)</f>
        <v>130.13221371428577</v>
      </c>
      <c r="P40" s="14">
        <f t="shared" si="33"/>
        <v>34.026908232186209</v>
      </c>
      <c r="Q40" s="22">
        <f t="shared" si="53"/>
        <v>285.91047072343866</v>
      </c>
      <c r="R40" s="62">
        <f t="shared" si="0"/>
        <v>579.24380405677198</v>
      </c>
      <c r="S40" s="62">
        <f ca="1">AVERAGE(OFFSET($R$3,0,0,'Données projet'!$E$9+1,1))-AVERAGE(OFFSET($H$3,0,0,'Données projet'!$E$9+1,1))</f>
        <v>401.86262166363821</v>
      </c>
      <c r="T40" s="62">
        <f t="shared" si="34"/>
        <v>208.60314230781432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3.887142857142857</v>
      </c>
      <c r="AI40" s="14">
        <f>IF('Données projet'!$A$62&gt;35,AI39+AH40-AQ39,IF(A40&lt;'Données projet'!$A$62,$AF$205^A40,IF(A40='Données projet'!$A$62,'Données projet'!$B$62,AI39+AH40-AQ39)))</f>
        <v>143.82428571428579</v>
      </c>
      <c r="AJ40" s="14">
        <f>AI40*VLOOKUP('Données projet'!$B$10,Paramètres!$A$1:$I$89,3,0)*VLOOKUP('Données projet'!$B$10,Paramètres!$A$1:$I$89,5,0)</f>
        <v>154.81246114285725</v>
      </c>
      <c r="AK40" s="14">
        <f t="shared" si="35"/>
        <v>39.670216559930267</v>
      </c>
      <c r="AL40" s="22">
        <f t="shared" si="4"/>
        <v>338.72399699902149</v>
      </c>
      <c r="AM40" s="62">
        <f t="shared" si="5"/>
        <v>632.05733033235481</v>
      </c>
      <c r="AN40" s="62">
        <f ca="1">AVERAGE(OFFSET($AM$3,0,0,'Données projet'!$E$10+1,1))-AVERAGE(OFFSET($H$3,0,0,'Données projet'!$E$10+1,1))</f>
        <v>407.22515465568205</v>
      </c>
      <c r="AO40" s="62">
        <f t="shared" si="36"/>
        <v>251.6218558398258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3.887142857142857</v>
      </c>
      <c r="BD40" s="13">
        <f>IF('Données projet'!$A$88&gt;35,BD39+BC40-BL39,IF(A40&lt;'Données projet'!$A$88,$BA$205^A40,IF(A40='Données projet'!$A$88,'Données projet'!$B$88,BD39+BC40-BL39)))</f>
        <v>143.82428571428579</v>
      </c>
      <c r="BE40" s="14">
        <f>BD40*VLOOKUP('Données projet'!$B$11,Paramètres!$A$1:$I$89,3,0)*VLOOKUP('Données projet'!$B$11,Paramètres!$A$1:$I$89,5,0)</f>
        <v>139.10684914285721</v>
      </c>
      <c r="BF40" s="14">
        <f t="shared" si="37"/>
        <v>36.092321024539963</v>
      </c>
      <c r="BG40" s="22">
        <f t="shared" si="7"/>
        <v>305.13855470821676</v>
      </c>
      <c r="BH40" s="62">
        <f t="shared" si="8"/>
        <v>598.47188804155007</v>
      </c>
      <c r="BI40" s="62">
        <f ca="1">AVERAGE(OFFSET($BH$3,0,0,'Données projet'!$E$11+1,1))-AVERAGE(OFFSET($H$3,0,0,'Données projet'!$E$11+1,1))</f>
        <v>357.76044008074308</v>
      </c>
      <c r="BJ40" s="62">
        <f t="shared" si="38"/>
        <v>224.26555772810445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3.887142857142857</v>
      </c>
      <c r="BY40" s="13">
        <f>IF('Données projet'!$A$114&gt;35,BY39+BX40-CG39,IF(A40&lt;'Données projet'!$A$114,$BV$205^A40,IF(A40='Données projet'!$A$114,'Données projet'!$B$114,BY39+BX40-CG39)))</f>
        <v>143.82428571428579</v>
      </c>
      <c r="BZ40" s="14">
        <f>BY40*VLOOKUP('Données projet'!$B$12,Paramètres!$A$1:$I$89,3,0)*VLOOKUP('Données projet'!$B$12,Paramètres!$A$1:$I$89,5,0)</f>
        <v>96.477330857142903</v>
      </c>
      <c r="CA40" s="14">
        <f t="shared" si="39"/>
        <v>26.121026638124231</v>
      </c>
      <c r="CB40" s="22">
        <f t="shared" si="10"/>
        <v>213.52547263759024</v>
      </c>
      <c r="CC40" s="62">
        <f t="shared" si="11"/>
        <v>506.85880597092353</v>
      </c>
      <c r="CD40" s="62">
        <f ca="1">AVERAGE(OFFSET($CC$3,0,0,'Données projet'!$E$12+1,1))-AVERAGE(OFFSET($H$3,0,0,'Données projet'!$E$12+1,1))</f>
        <v>222.86701323374945</v>
      </c>
      <c r="CE40" s="62">
        <f t="shared" si="40"/>
        <v>149.63671045240511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7.8</v>
      </c>
      <c r="CT40" s="13">
        <f>IF('Données projet'!$A$140&gt;35,CT39+CS40-DB39,IF(A40&lt;'Données projet'!$A$140,$CQ$205^A40,IF(A40='Données projet'!$A$140,'Données projet'!$B$140,CT39+CS40-DB39)))</f>
        <v>171.60000000000002</v>
      </c>
      <c r="CU40" s="18">
        <f>CT40*VLOOKUP('Données projet'!$B$13,Paramètres!$A$1:$I$89,3,0)*VLOOKUP('Données projet'!$B$13,Paramètres!$A$1:$I$89,5,0)</f>
        <v>112.43232</v>
      </c>
      <c r="CV40" s="14">
        <f t="shared" si="41"/>
        <v>29.903326635598326</v>
      </c>
      <c r="CW40" s="22">
        <f t="shared" si="13"/>
        <v>247.90125122366706</v>
      </c>
      <c r="CX40" s="62">
        <f t="shared" si="14"/>
        <v>541.2345845570004</v>
      </c>
      <c r="CY40" s="62">
        <f ca="1">AVERAGE(OFFSET($CX$3,0,0,'Données projet'!$E$13+1,1))-AVERAGE(OFFSET($H$3,0,0,'Données projet'!$E$13+1,1))</f>
        <v>173.15672762188746</v>
      </c>
      <c r="CZ40" s="62">
        <f t="shared" si="42"/>
        <v>208.54841796921414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2.7439941100627183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2.7439941100627183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16.701250000000002</v>
      </c>
      <c r="EJ40" s="13">
        <f>IF('Données projet'!$A$192&gt;35,EJ39+EI40-ER39,IF(A40&lt;'Données projet'!$A$192,$EG$205^A40,IF(A40='Données projet'!$A$192,'Données projet'!$B$192,EJ39+EI40-ER39)))</f>
        <v>233.73500000000007</v>
      </c>
      <c r="EK40" s="18">
        <f>EJ40*VLOOKUP('Données projet'!$B$15,Paramètres!$A$1:$I$89,3,0)*VLOOKUP('Données projet'!$B$15,Paramètres!$A$1:$I$89,5,0)</f>
        <v>139.77353000000005</v>
      </c>
      <c r="EL40" s="14">
        <f t="shared" si="45"/>
        <v>36.245119510821418</v>
      </c>
      <c r="EM40" s="22">
        <f t="shared" si="19"/>
        <v>306.56581456468069</v>
      </c>
      <c r="EN40" s="62">
        <f t="shared" si="20"/>
        <v>599.89914789801401</v>
      </c>
      <c r="EO40" s="62">
        <f ca="1">AVERAGE(OFFSET($EN$3,0,0,'Données projet'!$E$15+1,1))-AVERAGE(OFFSET($H$3,0,0,'Données projet'!$E$15+1,1))</f>
        <v>269.18638759204373</v>
      </c>
      <c r="EP40" s="62">
        <f t="shared" si="46"/>
        <v>197.07126167823969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16.915110789676433</v>
      </c>
      <c r="EW40" s="23">
        <f>EXP(-LN(2)/25)*EW39+(1-EXP(-LN(2)/25))/(LN(2)/25)*Calculateur!ER40*Calculateur!ET40*VLOOKUP('Données projet'!$B$15,Paramètres!$A$1:$I$89,3,0)*0.475*44/12</f>
        <v>12.753941149922442</v>
      </c>
      <c r="EX40" s="23">
        <f>EXP(-LN(2)/2)*EX39+(1-EXP(-LN(2)/2))/(LN(2)/2)*ER40*EU40*VLOOKUP('Données projet'!$B$15,Paramètres!$A$1:$I$89,3,0)*0.475*44/12</f>
        <v>2.1461605072000833</v>
      </c>
      <c r="EY40" s="24">
        <f t="shared" si="21"/>
        <v>31.815212446798956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23.308750000000003</v>
      </c>
      <c r="FE40" s="13">
        <f>IF('Données projet'!$A$218&gt;35,FE39+FD40-FM39,IF(A40&lt;'Données projet'!$A$218,$FB$205^A40,IF(A40='Données projet'!$A$218,'Données projet'!$B$218,FE39+FD40-FM39)))</f>
        <v>428.46375000000023</v>
      </c>
      <c r="FF40" s="18">
        <f>FE40*VLOOKUP('Données projet'!$B$16,Paramètres!$A$1:$I$89,3,0)*VLOOKUP('Données projet'!$B$16,Paramètres!$A$1:$I$89,5,0)</f>
        <v>256.22132250000016</v>
      </c>
      <c r="FG40" s="14">
        <f t="shared" si="47"/>
        <v>61.91623160633452</v>
      </c>
      <c r="FH40" s="22">
        <f t="shared" si="22"/>
        <v>554.08957340186623</v>
      </c>
      <c r="FI40" s="62">
        <f t="shared" si="23"/>
        <v>847.4229067351996</v>
      </c>
      <c r="FJ40" s="62">
        <f ca="1">AVERAGE(OFFSET($FI$3,0,0,'Données projet'!$E$16+1,1))-AVERAGE(OFFSET($H$3,0,0,'Données projet'!$E$16+1,1))</f>
        <v>330.48891719033065</v>
      </c>
      <c r="FK40" s="62">
        <f t="shared" si="48"/>
        <v>419.35494198427284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32.494839942168909</v>
      </c>
      <c r="FR40" s="23">
        <f>EXP(-LN(2)/25)*FR39+(1-EXP(-LN(2)/25))/(LN(2)/25)*Calculateur!FM40*Calculateur!FO40*VLOOKUP('Données projet'!$B$16,Paramètres!$A$1:$I$89,3,0)*0.475*44/12</f>
        <v>17.42271642184836</v>
      </c>
      <c r="FS40" s="23">
        <f>EXP(-LN(2)/2)*FS39+(1-EXP(-LN(2)/2))/(LN(2)/2)*FM40*FP40*VLOOKUP('Données projet'!$B$16,Paramètres!$A$1:$I$89,3,0)*0.475*44/12</f>
        <v>1.9265668194145471</v>
      </c>
      <c r="FT40" s="24">
        <f t="shared" si="24"/>
        <v>51.844123183431819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>
        <f>FZ40*VLOOKUP('Données projet'!$B$17,Paramètres!$A$1:$I$89,3,0)*VLOOKUP('Données projet'!$B$17,Paramètres!$A$1:$I$89,5,0)</f>
        <v>0</v>
      </c>
      <c r="GB40" s="14" t="e">
        <f t="shared" si="49"/>
        <v>#NUM!</v>
      </c>
      <c r="GC40" s="22" t="e">
        <f t="shared" si="25"/>
        <v>#NUM!</v>
      </c>
      <c r="GD40" s="62" t="e">
        <f t="shared" si="26"/>
        <v>#NUM!</v>
      </c>
      <c r="GE40" s="62">
        <f ca="1">AVERAGE(OFFSET($GD$3,0,0,'Données projet'!$E$17+1,1))-AVERAGE(OFFSET($H$3,0,0,'Données projet'!$E$17+1,1))</f>
        <v>132.18258156780018</v>
      </c>
      <c r="GF40" s="62">
        <f t="shared" si="50"/>
        <v>315.58133946947294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37.760394447496857</v>
      </c>
      <c r="GM40" s="23">
        <f>EXP(-LN(2)/25)*GM39+(1-EXP(-LN(2)/25))/(LN(2)/25)*Calculateur!GH40*Calculateur!GJ40*VLOOKUP('Données projet'!$B$17,Paramètres!$A$1:$I$89,3,0)*0.475*44/12</f>
        <v>15.281306526207787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53.041700973704643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9">
        <f t="shared" si="1"/>
        <v>333.52009090875754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3.887142857142857</v>
      </c>
      <c r="N41" s="14">
        <f>IF('Données projet'!$A$36&gt;35,N40+M41-V40,IF(A41&lt;'Données projet'!$A$36,$K$205^A41,IF(A41='Données projet'!$A$36,'Données projet'!$B$36,N40+M41-V40)))</f>
        <v>147.71142857142866</v>
      </c>
      <c r="O41" s="14">
        <f>N41*VLOOKUP('Données projet'!$B$9,Paramètres!$A$1:$I$89,3,0)*VLOOKUP('Données projet'!$B$9,Paramètres!$A$1:$I$89,5,0)</f>
        <v>133.64930057142865</v>
      </c>
      <c r="P41" s="14">
        <f t="shared" si="33"/>
        <v>34.8382420646657</v>
      </c>
      <c r="Q41" s="22">
        <f t="shared" si="53"/>
        <v>293.44913675786432</v>
      </c>
      <c r="R41" s="62">
        <f t="shared" si="0"/>
        <v>586.78247009119764</v>
      </c>
      <c r="S41" s="62">
        <f ca="1">AVERAGE(OFFSET($R$3,0,0,'Données projet'!$E$9+1,1))-AVERAGE(OFFSET($H$3,0,0,'Données projet'!$E$9+1,1))</f>
        <v>401.86262166363821</v>
      </c>
      <c r="T41" s="62">
        <f t="shared" si="34"/>
        <v>208.60314230781432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3.887142857142857</v>
      </c>
      <c r="AI41" s="14">
        <f>IF('Données projet'!$A$62&gt;35,AI40+AH41-AQ40,IF(A41&lt;'Données projet'!$A$62,$AF$205^A41,IF(A41='Données projet'!$A$62,'Données projet'!$B$62,AI40+AH41-AQ40)))</f>
        <v>147.71142857142866</v>
      </c>
      <c r="AJ41" s="14">
        <f>AI41*VLOOKUP('Données projet'!$B$10,Paramètres!$A$1:$I$89,3,0)*VLOOKUP('Données projet'!$B$10,Paramètres!$A$1:$I$89,5,0)</f>
        <v>158.99658171428578</v>
      </c>
      <c r="AK41" s="14">
        <f t="shared" si="35"/>
        <v>40.616108811357734</v>
      </c>
      <c r="AL41" s="22">
        <f t="shared" si="4"/>
        <v>347.65876933216242</v>
      </c>
      <c r="AM41" s="62">
        <f t="shared" si="5"/>
        <v>640.99210266549574</v>
      </c>
      <c r="AN41" s="62">
        <f ca="1">AVERAGE(OFFSET($AM$3,0,0,'Données projet'!$E$10+1,1))-AVERAGE(OFFSET($H$3,0,0,'Données projet'!$E$10+1,1))</f>
        <v>407.22515465568205</v>
      </c>
      <c r="AO41" s="62">
        <f t="shared" si="36"/>
        <v>251.6218558398258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3.887142857142857</v>
      </c>
      <c r="BD41" s="13">
        <f>IF('Données projet'!$A$88&gt;35,BD40+BC41-BL40,IF(A41&lt;'Données projet'!$A$88,$BA$205^A41,IF(A41='Données projet'!$A$88,'Données projet'!$B$88,BD40+BC41-BL40)))</f>
        <v>147.71142857142866</v>
      </c>
      <c r="BE41" s="14">
        <f>BD41*VLOOKUP('Données projet'!$B$11,Paramètres!$A$1:$I$89,3,0)*VLOOKUP('Données projet'!$B$11,Paramètres!$A$1:$I$89,5,0)</f>
        <v>142.86649371428578</v>
      </c>
      <c r="BF41" s="14">
        <f t="shared" si="37"/>
        <v>36.952902330960896</v>
      </c>
      <c r="BG41" s="22">
        <f t="shared" si="7"/>
        <v>313.18544811213798</v>
      </c>
      <c r="BH41" s="62">
        <f t="shared" si="8"/>
        <v>606.51878144547129</v>
      </c>
      <c r="BI41" s="62">
        <f ca="1">AVERAGE(OFFSET($BH$3,0,0,'Données projet'!$E$11+1,1))-AVERAGE(OFFSET($H$3,0,0,'Données projet'!$E$11+1,1))</f>
        <v>357.76044008074308</v>
      </c>
      <c r="BJ41" s="62">
        <f t="shared" si="38"/>
        <v>224.26555772810445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3.887142857142857</v>
      </c>
      <c r="BY41" s="13">
        <f>IF('Données projet'!$A$114&gt;35,BY40+BX41-CG40,IF(A41&lt;'Données projet'!$A$114,$BV$205^A41,IF(A41='Données projet'!$A$114,'Données projet'!$B$114,BY40+BX41-CG40)))</f>
        <v>147.71142857142866</v>
      </c>
      <c r="BZ41" s="14">
        <f>BY41*VLOOKUP('Données projet'!$B$12,Paramètres!$A$1:$I$89,3,0)*VLOOKUP('Données projet'!$B$12,Paramètres!$A$1:$I$89,5,0)</f>
        <v>99.084826285714342</v>
      </c>
      <c r="CA41" s="14">
        <f t="shared" si="39"/>
        <v>26.743853505202381</v>
      </c>
      <c r="CB41" s="22">
        <f t="shared" si="10"/>
        <v>219.1516173025133</v>
      </c>
      <c r="CC41" s="62">
        <f t="shared" si="11"/>
        <v>512.48495063584664</v>
      </c>
      <c r="CD41" s="62">
        <f ca="1">AVERAGE(OFFSET($CC$3,0,0,'Données projet'!$E$12+1,1))-AVERAGE(OFFSET($H$3,0,0,'Données projet'!$E$12+1,1))</f>
        <v>222.86701323374945</v>
      </c>
      <c r="CE41" s="62">
        <f t="shared" si="40"/>
        <v>149.63671045240511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7.8</v>
      </c>
      <c r="CT41" s="13">
        <f>IF('Données projet'!$A$140&gt;35,CT40+CS41-DB40,IF(A41&lt;'Données projet'!$A$140,$CQ$205^A41,IF(A41='Données projet'!$A$140,'Données projet'!$B$140,CT40+CS41-DB40)))</f>
        <v>179.40000000000003</v>
      </c>
      <c r="CU41" s="18">
        <f>CT41*VLOOKUP('Données projet'!$B$13,Paramètres!$A$1:$I$89,3,0)*VLOOKUP('Données projet'!$B$13,Paramètres!$A$1:$I$89,5,0)</f>
        <v>117.54288000000003</v>
      </c>
      <c r="CV41" s="14">
        <f t="shared" si="41"/>
        <v>31.101228198889224</v>
      </c>
      <c r="CW41" s="22">
        <f t="shared" si="13"/>
        <v>258.88848844639881</v>
      </c>
      <c r="CX41" s="62">
        <f t="shared" si="14"/>
        <v>552.22182177973218</v>
      </c>
      <c r="CY41" s="62">
        <f ca="1">AVERAGE(OFFSET($CX$3,0,0,'Données projet'!$E$13+1,1))-AVERAGE(OFFSET($H$3,0,0,'Données projet'!$E$13+1,1))</f>
        <v>173.15672762188746</v>
      </c>
      <c r="CZ41" s="62">
        <f t="shared" si="42"/>
        <v>208.54841796921414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2.6901860592355344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2.6901860592355344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16.701250000000002</v>
      </c>
      <c r="EJ41" s="13">
        <f>IF('Données projet'!$A$192&gt;35,EJ40+EI41-ER40,IF(A41&lt;'Données projet'!$A$192,$EG$205^A41,IF(A41='Données projet'!$A$192,'Données projet'!$B$192,EJ40+EI41-ER40)))</f>
        <v>250.43625000000009</v>
      </c>
      <c r="EK41" s="18">
        <f>EJ41*VLOOKUP('Données projet'!$B$15,Paramètres!$A$1:$I$89,3,0)*VLOOKUP('Données projet'!$B$15,Paramètres!$A$1:$I$89,5,0)</f>
        <v>149.76087750000008</v>
      </c>
      <c r="EL41" s="14">
        <f t="shared" si="45"/>
        <v>38.524239129902824</v>
      </c>
      <c r="EM41" s="22">
        <f t="shared" si="19"/>
        <v>327.9299114637476</v>
      </c>
      <c r="EN41" s="62">
        <f t="shared" si="20"/>
        <v>621.26324479708092</v>
      </c>
      <c r="EO41" s="62">
        <f ca="1">AVERAGE(OFFSET($EN$3,0,0,'Données projet'!$E$15+1,1))-AVERAGE(OFFSET($H$3,0,0,'Données projet'!$E$15+1,1))</f>
        <v>269.18638759204373</v>
      </c>
      <c r="EP41" s="62">
        <f t="shared" si="46"/>
        <v>197.07126167823969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16.58341578428972</v>
      </c>
      <c r="EW41" s="23">
        <f>EXP(-LN(2)/25)*EW40+(1-EXP(-LN(2)/25))/(LN(2)/25)*Calculateur!ER41*Calculateur!ET41*VLOOKUP('Données projet'!$B$15,Paramètres!$A$1:$I$89,3,0)*0.475*44/12</f>
        <v>12.405183958477197</v>
      </c>
      <c r="EX41" s="23">
        <f>EXP(-LN(2)/2)*EX40+(1-EXP(-LN(2)/2))/(LN(2)/2)*ER41*EU41*VLOOKUP('Données projet'!$B$15,Paramètres!$A$1:$I$89,3,0)*0.475*44/12</f>
        <v>1.5175646481559393</v>
      </c>
      <c r="EY41" s="24">
        <f t="shared" si="21"/>
        <v>30.506164390922855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23.308750000000003</v>
      </c>
      <c r="FE41" s="13">
        <f>IF('Données projet'!$A$218&gt;35,FE40+FD41-FM40,IF(A41&lt;'Données projet'!$A$218,$FB$205^A41,IF(A41='Données projet'!$A$218,'Données projet'!$B$218,FE40+FD41-FM40)))</f>
        <v>451.77250000000026</v>
      </c>
      <c r="FF41" s="18">
        <f>FE41*VLOOKUP('Données projet'!$B$16,Paramètres!$A$1:$I$89,3,0)*VLOOKUP('Données projet'!$B$16,Paramètres!$A$1:$I$89,5,0)</f>
        <v>270.1599550000002</v>
      </c>
      <c r="FG41" s="14">
        <f t="shared" si="47"/>
        <v>64.88321460564265</v>
      </c>
      <c r="FH41" s="22">
        <f t="shared" si="22"/>
        <v>583.53352039649462</v>
      </c>
      <c r="FI41" s="62">
        <f t="shared" si="23"/>
        <v>876.86685372982788</v>
      </c>
      <c r="FJ41" s="62">
        <f ca="1">AVERAGE(OFFSET($FI$3,0,0,'Données projet'!$E$16+1,1))-AVERAGE(OFFSET($H$3,0,0,'Données projet'!$E$16+1,1))</f>
        <v>330.48891719033065</v>
      </c>
      <c r="FK41" s="62">
        <f t="shared" si="48"/>
        <v>419.35494198427284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31.85763595079829</v>
      </c>
      <c r="FR41" s="23">
        <f>EXP(-LN(2)/25)*FR40+(1-EXP(-LN(2)/25))/(LN(2)/25)*Calculateur!FM41*Calculateur!FO41*VLOOKUP('Données projet'!$B$16,Paramètres!$A$1:$I$89,3,0)*0.475*44/12</f>
        <v>16.946291325072082</v>
      </c>
      <c r="FS41" s="23">
        <f>EXP(-LN(2)/2)*FS40+(1-EXP(-LN(2)/2))/(LN(2)/2)*FM41*FP41*VLOOKUP('Données projet'!$B$16,Paramètres!$A$1:$I$89,3,0)*0.475*44/12</f>
        <v>1.3622884624170251</v>
      </c>
      <c r="FT41" s="24">
        <f t="shared" si="24"/>
        <v>50.166215738287399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>
        <f>FZ41*VLOOKUP('Données projet'!$B$17,Paramètres!$A$1:$I$89,3,0)*VLOOKUP('Données projet'!$B$17,Paramètres!$A$1:$I$89,5,0)</f>
        <v>0</v>
      </c>
      <c r="GB41" s="14" t="e">
        <f t="shared" si="49"/>
        <v>#NUM!</v>
      </c>
      <c r="GC41" s="22" t="e">
        <f t="shared" si="25"/>
        <v>#NUM!</v>
      </c>
      <c r="GD41" s="62" t="e">
        <f t="shared" si="26"/>
        <v>#NUM!</v>
      </c>
      <c r="GE41" s="62">
        <f ca="1">AVERAGE(OFFSET($GD$3,0,0,'Données projet'!$E$17+1,1))-AVERAGE(OFFSET($H$3,0,0,'Données projet'!$E$17+1,1))</f>
        <v>132.18258156780018</v>
      </c>
      <c r="GF41" s="62">
        <f t="shared" si="50"/>
        <v>315.58133946947294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37.019936143947881</v>
      </c>
      <c r="GM41" s="23">
        <f>EXP(-LN(2)/25)*GM40+(1-EXP(-LN(2)/25))/(LN(2)/25)*Calculateur!GH41*Calculateur!GJ41*VLOOKUP('Données projet'!$B$17,Paramètres!$A$1:$I$89,3,0)*0.475*44/12</f>
        <v>14.863438395639651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51.883374539587535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9">
        <f t="shared" si="1"/>
        <v>335.48676782456732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3.887142857142857</v>
      </c>
      <c r="N42" s="14">
        <f>IF('Données projet'!$A$36&gt;35,N41+M42-V41,IF(A42&lt;'Données projet'!$A$36,$K$205^A42,IF(A42='Données projet'!$A$36,'Données projet'!$B$36,N41+M42-V41)))</f>
        <v>151.59857142857152</v>
      </c>
      <c r="O42" s="14">
        <f>N42*VLOOKUP('Données projet'!$B$9,Paramètres!$A$1:$I$89,3,0)*VLOOKUP('Données projet'!$B$9,Paramètres!$A$1:$I$89,5,0)</f>
        <v>137.16638742857151</v>
      </c>
      <c r="P42" s="14">
        <f t="shared" si="33"/>
        <v>35.647094153273272</v>
      </c>
      <c r="Q42" s="22">
        <f t="shared" si="53"/>
        <v>300.98348042171295</v>
      </c>
      <c r="R42" s="62">
        <f t="shared" si="0"/>
        <v>594.31681375504627</v>
      </c>
      <c r="S42" s="62">
        <f ca="1">AVERAGE(OFFSET($R$3,0,0,'Données projet'!$E$9+1,1))-AVERAGE(OFFSET($H$3,0,0,'Données projet'!$E$9+1,1))</f>
        <v>401.86262166363821</v>
      </c>
      <c r="T42" s="62">
        <f t="shared" si="34"/>
        <v>208.60314230781432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3.887142857142857</v>
      </c>
      <c r="AI42" s="14">
        <f>IF('Données projet'!$A$62&gt;35,AI41+AH42-AQ41,IF(A42&lt;'Données projet'!$A$62,$AF$205^A42,IF(A42='Données projet'!$A$62,'Données projet'!$B$62,AI41+AH42-AQ41)))</f>
        <v>151.59857142857152</v>
      </c>
      <c r="AJ42" s="14">
        <f>AI42*VLOOKUP('Données projet'!$B$10,Paramètres!$A$1:$I$89,3,0)*VLOOKUP('Données projet'!$B$10,Paramètres!$A$1:$I$89,5,0)</f>
        <v>163.18070228571437</v>
      </c>
      <c r="AK42" s="14">
        <f t="shared" si="35"/>
        <v>41.559107725659999</v>
      </c>
      <c r="AL42" s="22">
        <f t="shared" si="4"/>
        <v>356.58850243647703</v>
      </c>
      <c r="AM42" s="62">
        <f t="shared" si="5"/>
        <v>649.92183576981029</v>
      </c>
      <c r="AN42" s="62">
        <f ca="1">AVERAGE(OFFSET($AM$3,0,0,'Données projet'!$E$10+1,1))-AVERAGE(OFFSET($H$3,0,0,'Données projet'!$E$10+1,1))</f>
        <v>407.22515465568205</v>
      </c>
      <c r="AO42" s="62">
        <f t="shared" si="36"/>
        <v>251.6218558398258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3.887142857142857</v>
      </c>
      <c r="BD42" s="13">
        <f>IF('Données projet'!$A$88&gt;35,BD41+BC42-BL41,IF(A42&lt;'Données projet'!$A$88,$BA$205^A42,IF(A42='Données projet'!$A$88,'Données projet'!$B$88,BD41+BC42-BL41)))</f>
        <v>151.59857142857152</v>
      </c>
      <c r="BE42" s="14">
        <f>BD42*VLOOKUP('Données projet'!$B$11,Paramètres!$A$1:$I$89,3,0)*VLOOKUP('Données projet'!$B$11,Paramètres!$A$1:$I$89,5,0)</f>
        <v>146.62613828571438</v>
      </c>
      <c r="BF42" s="14">
        <f t="shared" si="37"/>
        <v>37.810851253154773</v>
      </c>
      <c r="BG42" s="22">
        <f t="shared" si="7"/>
        <v>321.22775678019707</v>
      </c>
      <c r="BH42" s="62">
        <f t="shared" si="8"/>
        <v>614.56109011353033</v>
      </c>
      <c r="BI42" s="62">
        <f ca="1">AVERAGE(OFFSET($BH$3,0,0,'Données projet'!$E$11+1,1))-AVERAGE(OFFSET($H$3,0,0,'Données projet'!$E$11+1,1))</f>
        <v>357.76044008074308</v>
      </c>
      <c r="BJ42" s="62">
        <f t="shared" si="38"/>
        <v>224.26555772810445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3.887142857142857</v>
      </c>
      <c r="BY42" s="13">
        <f>IF('Données projet'!$A$114&gt;35,BY41+BX42-CG41,IF(A42&lt;'Données projet'!$A$114,$BV$205^A42,IF(A42='Données projet'!$A$114,'Données projet'!$B$114,BY41+BX42-CG41)))</f>
        <v>151.59857142857152</v>
      </c>
      <c r="BZ42" s="14">
        <f>BY42*VLOOKUP('Données projet'!$B$12,Paramètres!$A$1:$I$89,3,0)*VLOOKUP('Données projet'!$B$12,Paramètres!$A$1:$I$89,5,0)</f>
        <v>101.69232171428578</v>
      </c>
      <c r="CA42" s="14">
        <f t="shared" si="39"/>
        <v>27.364775241865971</v>
      </c>
      <c r="CB42" s="22">
        <f t="shared" si="10"/>
        <v>224.7744438652976</v>
      </c>
      <c r="CC42" s="62">
        <f t="shared" si="11"/>
        <v>518.10777719863086</v>
      </c>
      <c r="CD42" s="62">
        <f ca="1">AVERAGE(OFFSET($CC$3,0,0,'Données projet'!$E$12+1,1))-AVERAGE(OFFSET($H$3,0,0,'Données projet'!$E$12+1,1))</f>
        <v>222.86701323374945</v>
      </c>
      <c r="CE42" s="62">
        <f t="shared" si="40"/>
        <v>149.63671045240511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7.8</v>
      </c>
      <c r="CT42" s="13">
        <f>IF('Données projet'!$A$140&gt;35,CT41+CS42-DB41,IF(A42&lt;'Données projet'!$A$140,$CQ$205^A42,IF(A42='Données projet'!$A$140,'Données projet'!$B$140,CT41+CS42-DB41)))</f>
        <v>187.20000000000005</v>
      </c>
      <c r="CU42" s="18">
        <f>CT42*VLOOKUP('Données projet'!$B$13,Paramètres!$A$1:$I$89,3,0)*VLOOKUP('Données projet'!$B$13,Paramètres!$A$1:$I$89,5,0)</f>
        <v>122.65344000000002</v>
      </c>
      <c r="CV42" s="14">
        <f t="shared" si="41"/>
        <v>32.293080640759037</v>
      </c>
      <c r="CW42" s="22">
        <f t="shared" si="13"/>
        <v>269.8651901159887</v>
      </c>
      <c r="CX42" s="62">
        <f t="shared" si="14"/>
        <v>563.19852344932201</v>
      </c>
      <c r="CY42" s="62">
        <f ca="1">AVERAGE(OFFSET($CX$3,0,0,'Données projet'!$E$13+1,1))-AVERAGE(OFFSET($H$3,0,0,'Données projet'!$E$13+1,1))</f>
        <v>173.15672762188746</v>
      </c>
      <c r="CZ42" s="62">
        <f t="shared" si="42"/>
        <v>208.54841796921414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2.6374331514654012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2.6374331514654012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16.701250000000002</v>
      </c>
      <c r="EJ42" s="13">
        <f>IF('Données projet'!$A$192&gt;35,EJ41+EI42-ER41,IF(A42&lt;'Données projet'!$A$192,$EG$205^A42,IF(A42='Données projet'!$A$192,'Données projet'!$B$192,EJ41+EI42-ER41)))</f>
        <v>267.1375000000001</v>
      </c>
      <c r="EK42" s="18">
        <f>EJ42*VLOOKUP('Données projet'!$B$15,Paramètres!$A$1:$I$89,3,0)*VLOOKUP('Données projet'!$B$15,Paramètres!$A$1:$I$89,5,0)</f>
        <v>159.74822500000008</v>
      </c>
      <c r="EL42" s="14">
        <f t="shared" si="45"/>
        <v>40.785721648734771</v>
      </c>
      <c r="EM42" s="22">
        <f t="shared" si="19"/>
        <v>349.26329041321316</v>
      </c>
      <c r="EN42" s="62">
        <f t="shared" si="20"/>
        <v>642.59662374654647</v>
      </c>
      <c r="EO42" s="62">
        <f ca="1">AVERAGE(OFFSET($EN$3,0,0,'Données projet'!$E$15+1,1))-AVERAGE(OFFSET($H$3,0,0,'Données projet'!$E$15+1,1))</f>
        <v>269.18638759204373</v>
      </c>
      <c r="EP42" s="62">
        <f t="shared" si="46"/>
        <v>197.07126167823969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16.258225115644667</v>
      </c>
      <c r="EW42" s="23">
        <f>EXP(-LN(2)/25)*EW41+(1-EXP(-LN(2)/25))/(LN(2)/25)*Calculateur!ER42*Calculateur!ET42*VLOOKUP('Données projet'!$B$15,Paramètres!$A$1:$I$89,3,0)*0.475*44/12</f>
        <v>12.065963550772366</v>
      </c>
      <c r="EX42" s="23">
        <f>EXP(-LN(2)/2)*EX41+(1-EXP(-LN(2)/2))/(LN(2)/2)*ER42*EU42*VLOOKUP('Données projet'!$B$15,Paramètres!$A$1:$I$89,3,0)*0.475*44/12</f>
        <v>1.0730802536000419</v>
      </c>
      <c r="EY42" s="24">
        <f t="shared" si="21"/>
        <v>29.397268920017076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23.308750000000003</v>
      </c>
      <c r="FE42" s="13">
        <f>IF('Données projet'!$A$218&gt;35,FE41+FD42-FM41,IF(A42&lt;'Données projet'!$A$218,$FB$205^A42,IF(A42='Données projet'!$A$218,'Données projet'!$B$218,FE41+FD42-FM41)))</f>
        <v>475.0812500000003</v>
      </c>
      <c r="FF42" s="18">
        <f>FE42*VLOOKUP('Données projet'!$B$16,Paramètres!$A$1:$I$89,3,0)*VLOOKUP('Données projet'!$B$16,Paramètres!$A$1:$I$89,5,0)</f>
        <v>284.09858750000018</v>
      </c>
      <c r="FG42" s="14">
        <f t="shared" si="47"/>
        <v>67.832424338348147</v>
      </c>
      <c r="FH42" s="22">
        <f t="shared" si="22"/>
        <v>612.94651228512339</v>
      </c>
      <c r="FI42" s="62">
        <f t="shared" si="23"/>
        <v>906.27984561845665</v>
      </c>
      <c r="FJ42" s="62">
        <f ca="1">AVERAGE(OFFSET($FI$3,0,0,'Données projet'!$E$16+1,1))-AVERAGE(OFFSET($H$3,0,0,'Données projet'!$E$16+1,1))</f>
        <v>330.48891719033065</v>
      </c>
      <c r="FK42" s="62">
        <f t="shared" si="48"/>
        <v>419.35494198427284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31.232927141042389</v>
      </c>
      <c r="FR42" s="23">
        <f>EXP(-LN(2)/25)*FR41+(1-EXP(-LN(2)/25))/(LN(2)/25)*Calculateur!FM42*Calculateur!FO42*VLOOKUP('Données projet'!$B$16,Paramètres!$A$1:$I$89,3,0)*0.475*44/12</f>
        <v>16.482894097621255</v>
      </c>
      <c r="FS42" s="23">
        <f>EXP(-LN(2)/2)*FS41+(1-EXP(-LN(2)/2))/(LN(2)/2)*FM42*FP42*VLOOKUP('Données projet'!$B$16,Paramètres!$A$1:$I$89,3,0)*0.475*44/12</f>
        <v>0.96328340970727366</v>
      </c>
      <c r="FT42" s="24">
        <f t="shared" si="24"/>
        <v>48.679104648370917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>
        <f>FZ42*VLOOKUP('Données projet'!$B$17,Paramètres!$A$1:$I$89,3,0)*VLOOKUP('Données projet'!$B$17,Paramètres!$A$1:$I$89,5,0)</f>
        <v>0</v>
      </c>
      <c r="GB42" s="14" t="e">
        <f t="shared" si="49"/>
        <v>#NUM!</v>
      </c>
      <c r="GC42" s="22" t="e">
        <f t="shared" si="25"/>
        <v>#NUM!</v>
      </c>
      <c r="GD42" s="62" t="e">
        <f t="shared" si="26"/>
        <v>#NUM!</v>
      </c>
      <c r="GE42" s="62">
        <f ca="1">AVERAGE(OFFSET($GD$3,0,0,'Données projet'!$E$17+1,1))-AVERAGE(OFFSET($H$3,0,0,'Données projet'!$E$17+1,1))</f>
        <v>132.18258156780018</v>
      </c>
      <c r="GF42" s="62">
        <f t="shared" si="50"/>
        <v>315.58133946947294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36.293997776096525</v>
      </c>
      <c r="GM42" s="23">
        <f>EXP(-LN(2)/25)*GM41+(1-EXP(-LN(2)/25))/(LN(2)/25)*Calculateur!GH42*Calculateur!GJ42*VLOOKUP('Données projet'!$B$17,Paramètres!$A$1:$I$89,3,0)*0.475*44/12</f>
        <v>14.456996891076631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50.75099466717316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9">
        <f t="shared" si="1"/>
        <v>337.45219892578052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3.887142857142857</v>
      </c>
      <c r="N43" s="14">
        <f>IF('Données projet'!$A$36&gt;35,N42+M43-V42,IF(A43&lt;'Données projet'!$A$36,$K$205^A43,IF(A43='Données projet'!$A$36,'Données projet'!$B$36,N42+M43-V42)))</f>
        <v>155.48571428571438</v>
      </c>
      <c r="O43" s="14">
        <f>N43*VLOOKUP('Données projet'!$B$9,Paramètres!$A$1:$I$89,3,0)*VLOOKUP('Données projet'!$B$9,Paramètres!$A$1:$I$89,5,0)</f>
        <v>140.68347428571437</v>
      </c>
      <c r="P43" s="14">
        <f t="shared" si="33"/>
        <v>36.453535449340755</v>
      </c>
      <c r="Q43" s="22">
        <f t="shared" si="53"/>
        <v>308.51362528855435</v>
      </c>
      <c r="R43" s="62">
        <f t="shared" si="0"/>
        <v>601.84695862188767</v>
      </c>
      <c r="S43" s="62">
        <f ca="1">AVERAGE(OFFSET($R$3,0,0,'Données projet'!$E$9+1,1))-AVERAGE(OFFSET($H$3,0,0,'Données projet'!$E$9+1,1))</f>
        <v>401.86262166363821</v>
      </c>
      <c r="T43" s="62">
        <f t="shared" si="34"/>
        <v>208.60314230781432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3.887142857142857</v>
      </c>
      <c r="AI43" s="14">
        <f>IF('Données projet'!$A$62&gt;35,AI42+AH43-AQ42,IF(A43&lt;'Données projet'!$A$62,$AF$205^A43,IF(A43='Données projet'!$A$62,'Données projet'!$B$62,AI42+AH43-AQ42)))</f>
        <v>155.48571428571438</v>
      </c>
      <c r="AJ43" s="14">
        <f>AI43*VLOOKUP('Données projet'!$B$10,Paramètres!$A$1:$I$89,3,0)*VLOOKUP('Données projet'!$B$10,Paramètres!$A$1:$I$89,5,0)</f>
        <v>167.36482285714294</v>
      </c>
      <c r="AK43" s="14">
        <f t="shared" si="35"/>
        <v>42.499296021333798</v>
      </c>
      <c r="AL43" s="22">
        <f t="shared" si="4"/>
        <v>365.51334038001369</v>
      </c>
      <c r="AM43" s="62">
        <f t="shared" si="5"/>
        <v>658.84667371334695</v>
      </c>
      <c r="AN43" s="62">
        <f ca="1">AVERAGE(OFFSET($AM$3,0,0,'Données projet'!$E$10+1,1))-AVERAGE(OFFSET($H$3,0,0,'Données projet'!$E$10+1,1))</f>
        <v>407.22515465568205</v>
      </c>
      <c r="AO43" s="62">
        <f t="shared" si="36"/>
        <v>251.6218558398258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3.887142857142857</v>
      </c>
      <c r="BD43" s="13">
        <f>IF('Données projet'!$A$88&gt;35,BD42+BC43-BL42,IF(A43&lt;'Données projet'!$A$88,$BA$205^A43,IF(A43='Données projet'!$A$88,'Données projet'!$B$88,BD42+BC43-BL42)))</f>
        <v>155.48571428571438</v>
      </c>
      <c r="BE43" s="14">
        <f>BD43*VLOOKUP('Données projet'!$B$11,Paramètres!$A$1:$I$89,3,0)*VLOOKUP('Données projet'!$B$11,Paramètres!$A$1:$I$89,5,0)</f>
        <v>150.38578285714294</v>
      </c>
      <c r="BF43" s="14">
        <f t="shared" si="37"/>
        <v>38.666243049156442</v>
      </c>
      <c r="BG43" s="22">
        <f t="shared" si="7"/>
        <v>329.26561178680475</v>
      </c>
      <c r="BH43" s="62">
        <f t="shared" si="8"/>
        <v>622.59894512013807</v>
      </c>
      <c r="BI43" s="62">
        <f ca="1">AVERAGE(OFFSET($BH$3,0,0,'Données projet'!$E$11+1,1))-AVERAGE(OFFSET($H$3,0,0,'Données projet'!$E$11+1,1))</f>
        <v>357.76044008074308</v>
      </c>
      <c r="BJ43" s="62">
        <f t="shared" si="38"/>
        <v>224.26555772810445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3.887142857142857</v>
      </c>
      <c r="BY43" s="13">
        <f>IF('Données projet'!$A$114&gt;35,BY42+BX43-CG42,IF(A43&lt;'Données projet'!$A$114,$BV$205^A43,IF(A43='Données projet'!$A$114,'Données projet'!$B$114,BY42+BX43-CG42)))</f>
        <v>155.48571428571438</v>
      </c>
      <c r="BZ43" s="14">
        <f>BY43*VLOOKUP('Données projet'!$B$12,Paramètres!$A$1:$I$89,3,0)*VLOOKUP('Données projet'!$B$12,Paramètres!$A$1:$I$89,5,0)</f>
        <v>104.29981714285719</v>
      </c>
      <c r="CA43" s="14">
        <f t="shared" si="39"/>
        <v>27.983846314468938</v>
      </c>
      <c r="CB43" s="22">
        <f t="shared" si="10"/>
        <v>230.3940471881763</v>
      </c>
      <c r="CC43" s="62">
        <f t="shared" si="11"/>
        <v>523.72738052150964</v>
      </c>
      <c r="CD43" s="62">
        <f ca="1">AVERAGE(OFFSET($CC$3,0,0,'Données projet'!$E$12+1,1))-AVERAGE(OFFSET($H$3,0,0,'Données projet'!$E$12+1,1))</f>
        <v>222.86701323374945</v>
      </c>
      <c r="CE43" s="62">
        <f t="shared" si="40"/>
        <v>149.63671045240511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195</v>
      </c>
      <c r="CR43" s="13">
        <f>VLOOKUP(A43,'Données projet'!$A$139:$I$159,9,0)</f>
        <v>7.8</v>
      </c>
      <c r="CS43" s="13">
        <f t="array" ref="CS43">INDEX(CR:CR,MIN(IF(ISNUMBER(CR43:CR239),ROW(CR43:CR239),"")))</f>
        <v>7.8</v>
      </c>
      <c r="CT43" s="13">
        <f>IF('Données projet'!$A$140&gt;35,CT42+CS43-DB42,IF(A43&lt;'Données projet'!$A$140,$CQ$205^A43,IF(A43='Données projet'!$A$140,'Données projet'!$B$140,CT42+CS43-DB42)))</f>
        <v>195.00000000000006</v>
      </c>
      <c r="CU43" s="18">
        <f>CT43*VLOOKUP('Données projet'!$B$13,Paramètres!$A$1:$I$89,3,0)*VLOOKUP('Données projet'!$B$13,Paramètres!$A$1:$I$89,5,0)</f>
        <v>127.76400000000004</v>
      </c>
      <c r="CV43" s="14">
        <f t="shared" si="41"/>
        <v>33.479164830670079</v>
      </c>
      <c r="CW43" s="22">
        <f t="shared" si="13"/>
        <v>280.83184541341706</v>
      </c>
      <c r="CX43" s="62">
        <f t="shared" si="14"/>
        <v>574.16517874675037</v>
      </c>
      <c r="CY43" s="62">
        <f ca="1">AVERAGE(OFFSET($CX$3,0,0,'Données projet'!$E$13+1,1))-AVERAGE(OFFSET($H$3,0,0,'Données projet'!$E$13+1,1))</f>
        <v>173.15672762188746</v>
      </c>
      <c r="CZ43" s="62">
        <f t="shared" si="42"/>
        <v>208.54841796921414</v>
      </c>
      <c r="DA43" s="16">
        <f>IF(ISNA(VLOOKUP(A43,'Données projet'!$A$139:$I$159,3,0)),0,VLOOKUP(A43,'Données projet'!$A$139:$I$159,3,0))</f>
        <v>7</v>
      </c>
      <c r="DB43" s="16">
        <f>IF(ISNA(VLOOKUP(A43,'Données projet'!$A$139:$I$159,4,0)),0,VLOOKUP(A43,'Données projet'!$A$139:$I$159,4,0))</f>
        <v>25</v>
      </c>
      <c r="DC43" s="17">
        <f>IF(ISNA(VLOOKUP(A43,'Données projet'!$A$139:$I$159,5,0)),0%,VLOOKUP(A43,'Données projet'!$A$139:$I$159,5,0)*VLOOKUP('Données projet'!$B$13,Paramètres!$A$1:$I$89,7,0))</f>
        <v>0.129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4.9215957174012583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4.9215957174012583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16.701250000000002</v>
      </c>
      <c r="EJ43" s="13">
        <f>IF('Données projet'!$A$192&gt;35,EJ42+EI43-ER42,IF(A43&lt;'Données projet'!$A$192,$EG$205^A43,IF(A43='Données projet'!$A$192,'Données projet'!$B$192,EJ42+EI43-ER42)))</f>
        <v>283.83875000000012</v>
      </c>
      <c r="EK43" s="18">
        <f>EJ43*VLOOKUP('Données projet'!$B$15,Paramètres!$A$1:$I$89,3,0)*VLOOKUP('Données projet'!$B$15,Paramètres!$A$1:$I$89,5,0)</f>
        <v>169.73557250000007</v>
      </c>
      <c r="EL43" s="14">
        <f t="shared" si="45"/>
        <v>43.030795257249402</v>
      </c>
      <c r="EM43" s="22">
        <f t="shared" si="19"/>
        <v>370.56809051054279</v>
      </c>
      <c r="EN43" s="62">
        <f t="shared" si="20"/>
        <v>663.90142384387605</v>
      </c>
      <c r="EO43" s="62">
        <f ca="1">AVERAGE(OFFSET($EN$3,0,0,'Données projet'!$E$15+1,1))-AVERAGE(OFFSET($H$3,0,0,'Données projet'!$E$15+1,1))</f>
        <v>269.18638759204373</v>
      </c>
      <c r="EP43" s="62">
        <f t="shared" si="46"/>
        <v>197.07126167823969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15.939411237665018</v>
      </c>
      <c r="EW43" s="23">
        <f>EXP(-LN(2)/25)*EW42+(1-EXP(-LN(2)/25))/(LN(2)/25)*Calculateur!ER43*Calculateur!ET43*VLOOKUP('Données projet'!$B$15,Paramètres!$A$1:$I$89,3,0)*0.475*44/12</f>
        <v>11.736019142955049</v>
      </c>
      <c r="EX43" s="23">
        <f>EXP(-LN(2)/2)*EX42+(1-EXP(-LN(2)/2))/(LN(2)/2)*ER43*EU43*VLOOKUP('Données projet'!$B$15,Paramètres!$A$1:$I$89,3,0)*0.475*44/12</f>
        <v>0.75878232407796975</v>
      </c>
      <c r="EY43" s="24">
        <f t="shared" si="21"/>
        <v>28.434212704698037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498.39</v>
      </c>
      <c r="FC43" s="13">
        <f>VLOOKUP(A43,'Données projet'!$A$217:$I$237,9,0)</f>
        <v>23.308750000000003</v>
      </c>
      <c r="FD43" s="13">
        <f t="array" ref="FD43">INDEX(FC:FC,MIN(IF(ISNUMBER(FC43:FC239),ROW(FC43:FC239),"")))</f>
        <v>23.308750000000003</v>
      </c>
      <c r="FE43" s="13">
        <f>IF('Données projet'!$A$218&gt;35,FE42+FD43-FM42,IF(A43&lt;'Données projet'!$A$218,$FB$205^A43,IF(A43='Données projet'!$A$218,'Données projet'!$B$218,FE42+FD43-FM42)))</f>
        <v>498.39000000000033</v>
      </c>
      <c r="FF43" s="18">
        <f>FE43*VLOOKUP('Données projet'!$B$16,Paramètres!$A$1:$I$89,3,0)*VLOOKUP('Données projet'!$B$16,Paramètres!$A$1:$I$89,5,0)</f>
        <v>298.03722000000022</v>
      </c>
      <c r="FG43" s="14">
        <f t="shared" si="47"/>
        <v>70.764832332856912</v>
      </c>
      <c r="FH43" s="22">
        <f t="shared" si="22"/>
        <v>642.33024114639272</v>
      </c>
      <c r="FI43" s="62">
        <f t="shared" si="23"/>
        <v>935.66357447972609</v>
      </c>
      <c r="FJ43" s="62">
        <f ca="1">AVERAGE(OFFSET($FI$3,0,0,'Données projet'!$E$16+1,1))-AVERAGE(OFFSET($H$3,0,0,'Données projet'!$E$16+1,1))</f>
        <v>330.48891719033065</v>
      </c>
      <c r="FK43" s="62">
        <f t="shared" si="48"/>
        <v>419.35494198427284</v>
      </c>
      <c r="FL43" s="16">
        <f>IF(ISNA(VLOOKUP(A43,'Données projet'!$A$217:$I$237,3,0)),0,VLOOKUP(A43,'Données projet'!$A$217:$I$237,3,0))</f>
        <v>5</v>
      </c>
      <c r="FM43" s="16">
        <f>IF(ISNA(VLOOKUP(A43,'Données projet'!$A$217:$I$237,4,0)),0,VLOOKUP(A43,'Données projet'!$A$217:$I$237,4,0))</f>
        <v>116.49</v>
      </c>
      <c r="FN43" s="17">
        <f>IF(ISNA(VLOOKUP(A43,'Données projet'!$A$217:$I$237,5,0)),0%,VLOOKUP(A43,'Données projet'!$A$217:$I$237,5,0)*VLOOKUP('Données projet'!$B$16,Paramètres!$A$1:$I$89,7,0))</f>
        <v>0.315</v>
      </c>
      <c r="FO43" s="17">
        <f>IF(ISNA(VLOOKUP(A43,'Données projet'!$A$217:$I$237,6,0)),0%,VLOOKUP(A43,'Données projet'!$A$217:$I$237,6,0)*VLOOKUP('Données projet'!$B$16,Paramètres!$A$1:$I$89,7,0))</f>
        <v>7.6500000000000012E-2</v>
      </c>
      <c r="FP43" s="17">
        <f>IF(ISNA(VLOOKUP(A43,'Données projet'!$A$217:$I$237,7,0)),0%,VLOOKUP(A43,'Données projet'!$A$217:$I$237,7,0))</f>
        <v>0.13</v>
      </c>
      <c r="FQ43" s="23">
        <f>EXP(-LN(2)/35)*FQ42+(1-EXP(-LN(2)/35))/(LN(2)/35)*FM43*FN43*VLOOKUP('Données projet'!$B$16,Paramètres!$A$1:$I$89,3,0)*0.475*44/12</f>
        <v>59.729565904434871</v>
      </c>
      <c r="FR43" s="23">
        <f>EXP(-LN(2)/25)*FR42+(1-EXP(-LN(2)/25))/(LN(2)/25)*Calculateur!FM43*Calculateur!FO43*VLOOKUP('Données projet'!$B$16,Paramètres!$A$1:$I$89,3,0)*0.475*44/12</f>
        <v>23.073685987580483</v>
      </c>
      <c r="FS43" s="23">
        <f>EXP(-LN(2)/2)*FS42+(1-EXP(-LN(2)/2))/(LN(2)/2)*FM43*FP43*VLOOKUP('Données projet'!$B$16,Paramètres!$A$1:$I$89,3,0)*0.475*44/12</f>
        <v>10.934563605151334</v>
      </c>
      <c r="FT43" s="24">
        <f t="shared" si="24"/>
        <v>93.737815497166693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>
        <f>FZ43*VLOOKUP('Données projet'!$B$17,Paramètres!$A$1:$I$89,3,0)*VLOOKUP('Données projet'!$B$17,Paramètres!$A$1:$I$89,5,0)</f>
        <v>0</v>
      </c>
      <c r="GB43" s="14" t="e">
        <f t="shared" si="49"/>
        <v>#NUM!</v>
      </c>
      <c r="GC43" s="22" t="e">
        <f t="shared" si="25"/>
        <v>#NUM!</v>
      </c>
      <c r="GD43" s="62" t="e">
        <f t="shared" si="26"/>
        <v>#NUM!</v>
      </c>
      <c r="GE43" s="62">
        <f ca="1">AVERAGE(OFFSET($GD$3,0,0,'Données projet'!$E$17+1,1))-AVERAGE(OFFSET($H$3,0,0,'Données projet'!$E$17+1,1))</f>
        <v>132.18258156780018</v>
      </c>
      <c r="GF43" s="62">
        <f t="shared" si="50"/>
        <v>315.58133946947294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35.582294616860054</v>
      </c>
      <c r="GM43" s="23">
        <f>EXP(-LN(2)/25)*GM42+(1-EXP(-LN(2)/25))/(LN(2)/25)*Calculateur!GH43*Calculateur!GJ43*VLOOKUP('Données projet'!$B$17,Paramètres!$A$1:$I$89,3,0)*0.475*44/12</f>
        <v>14.061669550829716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49.643964167689774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9">
        <f t="shared" si="1"/>
        <v>339.41641893985832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3.887142857142857</v>
      </c>
      <c r="N44" s="14">
        <f>IF('Données projet'!$A$36&gt;35,N43+M44-V43,IF(A44&lt;'Données projet'!$A$36,$K$205^A44,IF(A44='Données projet'!$A$36,'Données projet'!$B$36,N43+M44-V43)))</f>
        <v>159.37285714285724</v>
      </c>
      <c r="O44" s="14">
        <f>N44*VLOOKUP('Données projet'!$B$9,Paramètres!$A$1:$I$89,3,0)*VLOOKUP('Données projet'!$B$9,Paramètres!$A$1:$I$89,5,0)</f>
        <v>144.20056114285723</v>
      </c>
      <c r="P44" s="14">
        <f t="shared" si="33"/>
        <v>37.257633154444321</v>
      </c>
      <c r="Q44" s="22">
        <f t="shared" si="53"/>
        <v>316.03968840113345</v>
      </c>
      <c r="R44" s="62">
        <f t="shared" si="0"/>
        <v>609.37302173446676</v>
      </c>
      <c r="S44" s="62">
        <f ca="1">AVERAGE(OFFSET($R$3,0,0,'Données projet'!$E$9+1,1))-AVERAGE(OFFSET($H$3,0,0,'Données projet'!$E$9+1,1))</f>
        <v>401.86262166363821</v>
      </c>
      <c r="T44" s="62">
        <f t="shared" si="34"/>
        <v>208.60314230781432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3.887142857142857</v>
      </c>
      <c r="AI44" s="14">
        <f>IF('Données projet'!$A$62&gt;35,AI43+AH44-AQ43,IF(A44&lt;'Données projet'!$A$62,$AF$205^A44,IF(A44='Données projet'!$A$62,'Données projet'!$B$62,AI43+AH44-AQ43)))</f>
        <v>159.37285714285724</v>
      </c>
      <c r="AJ44" s="14">
        <f>AI44*VLOOKUP('Données projet'!$B$10,Paramètres!$A$1:$I$89,3,0)*VLOOKUP('Données projet'!$B$10,Paramètres!$A$1:$I$89,5,0)</f>
        <v>171.54894342857153</v>
      </c>
      <c r="AK44" s="14">
        <f t="shared" si="35"/>
        <v>43.436752045229305</v>
      </c>
      <c r="AL44" s="22">
        <f t="shared" si="4"/>
        <v>374.43341961686974</v>
      </c>
      <c r="AM44" s="62">
        <f t="shared" si="5"/>
        <v>667.766752950203</v>
      </c>
      <c r="AN44" s="62">
        <f ca="1">AVERAGE(OFFSET($AM$3,0,0,'Données projet'!$E$10+1,1))-AVERAGE(OFFSET($H$3,0,0,'Données projet'!$E$10+1,1))</f>
        <v>407.22515465568205</v>
      </c>
      <c r="AO44" s="62">
        <f t="shared" si="36"/>
        <v>251.6218558398258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3.887142857142857</v>
      </c>
      <c r="BD44" s="13">
        <f>IF('Données projet'!$A$88&gt;35,BD43+BC44-BL43,IF(A44&lt;'Données projet'!$A$88,$BA$205^A44,IF(A44='Données projet'!$A$88,'Données projet'!$B$88,BD43+BC44-BL43)))</f>
        <v>159.37285714285724</v>
      </c>
      <c r="BE44" s="14">
        <f>BD44*VLOOKUP('Données projet'!$B$11,Paramètres!$A$1:$I$89,3,0)*VLOOKUP('Données projet'!$B$11,Paramètres!$A$1:$I$89,5,0)</f>
        <v>154.14542742857151</v>
      </c>
      <c r="BF44" s="14">
        <f t="shared" si="37"/>
        <v>39.519148999637181</v>
      </c>
      <c r="BG44" s="22">
        <f t="shared" si="7"/>
        <v>337.29913727913015</v>
      </c>
      <c r="BH44" s="62">
        <f t="shared" si="8"/>
        <v>630.63247061246352</v>
      </c>
      <c r="BI44" s="62">
        <f ca="1">AVERAGE(OFFSET($BH$3,0,0,'Données projet'!$E$11+1,1))-AVERAGE(OFFSET($H$3,0,0,'Données projet'!$E$11+1,1))</f>
        <v>357.76044008074308</v>
      </c>
      <c r="BJ44" s="62">
        <f t="shared" si="38"/>
        <v>224.26555772810445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3.887142857142857</v>
      </c>
      <c r="BY44" s="13">
        <f>IF('Données projet'!$A$114&gt;35,BY43+BX44-CG43,IF(A44&lt;'Données projet'!$A$114,$BV$205^A44,IF(A44='Données projet'!$A$114,'Données projet'!$B$114,BY43+BX44-CG43)))</f>
        <v>159.37285714285724</v>
      </c>
      <c r="BZ44" s="14">
        <f>BY44*VLOOKUP('Données projet'!$B$12,Paramètres!$A$1:$I$89,3,0)*VLOOKUP('Données projet'!$B$12,Paramètres!$A$1:$I$89,5,0)</f>
        <v>106.90731257142863</v>
      </c>
      <c r="CA44" s="14">
        <f t="shared" si="39"/>
        <v>28.601118310835538</v>
      </c>
      <c r="CB44" s="22">
        <f t="shared" si="10"/>
        <v>236.01051711994342</v>
      </c>
      <c r="CC44" s="62">
        <f t="shared" si="11"/>
        <v>529.34385045327667</v>
      </c>
      <c r="CD44" s="62">
        <f ca="1">AVERAGE(OFFSET($CC$3,0,0,'Données projet'!$E$12+1,1))-AVERAGE(OFFSET($H$3,0,0,'Données projet'!$E$12+1,1))</f>
        <v>222.86701323374945</v>
      </c>
      <c r="CE44" s="62">
        <f t="shared" si="40"/>
        <v>149.63671045240511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7.4</v>
      </c>
      <c r="CT44" s="13">
        <f>IF('Données projet'!$A$140&gt;35,CT43+CS44-DB43,IF(A44&lt;'Données projet'!$A$140,$CQ$205^A44,IF(A44='Données projet'!$A$140,'Données projet'!$B$140,CT43+CS44-DB43)))</f>
        <v>177.40000000000006</v>
      </c>
      <c r="CU44" s="18">
        <f>CT44*VLOOKUP('Données projet'!$B$13,Paramètres!$A$1:$I$89,3,0)*VLOOKUP('Données projet'!$B$13,Paramètres!$A$1:$I$89,5,0)</f>
        <v>116.23248000000004</v>
      </c>
      <c r="CV44" s="14">
        <f t="shared" si="41"/>
        <v>30.794662422308217</v>
      </c>
      <c r="CW44" s="22">
        <f t="shared" si="13"/>
        <v>256.07227305218686</v>
      </c>
      <c r="CX44" s="62">
        <f t="shared" si="14"/>
        <v>549.40560638552017</v>
      </c>
      <c r="CY44" s="62">
        <f ca="1">AVERAGE(OFFSET($CX$3,0,0,'Données projet'!$E$13+1,1))-AVERAGE(OFFSET($H$3,0,0,'Données projet'!$E$13+1,1))</f>
        <v>173.15672762188746</v>
      </c>
      <c r="CZ44" s="62">
        <f t="shared" si="42"/>
        <v>208.54841796921414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4.8250862272599964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4.8250862272599964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>
        <f>VLOOKUP(A44,'Données projet'!$A$191:$I$211,2,0)</f>
        <v>300.54000000000002</v>
      </c>
      <c r="EH44" s="13">
        <f>VLOOKUP(A44,'Données projet'!$A$191:$I$211,9,0)</f>
        <v>16.701250000000002</v>
      </c>
      <c r="EI44" s="13">
        <f t="array" ref="EI44">INDEX(EH:EH,MIN(IF(ISNUMBER(EH44:EH240),ROW(EH44:EH240),"")))</f>
        <v>16.701250000000002</v>
      </c>
      <c r="EJ44" s="13">
        <f>IF('Données projet'!$A$192&gt;35,EJ43+EI44-ER43,IF(A44&lt;'Données projet'!$A$192,$EG$205^A44,IF(A44='Données projet'!$A$192,'Données projet'!$B$192,EJ43+EI44-ER43)))</f>
        <v>300.54000000000013</v>
      </c>
      <c r="EK44" s="18">
        <f>EJ44*VLOOKUP('Données projet'!$B$15,Paramètres!$A$1:$I$89,3,0)*VLOOKUP('Données projet'!$B$15,Paramètres!$A$1:$I$89,5,0)</f>
        <v>179.72292000000007</v>
      </c>
      <c r="EL44" s="14">
        <f t="shared" si="45"/>
        <v>45.260535445550182</v>
      </c>
      <c r="EM44" s="22">
        <f t="shared" si="19"/>
        <v>391.84618490100002</v>
      </c>
      <c r="EN44" s="62">
        <f t="shared" si="20"/>
        <v>685.17951823433327</v>
      </c>
      <c r="EO44" s="62">
        <f ca="1">AVERAGE(OFFSET($EN$3,0,0,'Données projet'!$E$15+1,1))-AVERAGE(OFFSET($H$3,0,0,'Données projet'!$E$15+1,1))</f>
        <v>269.18638759204373</v>
      </c>
      <c r="EP44" s="62">
        <f t="shared" si="46"/>
        <v>197.07126167823969</v>
      </c>
      <c r="EQ44" s="16">
        <f>IF(ISNA(VLOOKUP(A44,'Données projet'!$A$191:$I$211,3,0)),0,VLOOKUP(A44,'Données projet'!$A$191:$I$211,3,0))</f>
        <v>4</v>
      </c>
      <c r="ER44" s="16">
        <f>IF(ISNA(VLOOKUP(A44,'Données projet'!$A$191:$I$211,4,0)),0,VLOOKUP(A44,'Données projet'!$A$191:$I$211,4,0))</f>
        <v>72.13</v>
      </c>
      <c r="ES44" s="17">
        <f>IF(ISNA(VLOOKUP(A44,'Données projet'!$A$191:$I$211,5,0)),0%,VLOOKUP(A44,'Données projet'!$A$191:$I$211,5,0)*VLOOKUP('Données projet'!$B$15,Paramètres!$A$1:$I$89,7,0))</f>
        <v>0.27</v>
      </c>
      <c r="ET44" s="17">
        <f>IF(ISNA(VLOOKUP(A44,'Données projet'!$A$191:$I$211,6,0)),0%,VLOOKUP(A44,'Données projet'!$A$191:$I$211,6,0)*VLOOKUP('Données projet'!$B$15,Paramètres!$A$1:$I$89,7,0))</f>
        <v>9.9000000000000005E-2</v>
      </c>
      <c r="EU44" s="17">
        <f>IF(ISNA(VLOOKUP(A44,'Données projet'!$A$191:$I$211,7,0)),0%,VLOOKUP(A44,'Données projet'!$A$191:$I$211,7,0))</f>
        <v>0.18</v>
      </c>
      <c r="EV44" s="23">
        <f>EXP(-LN(2)/35)*EV43+(1-EXP(-LN(2)/35))/(LN(2)/35)*ER44*ES44*VLOOKUP('Données projet'!$B$15,Paramètres!$A$1:$I$89,3,0)*0.475*44/12</f>
        <v>31.076164410201379</v>
      </c>
      <c r="EW44" s="23">
        <f>EXP(-LN(2)/25)*EW43+(1-EXP(-LN(2)/25))/(LN(2)/25)*Calculateur!ER44*Calculateur!ET44*VLOOKUP('Données projet'!$B$15,Paramètres!$A$1:$I$89,3,0)*0.475*44/12</f>
        <v>17.057541752387984</v>
      </c>
      <c r="EX44" s="23">
        <f>EXP(-LN(2)/2)*EX43+(1-EXP(-LN(2)/2))/(LN(2)/2)*ER44*EU44*VLOOKUP('Données projet'!$B$15,Paramètres!$A$1:$I$89,3,0)*0.475*44/12</f>
        <v>9.3272745641996799</v>
      </c>
      <c r="EY44" s="24">
        <f t="shared" si="21"/>
        <v>57.460980726789046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19.525000000000006</v>
      </c>
      <c r="FE44" s="13">
        <f>IF('Données projet'!$A$218&gt;35,FE43+FD44-FM43,IF(A44&lt;'Données projet'!$A$218,$FB$205^A44,IF(A44='Données projet'!$A$218,'Données projet'!$B$218,FE43+FD44-FM43)))</f>
        <v>401.4250000000003</v>
      </c>
      <c r="FF44" s="18">
        <f>FE44*VLOOKUP('Données projet'!$B$16,Paramètres!$A$1:$I$89,3,0)*VLOOKUP('Données projet'!$B$16,Paramètres!$A$1:$I$89,5,0)</f>
        <v>240.05215000000018</v>
      </c>
      <c r="FG44" s="14">
        <f t="shared" si="47"/>
        <v>58.450750666872672</v>
      </c>
      <c r="FH44" s="22">
        <f t="shared" si="22"/>
        <v>519.89255199480351</v>
      </c>
      <c r="FI44" s="62">
        <f t="shared" si="23"/>
        <v>813.22588532813688</v>
      </c>
      <c r="FJ44" s="62">
        <f ca="1">AVERAGE(OFFSET($FI$3,0,0,'Données projet'!$E$16+1,1))-AVERAGE(OFFSET($H$3,0,0,'Données projet'!$E$16+1,1))</f>
        <v>330.48891719033065</v>
      </c>
      <c r="FK44" s="62">
        <f t="shared" si="48"/>
        <v>419.35494198427284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58.5583055484868</v>
      </c>
      <c r="FR44" s="23">
        <f>EXP(-LN(2)/25)*FR43+(1-EXP(-LN(2)/25))/(LN(2)/25)*Calculateur!FM44*Calculateur!FO44*VLOOKUP('Données projet'!$B$16,Paramètres!$A$1:$I$89,3,0)*0.475*44/12</f>
        <v>22.442734830857685</v>
      </c>
      <c r="FS44" s="23">
        <f>EXP(-LN(2)/2)*FS43+(1-EXP(-LN(2)/2))/(LN(2)/2)*FM44*FP44*VLOOKUP('Données projet'!$B$16,Paramètres!$A$1:$I$89,3,0)*0.475*44/12</f>
        <v>7.7319040745181313</v>
      </c>
      <c r="FT44" s="24">
        <f t="shared" si="24"/>
        <v>88.732944453862615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>
        <f>FZ44*VLOOKUP('Données projet'!$B$17,Paramètres!$A$1:$I$89,3,0)*VLOOKUP('Données projet'!$B$17,Paramètres!$A$1:$I$89,5,0)</f>
        <v>0</v>
      </c>
      <c r="GB44" s="14" t="e">
        <f t="shared" si="49"/>
        <v>#NUM!</v>
      </c>
      <c r="GC44" s="22" t="e">
        <f t="shared" si="25"/>
        <v>#NUM!</v>
      </c>
      <c r="GD44" s="62" t="e">
        <f t="shared" si="26"/>
        <v>#NUM!</v>
      </c>
      <c r="GE44" s="62">
        <f ca="1">AVERAGE(OFFSET($GD$3,0,0,'Données projet'!$E$17+1,1))-AVERAGE(OFFSET($H$3,0,0,'Données projet'!$E$17+1,1))</f>
        <v>132.18258156780018</v>
      </c>
      <c r="GF44" s="62">
        <f t="shared" si="50"/>
        <v>315.58133946947294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34.884547522480148</v>
      </c>
      <c r="GM44" s="23">
        <f>EXP(-LN(2)/25)*GM43+(1-EXP(-LN(2)/25))/(LN(2)/25)*Calculateur!GH44*Calculateur!GJ44*VLOOKUP('Données projet'!$B$17,Paramètres!$A$1:$I$89,3,0)*0.475*44/12</f>
        <v>13.677152457491214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48.561699979971365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9">
        <f t="shared" si="1"/>
        <v>341.37946080365469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163.26</v>
      </c>
      <c r="L45" s="13">
        <f>VLOOKUP(A45,'Données projet'!$A$35:$I$55,9,0)</f>
        <v>3.887142857142857</v>
      </c>
      <c r="M45" s="13">
        <f t="array" ref="M45">INDEX(L:L,MIN(IF(ISNUMBER(L45:L241),ROW(L45:L241),"")))</f>
        <v>3.887142857142857</v>
      </c>
      <c r="N45" s="14">
        <f>IF('Données projet'!$A$36&gt;35,N44+M45-V44,IF(A45&lt;'Données projet'!$A$36,$K$205^A45,IF(A45='Données projet'!$A$36,'Données projet'!$B$36,N44+M45-V44)))</f>
        <v>163.2600000000001</v>
      </c>
      <c r="O45" s="14">
        <f>N45*VLOOKUP('Données projet'!$B$9,Paramètres!$A$1:$I$89,3,0)*VLOOKUP('Données projet'!$B$9,Paramètres!$A$1:$I$89,5,0)</f>
        <v>147.71764800000008</v>
      </c>
      <c r="P45" s="14">
        <f t="shared" si="33"/>
        <v>38.059451005131997</v>
      </c>
      <c r="Q45" s="22">
        <f t="shared" si="53"/>
        <v>323.56178076727167</v>
      </c>
      <c r="R45" s="62">
        <f t="shared" si="0"/>
        <v>616.89511410060504</v>
      </c>
      <c r="S45" s="62">
        <f ca="1">AVERAGE(OFFSET($R$3,0,0,'Données projet'!$E$9+1,1))-AVERAGE(OFFSET($H$3,0,0,'Données projet'!$E$9+1,1))</f>
        <v>401.86262166363821</v>
      </c>
      <c r="T45" s="62">
        <f t="shared" si="34"/>
        <v>208.60314230781432</v>
      </c>
      <c r="U45" s="16">
        <f>IF(ISNA(VLOOKUP(A45,'Données projet'!$A$35:$I$55,3,0)),0,VLOOKUP(A45,'Données projet'!$A$35:$I$55,3,0))</f>
        <v>1</v>
      </c>
      <c r="V45" s="16">
        <f>IF(ISNA(VLOOKUP(A45,'Données projet'!$A$35:$I$55,4,0)),0,VLOOKUP(A45,'Données projet'!$A$35:$I$55,4,0))</f>
        <v>43.21</v>
      </c>
      <c r="W45" s="17">
        <f>IF(ISNA(VLOOKUP(A45,'Données projet'!$A$35:$I$55,5,0)),0%,VLOOKUP(A45,'Données projet'!$A$35:$I$55,5,0)*VLOOKUP('Données projet'!$B$9,Paramètres!$A$1:$I$89,7,0))</f>
        <v>8.6000000000000007E-2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3.7169132051516152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3.7169132051516152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163.26</v>
      </c>
      <c r="AG45" s="13">
        <f>VLOOKUP(A45,'Données projet'!$A$61:$I$81,9,0)</f>
        <v>3.887142857142857</v>
      </c>
      <c r="AH45" s="13">
        <f t="array" ref="AH45">INDEX(AG:AG,MIN(IF(ISNUMBER(AG45:AG241),ROW(AG45:AG241),"")))</f>
        <v>3.887142857142857</v>
      </c>
      <c r="AI45" s="14">
        <f>IF('Données projet'!$A$62&gt;35,AI44+AH45-AQ44,IF(A45&lt;'Données projet'!$A$62,$AF$205^A45,IF(A45='Données projet'!$A$62,'Données projet'!$B$62,AI44+AH45-AQ44)))</f>
        <v>163.2600000000001</v>
      </c>
      <c r="AJ45" s="14">
        <f>AI45*VLOOKUP('Données projet'!$B$10,Paramètres!$A$1:$I$89,3,0)*VLOOKUP('Données projet'!$B$10,Paramètres!$A$1:$I$89,5,0)</f>
        <v>175.7330640000001</v>
      </c>
      <c r="AK45" s="14">
        <f t="shared" si="35"/>
        <v>44.371550104499022</v>
      </c>
      <c r="AL45" s="22">
        <f t="shared" si="4"/>
        <v>383.34886956533597</v>
      </c>
      <c r="AM45" s="62">
        <f t="shared" si="5"/>
        <v>676.68220289866929</v>
      </c>
      <c r="AN45" s="62">
        <f ca="1">AVERAGE(OFFSET($AM$3,0,0,'Données projet'!$E$10+1,1))-AVERAGE(OFFSET($H$3,0,0,'Données projet'!$E$10+1,1))</f>
        <v>407.22515465568205</v>
      </c>
      <c r="AO45" s="62">
        <f t="shared" si="36"/>
        <v>251.6218558398258</v>
      </c>
      <c r="AP45" s="16">
        <f>IF(ISNA(VLOOKUP(A45,'Données projet'!$A$61:$I$81,3,0)),0,VLOOKUP(A45,'Données projet'!$A$61:$I$81,3,0))</f>
        <v>1</v>
      </c>
      <c r="AQ45" s="16">
        <f>IF(ISNA(VLOOKUP(A45,'Données projet'!$A$61:$I$81,4,0)),0,VLOOKUP(A45,'Données projet'!$A$61:$I$81,4,0))</f>
        <v>43.21</v>
      </c>
      <c r="AR45" s="17">
        <f>IF(ISNA(VLOOKUP(A45,'Données projet'!$A$61:$I$81,5,0)),0%,VLOOKUP(A45,'Données projet'!$A$61:$I$81,5,0)*VLOOKUP('Données projet'!$B$10,Paramètres!$A$1:$I$89,7,0))</f>
        <v>8.6000000000000007E-2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4.4218450199217498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4.4218450199217498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163.26</v>
      </c>
      <c r="BB45" s="13">
        <f>VLOOKUP(A45,'Données projet'!$A$87:$I$107,9,0)</f>
        <v>3.887142857142857</v>
      </c>
      <c r="BC45" s="13">
        <f t="array" ref="BC45">INDEX(BB:BB,MIN(IF(ISNUMBER(BB45:BB241),ROW(BB45:BB241),"")))</f>
        <v>3.887142857142857</v>
      </c>
      <c r="BD45" s="13">
        <f>IF('Données projet'!$A$88&gt;35,BD44+BC45-BL44,IF(A45&lt;'Données projet'!$A$88,$BA$205^A45,IF(A45='Données projet'!$A$88,'Données projet'!$B$88,BD44+BC45-BL44)))</f>
        <v>163.2600000000001</v>
      </c>
      <c r="BE45" s="14">
        <f>BD45*VLOOKUP('Données projet'!$B$11,Paramètres!$A$1:$I$89,3,0)*VLOOKUP('Données projet'!$B$11,Paramètres!$A$1:$I$89,5,0)</f>
        <v>157.9050720000001</v>
      </c>
      <c r="BF45" s="14">
        <f t="shared" si="37"/>
        <v>40.369636709915028</v>
      </c>
      <c r="BG45" s="22">
        <f t="shared" si="7"/>
        <v>345.32845100310215</v>
      </c>
      <c r="BH45" s="62">
        <f t="shared" si="8"/>
        <v>638.6617843364354</v>
      </c>
      <c r="BI45" s="62">
        <f ca="1">AVERAGE(OFFSET($BH$3,0,0,'Données projet'!$E$11+1,1))-AVERAGE(OFFSET($H$3,0,0,'Données projet'!$E$11+1,1))</f>
        <v>357.76044008074308</v>
      </c>
      <c r="BJ45" s="62">
        <f t="shared" si="38"/>
        <v>224.26555772810445</v>
      </c>
      <c r="BK45" s="16">
        <f>IF(ISNA(VLOOKUP(A45,'Données projet'!$A$87:$I$107,3,0)),0,VLOOKUP(A45,'Données projet'!$A$87:$I$107,3,0))</f>
        <v>1</v>
      </c>
      <c r="BL45" s="16">
        <f>IF(ISNA(VLOOKUP(A45,'Données projet'!$A$87:$I$107,4,0)),0,VLOOKUP(A45,'Données projet'!$A$87:$I$107,4,0))</f>
        <v>43.21</v>
      </c>
      <c r="BM45" s="17">
        <f>IF(ISNA(VLOOKUP(A45,'Données projet'!$A$87:$I$107,5,0)),0%,VLOOKUP(A45,'Données projet'!$A$87:$I$107,5,0)*VLOOKUP('Données projet'!$B$11,Paramètres!$A$1:$I$89,7,0))</f>
        <v>8.6000000000000007E-2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3.9732520468862105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3.9732520468862105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163.26</v>
      </c>
      <c r="BW45" s="13">
        <f>VLOOKUP(A45,'Données projet'!$A$113:$I$133,9,0)</f>
        <v>3.887142857142857</v>
      </c>
      <c r="BX45" s="13">
        <f t="array" ref="BX45">INDEX(BW:BW,MIN(IF(ISNUMBER(BW45:BW241),ROW(BW45:BW241),"")))</f>
        <v>3.887142857142857</v>
      </c>
      <c r="BY45" s="13">
        <f>IF('Données projet'!$A$114&gt;35,BY44+BX45-CG44,IF(A45&lt;'Données projet'!$A$114,$BV$205^A45,IF(A45='Données projet'!$A$114,'Données projet'!$B$114,BY44+BX45-CG44)))</f>
        <v>163.2600000000001</v>
      </c>
      <c r="BZ45" s="14">
        <f>BY45*VLOOKUP('Données projet'!$B$12,Paramètres!$A$1:$I$89,3,0)*VLOOKUP('Données projet'!$B$12,Paramètres!$A$1:$I$89,5,0)</f>
        <v>109.51480800000007</v>
      </c>
      <c r="CA45" s="14">
        <f t="shared" si="39"/>
        <v>29.216640158833595</v>
      </c>
      <c r="CB45" s="22">
        <f t="shared" si="10"/>
        <v>241.62393887663529</v>
      </c>
      <c r="CC45" s="62">
        <f t="shared" si="11"/>
        <v>534.95727220996855</v>
      </c>
      <c r="CD45" s="62">
        <f ca="1">AVERAGE(OFFSET($CC$3,0,0,'Données projet'!$E$12+1,1))-AVERAGE(OFFSET($H$3,0,0,'Données projet'!$E$12+1,1))</f>
        <v>222.86701323374945</v>
      </c>
      <c r="CE45" s="62">
        <f t="shared" si="40"/>
        <v>149.63671045240511</v>
      </c>
      <c r="CF45" s="16">
        <f>IF(ISNA(VLOOKUP(A45,'Données projet'!$A$113:$I$133,3,0)),0,VLOOKUP(A45,'Données projet'!$A$113:$I$133,3,0))</f>
        <v>1</v>
      </c>
      <c r="CG45" s="16">
        <f>IF(ISNA(VLOOKUP(A45,'Données projet'!$A$113:$I$133,4,0)),0,VLOOKUP(A45,'Données projet'!$A$113:$I$133,4,0))</f>
        <v>43.21</v>
      </c>
      <c r="CH45" s="17">
        <f>IF(ISNA(VLOOKUP(A45,'Données projet'!$A$113:$I$133,5,0)),0%,VLOOKUP(A45,'Données projet'!$A$113:$I$133,5,0)*VLOOKUP('Données projet'!$B$12,Paramètres!$A$1:$I$89,7,0))</f>
        <v>0.10600000000000001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3.3964896529833735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3.3964896529833735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7.4</v>
      </c>
      <c r="CT45" s="13">
        <f>IF('Données projet'!$A$140&gt;35,CT44+CS45-DB44,IF(A45&lt;'Données projet'!$A$140,$CQ$205^A45,IF(A45='Données projet'!$A$140,'Données projet'!$B$140,CT44+CS45-DB44)))</f>
        <v>184.80000000000007</v>
      </c>
      <c r="CU45" s="18">
        <f>CT45*VLOOKUP('Données projet'!$B$13,Paramètres!$A$1:$I$89,3,0)*VLOOKUP('Données projet'!$B$13,Paramètres!$A$1:$I$89,5,0)</f>
        <v>121.08096000000005</v>
      </c>
      <c r="CV45" s="14">
        <f t="shared" si="41"/>
        <v>31.92698372788707</v>
      </c>
      <c r="CW45" s="22">
        <f t="shared" si="13"/>
        <v>266.48883532607005</v>
      </c>
      <c r="CX45" s="62">
        <f t="shared" si="14"/>
        <v>559.82216865940336</v>
      </c>
      <c r="CY45" s="62">
        <f ca="1">AVERAGE(OFFSET($CX$3,0,0,'Données projet'!$E$13+1,1))-AVERAGE(OFFSET($H$3,0,0,'Données projet'!$E$13+1,1))</f>
        <v>173.15672762188746</v>
      </c>
      <c r="CZ45" s="62">
        <f t="shared" si="42"/>
        <v>208.54841796921414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4.7304692293554282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4.7304692293554282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15.725555555555552</v>
      </c>
      <c r="EJ45" s="13">
        <f>IF('Données projet'!$A$192&gt;35,EJ44+EI45-ER44,IF(A45&lt;'Données projet'!$A$192,$EG$205^A45,IF(A45='Données projet'!$A$192,'Données projet'!$B$192,EJ44+EI45-ER44)))</f>
        <v>244.1355555555557</v>
      </c>
      <c r="EK45" s="18">
        <f>EJ45*VLOOKUP('Données projet'!$B$15,Paramètres!$A$1:$I$89,3,0)*VLOOKUP('Données projet'!$B$15,Paramètres!$A$1:$I$89,5,0)</f>
        <v>145.99306222222231</v>
      </c>
      <c r="EL45" s="14">
        <f t="shared" si="45"/>
        <v>37.666564668799332</v>
      </c>
      <c r="EM45" s="22">
        <f t="shared" si="19"/>
        <v>319.87385016852937</v>
      </c>
      <c r="EN45" s="62">
        <f t="shared" si="20"/>
        <v>613.20718350186269</v>
      </c>
      <c r="EO45" s="62">
        <f ca="1">AVERAGE(OFFSET($EN$3,0,0,'Données projet'!$E$15+1,1))-AVERAGE(OFFSET($H$3,0,0,'Données projet'!$E$15+1,1))</f>
        <v>269.18638759204373</v>
      </c>
      <c r="EP45" s="62">
        <f t="shared" si="46"/>
        <v>197.07126167823969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30.466779780706009</v>
      </c>
      <c r="EW45" s="23">
        <f>EXP(-LN(2)/25)*EW44+(1-EXP(-LN(2)/25))/(LN(2)/25)*Calculateur!ER45*Calculateur!ET45*VLOOKUP('Données projet'!$B$15,Paramètres!$A$1:$I$89,3,0)*0.475*44/12</f>
        <v>16.591102376151799</v>
      </c>
      <c r="EX45" s="23">
        <f>EXP(-LN(2)/2)*EX44+(1-EXP(-LN(2)/2))/(LN(2)/2)*ER45*EU45*VLOOKUP('Données projet'!$B$15,Paramètres!$A$1:$I$89,3,0)*0.475*44/12</f>
        <v>6.595379094334394</v>
      </c>
      <c r="EY45" s="24">
        <f t="shared" si="21"/>
        <v>53.653261251192205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19.525000000000006</v>
      </c>
      <c r="FE45" s="13">
        <f>IF('Données projet'!$A$218&gt;35,FE44+FD45-FM44,IF(A45&lt;'Données projet'!$A$218,$FB$205^A45,IF(A45='Données projet'!$A$218,'Données projet'!$B$218,FE44+FD45-FM44)))</f>
        <v>420.95000000000027</v>
      </c>
      <c r="FF45" s="18">
        <f>FE45*VLOOKUP('Données projet'!$B$16,Paramètres!$A$1:$I$89,3,0)*VLOOKUP('Données projet'!$B$16,Paramètres!$A$1:$I$89,5,0)</f>
        <v>251.72810000000018</v>
      </c>
      <c r="FG45" s="14">
        <f t="shared" si="47"/>
        <v>60.955838969492589</v>
      </c>
      <c r="FH45" s="22">
        <f t="shared" si="22"/>
        <v>544.59119370519988</v>
      </c>
      <c r="FI45" s="62">
        <f t="shared" si="23"/>
        <v>837.92452703853314</v>
      </c>
      <c r="FJ45" s="62">
        <f ca="1">AVERAGE(OFFSET($FI$3,0,0,'Données projet'!$E$16+1,1))-AVERAGE(OFFSET($H$3,0,0,'Données projet'!$E$16+1,1))</f>
        <v>330.48891719033065</v>
      </c>
      <c r="FK45" s="62">
        <f t="shared" si="48"/>
        <v>419.35494198427284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57.410012893720591</v>
      </c>
      <c r="FR45" s="23">
        <f>EXP(-LN(2)/25)*FR44+(1-EXP(-LN(2)/25))/(LN(2)/25)*Calculateur!FM45*Calculateur!FO45*VLOOKUP('Données projet'!$B$16,Paramètres!$A$1:$I$89,3,0)*0.475*44/12</f>
        <v>21.829037066695751</v>
      </c>
      <c r="FS45" s="23">
        <f>EXP(-LN(2)/2)*FS44+(1-EXP(-LN(2)/2))/(LN(2)/2)*FM45*FP45*VLOOKUP('Données projet'!$B$16,Paramètres!$A$1:$I$89,3,0)*0.475*44/12</f>
        <v>5.467281802575668</v>
      </c>
      <c r="FT45" s="24">
        <f t="shared" si="24"/>
        <v>84.706331762992008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>
        <f>FZ45*VLOOKUP('Données projet'!$B$17,Paramètres!$A$1:$I$89,3,0)*VLOOKUP('Données projet'!$B$17,Paramètres!$A$1:$I$89,5,0)</f>
        <v>0</v>
      </c>
      <c r="GB45" s="14" t="e">
        <f t="shared" si="49"/>
        <v>#NUM!</v>
      </c>
      <c r="GC45" s="22" t="e">
        <f t="shared" si="25"/>
        <v>#NUM!</v>
      </c>
      <c r="GD45" s="62" t="e">
        <f t="shared" si="26"/>
        <v>#NUM!</v>
      </c>
      <c r="GE45" s="62">
        <f ca="1">AVERAGE(OFFSET($GD$3,0,0,'Données projet'!$E$17+1,1))-AVERAGE(OFFSET($H$3,0,0,'Données projet'!$E$17+1,1))</f>
        <v>132.18258156780018</v>
      </c>
      <c r="GF45" s="62">
        <f t="shared" si="50"/>
        <v>315.58133946947294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34.200482823037326</v>
      </c>
      <c r="GM45" s="23">
        <f>EXP(-LN(2)/25)*GM44+(1-EXP(-LN(2)/25))/(LN(2)/25)*Calculateur!GH45*Calculateur!GJ45*VLOOKUP('Données projet'!$B$17,Paramètres!$A$1:$I$89,3,0)*0.475*44/12</f>
        <v>13.303150004290929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47.503632827328254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9">
        <f t="shared" si="1"/>
        <v>343.34135579614605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9.3712500000000034</v>
      </c>
      <c r="N46" s="14">
        <f>IF('Données projet'!$A$36&gt;35,N45+M46-V45,IF(A46&lt;'Données projet'!$A$36,$K$205^A46,IF(A46='Données projet'!$A$36,'Données projet'!$B$36,N45+M46-V45)))</f>
        <v>129.4212500000001</v>
      </c>
      <c r="O46" s="14">
        <f>N46*VLOOKUP('Données projet'!$B$9,Paramètres!$A$1:$I$89,3,0)*VLOOKUP('Données projet'!$B$9,Paramètres!$A$1:$I$89,5,0)</f>
        <v>117.10034700000008</v>
      </c>
      <c r="P46" s="14">
        <f t="shared" si="33"/>
        <v>30.997743089027207</v>
      </c>
      <c r="Q46" s="22">
        <f t="shared" si="53"/>
        <v>257.93750690505584</v>
      </c>
      <c r="R46" s="62">
        <f t="shared" si="0"/>
        <v>551.27084023838916</v>
      </c>
      <c r="S46" s="62">
        <f ca="1">AVERAGE(OFFSET($R$3,0,0,'Données projet'!$E$9+1,1))-AVERAGE(OFFSET($H$3,0,0,'Données projet'!$E$9+1,1))</f>
        <v>401.86262166363821</v>
      </c>
      <c r="T46" s="62">
        <f t="shared" si="34"/>
        <v>208.60314230781432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3.6440268042917903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3.6440268042917903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9.3712500000000034</v>
      </c>
      <c r="AI46" s="14">
        <f>IF('Données projet'!$A$62&gt;35,AI45+AH46-AQ45,IF(A46&lt;'Données projet'!$A$62,$AF$205^A46,IF(A46='Données projet'!$A$62,'Données projet'!$B$62,AI45+AH46-AQ45)))</f>
        <v>129.4212500000001</v>
      </c>
      <c r="AJ46" s="14">
        <f>AI46*VLOOKUP('Données projet'!$B$10,Paramètres!$A$1:$I$89,3,0)*VLOOKUP('Données projet'!$B$10,Paramètres!$A$1:$I$89,5,0)</f>
        <v>139.30903350000008</v>
      </c>
      <c r="AK46" s="14">
        <f t="shared" si="35"/>
        <v>36.138669220838089</v>
      </c>
      <c r="AL46" s="22">
        <f t="shared" si="4"/>
        <v>305.57141557212645</v>
      </c>
      <c r="AM46" s="62">
        <f t="shared" si="5"/>
        <v>598.90474890545977</v>
      </c>
      <c r="AN46" s="62">
        <f ca="1">AVERAGE(OFFSET($AM$3,0,0,'Données projet'!$E$10+1,1))-AVERAGE(OFFSET($H$3,0,0,'Données projet'!$E$10+1,1))</f>
        <v>407.22515465568205</v>
      </c>
      <c r="AO46" s="62">
        <f t="shared" si="36"/>
        <v>251.6218558398258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4.3351353361402341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4.3351353361402341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9.3712500000000034</v>
      </c>
      <c r="BD46" s="13">
        <f>IF('Données projet'!$A$88&gt;35,BD45+BC46-BL45,IF(A46&lt;'Données projet'!$A$88,$BA$205^A46,IF(A46='Données projet'!$A$88,'Données projet'!$B$88,BD45+BC46-BL45)))</f>
        <v>129.4212500000001</v>
      </c>
      <c r="BE46" s="14">
        <f>BD46*VLOOKUP('Données projet'!$B$11,Paramètres!$A$1:$I$89,3,0)*VLOOKUP('Données projet'!$B$11,Paramètres!$A$1:$I$89,5,0)</f>
        <v>125.1762330000001</v>
      </c>
      <c r="BF46" s="14">
        <f t="shared" si="37"/>
        <v>32.879287385479394</v>
      </c>
      <c r="BG46" s="22">
        <f t="shared" si="7"/>
        <v>275.28003133804344</v>
      </c>
      <c r="BH46" s="62">
        <f t="shared" si="8"/>
        <v>568.61336467137676</v>
      </c>
      <c r="BI46" s="62">
        <f ca="1">AVERAGE(OFFSET($BH$3,0,0,'Données projet'!$E$11+1,1))-AVERAGE(OFFSET($H$3,0,0,'Données projet'!$E$11+1,1))</f>
        <v>357.76044008074308</v>
      </c>
      <c r="BJ46" s="62">
        <f t="shared" si="38"/>
        <v>224.26555772810445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3.8953389976912254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3.8953389976912254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9.3712500000000034</v>
      </c>
      <c r="BY46" s="13">
        <f>IF('Données projet'!$A$114&gt;35,BY45+BX46-CG45,IF(A46&lt;'Données projet'!$A$114,$BV$205^A46,IF(A46='Données projet'!$A$114,'Données projet'!$B$114,BY45+BX46-CG45)))</f>
        <v>129.4212500000001</v>
      </c>
      <c r="BZ46" s="14">
        <f>BY46*VLOOKUP('Données projet'!$B$12,Paramètres!$A$1:$I$89,3,0)*VLOOKUP('Données projet'!$B$12,Paramètres!$A$1:$I$89,5,0)</f>
        <v>86.81577450000006</v>
      </c>
      <c r="CA46" s="14">
        <f t="shared" si="39"/>
        <v>23.795663932355723</v>
      </c>
      <c r="CB46" s="22">
        <f t="shared" si="10"/>
        <v>192.6482552696863</v>
      </c>
      <c r="CC46" s="62">
        <f t="shared" si="11"/>
        <v>485.98158860301965</v>
      </c>
      <c r="CD46" s="62">
        <f ca="1">AVERAGE(OFFSET($CC$3,0,0,'Données projet'!$E$12+1,1))-AVERAGE(OFFSET($H$3,0,0,'Données projet'!$E$12+1,1))</f>
        <v>222.86701323374945</v>
      </c>
      <c r="CE46" s="62">
        <f t="shared" si="40"/>
        <v>149.63671045240511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3.3298865625424989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3.3298865625424989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7.4</v>
      </c>
      <c r="CT46" s="13">
        <f>IF('Données projet'!$A$140&gt;35,CT45+CS46-DB45,IF(A46&lt;'Données projet'!$A$140,$CQ$205^A46,IF(A46='Données projet'!$A$140,'Données projet'!$B$140,CT45+CS46-DB45)))</f>
        <v>192.20000000000007</v>
      </c>
      <c r="CU46" s="18">
        <f>CT46*VLOOKUP('Données projet'!$B$13,Paramètres!$A$1:$I$89,3,0)*VLOOKUP('Données projet'!$B$13,Paramètres!$A$1:$I$89,5,0)</f>
        <v>125.92944000000006</v>
      </c>
      <c r="CV46" s="14">
        <f t="shared" si="41"/>
        <v>33.054038034052077</v>
      </c>
      <c r="CW46" s="22">
        <f t="shared" si="13"/>
        <v>276.89622424264081</v>
      </c>
      <c r="CX46" s="62">
        <f t="shared" si="14"/>
        <v>570.22955757597413</v>
      </c>
      <c r="CY46" s="62">
        <f ca="1">AVERAGE(OFFSET($CX$3,0,0,'Données projet'!$E$13+1,1))-AVERAGE(OFFSET($H$3,0,0,'Données projet'!$E$13+1,1))</f>
        <v>173.15672762188746</v>
      </c>
      <c r="CZ46" s="62">
        <f t="shared" si="42"/>
        <v>208.54841796921414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4.6377076130690984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4.6377076130690984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15.725555555555552</v>
      </c>
      <c r="EJ46" s="13">
        <f>IF('Données projet'!$A$192&gt;35,EJ45+EI46-ER45,IF(A46&lt;'Données projet'!$A$192,$EG$205^A46,IF(A46='Données projet'!$A$192,'Données projet'!$B$192,EJ45+EI46-ER45)))</f>
        <v>259.86111111111126</v>
      </c>
      <c r="EK46" s="18">
        <f>EJ46*VLOOKUP('Données projet'!$B$15,Paramètres!$A$1:$I$89,3,0)*VLOOKUP('Données projet'!$B$15,Paramètres!$A$1:$I$89,5,0)</f>
        <v>155.39694444444453</v>
      </c>
      <c r="EL46" s="14">
        <f t="shared" si="45"/>
        <v>39.802526102363792</v>
      </c>
      <c r="EM46" s="22">
        <f t="shared" si="19"/>
        <v>339.97241120235782</v>
      </c>
      <c r="EN46" s="62">
        <f t="shared" si="20"/>
        <v>633.30574453569113</v>
      </c>
      <c r="EO46" s="62">
        <f ca="1">AVERAGE(OFFSET($EN$3,0,0,'Données projet'!$E$15+1,1))-AVERAGE(OFFSET($H$3,0,0,'Données projet'!$E$15+1,1))</f>
        <v>269.18638759204373</v>
      </c>
      <c r="EP46" s="62">
        <f t="shared" si="46"/>
        <v>197.07126167823969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29.869344812107123</v>
      </c>
      <c r="EW46" s="23">
        <f>EXP(-LN(2)/25)*EW45+(1-EXP(-LN(2)/25))/(LN(2)/25)*Calculateur!ER46*Calculateur!ET46*VLOOKUP('Données projet'!$B$15,Paramètres!$A$1:$I$89,3,0)*0.475*44/12</f>
        <v>16.137417809187774</v>
      </c>
      <c r="EX46" s="23">
        <f>EXP(-LN(2)/2)*EX45+(1-EXP(-LN(2)/2))/(LN(2)/2)*ER46*EU46*VLOOKUP('Données projet'!$B$15,Paramètres!$A$1:$I$89,3,0)*0.475*44/12</f>
        <v>4.6636372820998409</v>
      </c>
      <c r="EY46" s="24">
        <f t="shared" si="21"/>
        <v>50.670399903394738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19.525000000000006</v>
      </c>
      <c r="FE46" s="13">
        <f>IF('Données projet'!$A$218&gt;35,FE45+FD46-FM45,IF(A46&lt;'Données projet'!$A$218,$FB$205^A46,IF(A46='Données projet'!$A$218,'Données projet'!$B$218,FE45+FD46-FM45)))</f>
        <v>440.47500000000025</v>
      </c>
      <c r="FF46" s="18">
        <f>FE46*VLOOKUP('Données projet'!$B$16,Paramètres!$A$1:$I$89,3,0)*VLOOKUP('Données projet'!$B$16,Paramètres!$A$1:$I$89,5,0)</f>
        <v>263.40405000000015</v>
      </c>
      <c r="FG46" s="14">
        <f t="shared" si="47"/>
        <v>63.447433630968099</v>
      </c>
      <c r="FH46" s="22">
        <f t="shared" si="22"/>
        <v>569.26633399060302</v>
      </c>
      <c r="FI46" s="62">
        <f t="shared" si="23"/>
        <v>862.59966732393627</v>
      </c>
      <c r="FJ46" s="62">
        <f ca="1">AVERAGE(OFFSET($FI$3,0,0,'Données projet'!$E$16+1,1))-AVERAGE(OFFSET($H$3,0,0,'Données projet'!$E$16+1,1))</f>
        <v>330.48891719033065</v>
      </c>
      <c r="FK46" s="62">
        <f t="shared" si="48"/>
        <v>419.35494198427284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56.284237557524989</v>
      </c>
      <c r="FR46" s="23">
        <f>EXP(-LN(2)/25)*FR45+(1-EXP(-LN(2)/25))/(LN(2)/25)*Calculateur!FM46*Calculateur!FO46*VLOOKUP('Données projet'!$B$16,Paramètres!$A$1:$I$89,3,0)*0.475*44/12</f>
        <v>21.232120900167786</v>
      </c>
      <c r="FS46" s="23">
        <f>EXP(-LN(2)/2)*FS45+(1-EXP(-LN(2)/2))/(LN(2)/2)*FM46*FP46*VLOOKUP('Données projet'!$B$16,Paramètres!$A$1:$I$89,3,0)*0.475*44/12</f>
        <v>3.8659520372590661</v>
      </c>
      <c r="FT46" s="24">
        <f t="shared" si="24"/>
        <v>81.382310494951838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>
        <f>FZ46*VLOOKUP('Données projet'!$B$17,Paramètres!$A$1:$I$89,3,0)*VLOOKUP('Données projet'!$B$17,Paramètres!$A$1:$I$89,5,0)</f>
        <v>0</v>
      </c>
      <c r="GB46" s="14" t="e">
        <f t="shared" si="49"/>
        <v>#NUM!</v>
      </c>
      <c r="GC46" s="22" t="e">
        <f t="shared" si="25"/>
        <v>#NUM!</v>
      </c>
      <c r="GD46" s="62" t="e">
        <f t="shared" si="26"/>
        <v>#NUM!</v>
      </c>
      <c r="GE46" s="62">
        <f ca="1">AVERAGE(OFFSET($GD$3,0,0,'Données projet'!$E$17+1,1))-AVERAGE(OFFSET($H$3,0,0,'Données projet'!$E$17+1,1))</f>
        <v>132.18258156780018</v>
      </c>
      <c r="GF46" s="62">
        <f t="shared" si="50"/>
        <v>315.58133946947294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33.529832215112307</v>
      </c>
      <c r="GM46" s="23">
        <f>EXP(-LN(2)/25)*GM45+(1-EXP(-LN(2)/25))/(LN(2)/25)*Calculateur!GH46*Calculateur!GJ46*VLOOKUP('Données projet'!$B$17,Paramètres!$A$1:$I$89,3,0)*0.475*44/12</f>
        <v>12.93937466784134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46.46920688295365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9">
        <f t="shared" si="1"/>
        <v>345.30213365846572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9.3712500000000034</v>
      </c>
      <c r="N47" s="14">
        <f>IF('Données projet'!$A$36&gt;35,N46+M47-V46,IF(A47&lt;'Données projet'!$A$36,$K$205^A47,IF(A47='Données projet'!$A$36,'Données projet'!$B$36,N46+M47-V46)))</f>
        <v>138.7925000000001</v>
      </c>
      <c r="O47" s="14">
        <f>N47*VLOOKUP('Données projet'!$B$9,Paramètres!$A$1:$I$89,3,0)*VLOOKUP('Données projet'!$B$9,Paramètres!$A$1:$I$89,5,0)</f>
        <v>125.5794540000001</v>
      </c>
      <c r="P47" s="14">
        <f t="shared" si="33"/>
        <v>32.97285338000448</v>
      </c>
      <c r="Q47" s="22">
        <f t="shared" si="53"/>
        <v>276.14526868684135</v>
      </c>
      <c r="R47" s="62">
        <f t="shared" si="0"/>
        <v>569.47860202017466</v>
      </c>
      <c r="S47" s="62">
        <f ca="1">AVERAGE(OFFSET($R$3,0,0,'Données projet'!$E$9+1,1))-AVERAGE(OFFSET($H$3,0,0,'Données projet'!$E$9+1,1))</f>
        <v>401.86262166363821</v>
      </c>
      <c r="T47" s="62">
        <f t="shared" si="34"/>
        <v>208.60314230781432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3.5725696612965119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3.5725696612965119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9.3712500000000034</v>
      </c>
      <c r="AI47" s="14">
        <f>IF('Données projet'!$A$62&gt;35,AI46+AH47-AQ46,IF(A47&lt;'Données projet'!$A$62,$AF$205^A47,IF(A47='Données projet'!$A$62,'Données projet'!$B$62,AI46+AH47-AQ46)))</f>
        <v>138.7925000000001</v>
      </c>
      <c r="AJ47" s="14">
        <f>AI47*VLOOKUP('Données projet'!$B$10,Paramètres!$A$1:$I$89,3,0)*VLOOKUP('Données projet'!$B$10,Paramètres!$A$1:$I$89,5,0)</f>
        <v>149.3962470000001</v>
      </c>
      <c r="AK47" s="14">
        <f t="shared" si="35"/>
        <v>38.441348395747688</v>
      </c>
      <c r="AL47" s="22">
        <f t="shared" si="4"/>
        <v>327.15047864759407</v>
      </c>
      <c r="AM47" s="62">
        <f t="shared" si="5"/>
        <v>620.48381198092738</v>
      </c>
      <c r="AN47" s="62">
        <f ca="1">AVERAGE(OFFSET($AM$3,0,0,'Données projet'!$E$10+1,1))-AVERAGE(OFFSET($H$3,0,0,'Données projet'!$E$10+1,1))</f>
        <v>407.22515465568205</v>
      </c>
      <c r="AO47" s="62">
        <f t="shared" si="36"/>
        <v>251.6218558398258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4.250125976369989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4.250125976369989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9.3712500000000034</v>
      </c>
      <c r="BD47" s="13">
        <f>IF('Données projet'!$A$88&gt;35,BD46+BC47-BL46,IF(A47&lt;'Données projet'!$A$88,$BA$205^A47,IF(A47='Données projet'!$A$88,'Données projet'!$B$88,BD46+BC47-BL46)))</f>
        <v>138.7925000000001</v>
      </c>
      <c r="BE47" s="14">
        <f>BD47*VLOOKUP('Données projet'!$B$11,Paramètres!$A$1:$I$89,3,0)*VLOOKUP('Données projet'!$B$11,Paramètres!$A$1:$I$89,5,0)</f>
        <v>134.24010600000011</v>
      </c>
      <c r="BF47" s="14">
        <f t="shared" si="37"/>
        <v>34.974285679017981</v>
      </c>
      <c r="BG47" s="22">
        <f t="shared" si="7"/>
        <v>294.71506550762314</v>
      </c>
      <c r="BH47" s="62">
        <f t="shared" si="8"/>
        <v>588.04839884095645</v>
      </c>
      <c r="BI47" s="62">
        <f ca="1">AVERAGE(OFFSET($BH$3,0,0,'Données projet'!$E$11+1,1))-AVERAGE(OFFSET($H$3,0,0,'Données projet'!$E$11+1,1))</f>
        <v>357.76044008074308</v>
      </c>
      <c r="BJ47" s="62">
        <f t="shared" si="38"/>
        <v>224.26555772810445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3.8189537758686862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3.8189537758686862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9.3712500000000034</v>
      </c>
      <c r="BY47" s="13">
        <f>IF('Données projet'!$A$114&gt;35,BY46+BX47-CG46,IF(A47&lt;'Données projet'!$A$114,$BV$205^A47,IF(A47='Données projet'!$A$114,'Données projet'!$B$114,BY46+BX47-CG46)))</f>
        <v>138.7925000000001</v>
      </c>
      <c r="BZ47" s="14">
        <f>BY47*VLOOKUP('Données projet'!$B$12,Paramètres!$A$1:$I$89,3,0)*VLOOKUP('Données projet'!$B$12,Paramètres!$A$1:$I$89,5,0)</f>
        <v>93.102009000000081</v>
      </c>
      <c r="CA47" s="14">
        <f t="shared" si="39"/>
        <v>25.31187305049858</v>
      </c>
      <c r="CB47" s="22">
        <f t="shared" si="10"/>
        <v>206.23751123795182</v>
      </c>
      <c r="CC47" s="62">
        <f t="shared" si="11"/>
        <v>499.57084457128514</v>
      </c>
      <c r="CD47" s="62">
        <f ca="1">AVERAGE(OFFSET($CC$3,0,0,'Données projet'!$E$12+1,1))-AVERAGE(OFFSET($H$3,0,0,'Données projet'!$E$12+1,1))</f>
        <v>222.86701323374945</v>
      </c>
      <c r="CE47" s="62">
        <f t="shared" si="40"/>
        <v>149.63671045240511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3.264589518081296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3.264589518081296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7.4</v>
      </c>
      <c r="CT47" s="13">
        <f>IF('Données projet'!$A$140&gt;35,CT46+CS47-DB46,IF(A47&lt;'Données projet'!$A$140,$CQ$205^A47,IF(A47='Données projet'!$A$140,'Données projet'!$B$140,CT46+CS47-DB46)))</f>
        <v>199.60000000000008</v>
      </c>
      <c r="CU47" s="18">
        <f>CT47*VLOOKUP('Données projet'!$B$13,Paramètres!$A$1:$I$89,3,0)*VLOOKUP('Données projet'!$B$13,Paramètres!$A$1:$I$89,5,0)</f>
        <v>130.77792000000005</v>
      </c>
      <c r="CV47" s="14">
        <f t="shared" si="41"/>
        <v>34.176051340149542</v>
      </c>
      <c r="CW47" s="22">
        <f t="shared" si="13"/>
        <v>287.29483341742718</v>
      </c>
      <c r="CX47" s="62">
        <f t="shared" si="14"/>
        <v>580.62816675076056</v>
      </c>
      <c r="CY47" s="62">
        <f ca="1">AVERAGE(OFFSET($CX$3,0,0,'Données projet'!$E$13+1,1))-AVERAGE(OFFSET($H$3,0,0,'Données projet'!$E$13+1,1))</f>
        <v>173.15672762188746</v>
      </c>
      <c r="CZ47" s="62">
        <f t="shared" si="42"/>
        <v>208.54841796921414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4.546764995499144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4.546764995499144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15.725555555555552</v>
      </c>
      <c r="EJ47" s="13">
        <f>IF('Données projet'!$A$192&gt;35,EJ46+EI47-ER46,IF(A47&lt;'Données projet'!$A$192,$EG$205^A47,IF(A47='Données projet'!$A$192,'Données projet'!$B$192,EJ46+EI47-ER46)))</f>
        <v>275.58666666666682</v>
      </c>
      <c r="EK47" s="18">
        <f>EJ47*VLOOKUP('Données projet'!$B$15,Paramètres!$A$1:$I$89,3,0)*VLOOKUP('Données projet'!$B$15,Paramètres!$A$1:$I$89,5,0)</f>
        <v>164.80082666666678</v>
      </c>
      <c r="EL47" s="14">
        <f t="shared" si="45"/>
        <v>41.923485083367801</v>
      </c>
      <c r="EM47" s="22">
        <f t="shared" si="19"/>
        <v>360.04484296464358</v>
      </c>
      <c r="EN47" s="62">
        <f t="shared" si="20"/>
        <v>653.37817629797689</v>
      </c>
      <c r="EO47" s="62">
        <f ca="1">AVERAGE(OFFSET($EN$3,0,0,'Données projet'!$E$15+1,1))-AVERAGE(OFFSET($H$3,0,0,'Données projet'!$E$15+1,1))</f>
        <v>269.18638759204373</v>
      </c>
      <c r="EP47" s="62">
        <f t="shared" si="46"/>
        <v>197.07126167823969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29.28362517884311</v>
      </c>
      <c r="EW47" s="23">
        <f>EXP(-LN(2)/25)*EW46+(1-EXP(-LN(2)/25))/(LN(2)/25)*Calculateur!ER47*Calculateur!ET47*VLOOKUP('Données projet'!$B$15,Paramètres!$A$1:$I$89,3,0)*0.475*44/12</f>
        <v>15.696139270565615</v>
      </c>
      <c r="EX47" s="23">
        <f>EXP(-LN(2)/2)*EX46+(1-EXP(-LN(2)/2))/(LN(2)/2)*ER47*EU47*VLOOKUP('Données projet'!$B$15,Paramètres!$A$1:$I$89,3,0)*0.475*44/12</f>
        <v>3.2976895471671974</v>
      </c>
      <c r="EY47" s="24">
        <f t="shared" si="21"/>
        <v>48.277453996575922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19.525000000000006</v>
      </c>
      <c r="FE47" s="13">
        <f>IF('Données projet'!$A$218&gt;35,FE46+FD47-FM46,IF(A47&lt;'Données projet'!$A$218,$FB$205^A47,IF(A47='Données projet'!$A$218,'Données projet'!$B$218,FE46+FD47-FM46)))</f>
        <v>460.00000000000023</v>
      </c>
      <c r="FF47" s="18">
        <f>FE47*VLOOKUP('Données projet'!$B$16,Paramètres!$A$1:$I$89,3,0)*VLOOKUP('Données projet'!$B$16,Paramètres!$A$1:$I$89,5,0)</f>
        <v>275.08000000000015</v>
      </c>
      <c r="FG47" s="14">
        <f t="shared" si="47"/>
        <v>65.926201134783341</v>
      </c>
      <c r="FH47" s="22">
        <f t="shared" si="22"/>
        <v>593.91913364308118</v>
      </c>
      <c r="FI47" s="62">
        <f t="shared" si="23"/>
        <v>887.25246697641455</v>
      </c>
      <c r="FJ47" s="62">
        <f ca="1">AVERAGE(OFFSET($FI$3,0,0,'Données projet'!$E$16+1,1))-AVERAGE(OFFSET($H$3,0,0,'Données projet'!$E$16+1,1))</f>
        <v>330.48891719033065</v>
      </c>
      <c r="FK47" s="62">
        <f t="shared" si="48"/>
        <v>419.35494198427284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55.180537989017026</v>
      </c>
      <c r="FR47" s="23">
        <f>EXP(-LN(2)/25)*FR46+(1-EXP(-LN(2)/25))/(LN(2)/25)*Calculateur!FM47*Calculateur!FO47*VLOOKUP('Données projet'!$B$16,Paramètres!$A$1:$I$89,3,0)*0.475*44/12</f>
        <v>20.651527437603985</v>
      </c>
      <c r="FS47" s="23">
        <f>EXP(-LN(2)/2)*FS46+(1-EXP(-LN(2)/2))/(LN(2)/2)*FM47*FP47*VLOOKUP('Données projet'!$B$16,Paramètres!$A$1:$I$89,3,0)*0.475*44/12</f>
        <v>2.7336409012878344</v>
      </c>
      <c r="FT47" s="24">
        <f t="shared" si="24"/>
        <v>78.565706327908842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>
        <f>FZ47*VLOOKUP('Données projet'!$B$17,Paramètres!$A$1:$I$89,3,0)*VLOOKUP('Données projet'!$B$17,Paramètres!$A$1:$I$89,5,0)</f>
        <v>0</v>
      </c>
      <c r="GB47" s="14" t="e">
        <f t="shared" si="49"/>
        <v>#NUM!</v>
      </c>
      <c r="GC47" s="22" t="e">
        <f t="shared" si="25"/>
        <v>#NUM!</v>
      </c>
      <c r="GD47" s="62" t="e">
        <f t="shared" si="26"/>
        <v>#NUM!</v>
      </c>
      <c r="GE47" s="62">
        <f ca="1">AVERAGE(OFFSET($GD$3,0,0,'Données projet'!$E$17+1,1))-AVERAGE(OFFSET($H$3,0,0,'Données projet'!$E$17+1,1))</f>
        <v>132.18258156780018</v>
      </c>
      <c r="GF47" s="62">
        <f t="shared" si="50"/>
        <v>315.58133946947294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32.872332656552217</v>
      </c>
      <c r="GM47" s="23">
        <f>EXP(-LN(2)/25)*GM46+(1-EXP(-LN(2)/25))/(LN(2)/25)*Calculateur!GH47*Calculateur!GJ47*VLOOKUP('Données projet'!$B$17,Paramètres!$A$1:$I$89,3,0)*0.475*44/12</f>
        <v>12.585546787097078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45.457879443649297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9">
        <f t="shared" si="1"/>
        <v>347.2618227027192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9.3712500000000034</v>
      </c>
      <c r="N48" s="14">
        <f>IF('Données projet'!$A$36&gt;35,N47+M48-V47,IF(A48&lt;'Données projet'!$A$36,$K$205^A48,IF(A48='Données projet'!$A$36,'Données projet'!$B$36,N47+M48-V47)))</f>
        <v>148.16375000000011</v>
      </c>
      <c r="O48" s="14">
        <f>N48*VLOOKUP('Données projet'!$B$9,Paramètres!$A$1:$I$89,3,0)*VLOOKUP('Données projet'!$B$9,Paramètres!$A$1:$I$89,5,0)</f>
        <v>134.05856100000008</v>
      </c>
      <c r="P48" s="14">
        <f t="shared" si="33"/>
        <v>34.932489097291651</v>
      </c>
      <c r="Q48" s="22">
        <f t="shared" si="53"/>
        <v>294.3260789194498</v>
      </c>
      <c r="R48" s="62">
        <f t="shared" si="0"/>
        <v>587.65941225278311</v>
      </c>
      <c r="S48" s="62">
        <f ca="1">AVERAGE(OFFSET($R$3,0,0,'Données projet'!$E$9+1,1))-AVERAGE(OFFSET($H$3,0,0,'Données projet'!$E$9+1,1))</f>
        <v>401.86262166363821</v>
      </c>
      <c r="T48" s="62">
        <f t="shared" si="34"/>
        <v>208.60314230781432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3.5025137492908169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3.5025137492908169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9.3712500000000034</v>
      </c>
      <c r="AI48" s="14">
        <f>IF('Données projet'!$A$62&gt;35,AI47+AH48-AQ47,IF(A48&lt;'Données projet'!$A$62,$AF$205^A48,IF(A48='Données projet'!$A$62,'Données projet'!$B$62,AI47+AH48-AQ47)))</f>
        <v>148.16375000000011</v>
      </c>
      <c r="AJ48" s="14">
        <f>AI48*VLOOKUP('Données projet'!$B$10,Paramètres!$A$1:$I$89,3,0)*VLOOKUP('Données projet'!$B$10,Paramètres!$A$1:$I$89,5,0)</f>
        <v>159.48346050000009</v>
      </c>
      <c r="AK48" s="14">
        <f t="shared" si="35"/>
        <v>40.725986563661593</v>
      </c>
      <c r="AL48" s="22">
        <f t="shared" si="4"/>
        <v>348.69812030254405</v>
      </c>
      <c r="AM48" s="62">
        <f t="shared" si="5"/>
        <v>642.03145363587737</v>
      </c>
      <c r="AN48" s="62">
        <f ca="1">AVERAGE(OFFSET($AM$3,0,0,'Données projet'!$E$10+1,1))-AVERAGE(OFFSET($H$3,0,0,'Données projet'!$E$10+1,1))</f>
        <v>407.22515465568205</v>
      </c>
      <c r="AO48" s="62">
        <f t="shared" si="36"/>
        <v>251.6218558398258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4.1667835982942485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4.1667835982942485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9.3712500000000034</v>
      </c>
      <c r="BD48" s="13">
        <f>IF('Données projet'!$A$88&gt;35,BD47+BC48-BL47,IF(A48&lt;'Données projet'!$A$88,$BA$205^A48,IF(A48='Données projet'!$A$88,'Données projet'!$B$88,BD47+BC48-BL47)))</f>
        <v>148.16375000000011</v>
      </c>
      <c r="BE48" s="14">
        <f>BD48*VLOOKUP('Données projet'!$B$11,Paramètres!$A$1:$I$89,3,0)*VLOOKUP('Données projet'!$B$11,Paramètres!$A$1:$I$89,5,0)</f>
        <v>143.30397900000011</v>
      </c>
      <c r="BF48" s="14">
        <f t="shared" si="37"/>
        <v>37.052870101583345</v>
      </c>
      <c r="BG48" s="22">
        <f t="shared" si="7"/>
        <v>314.12151218525787</v>
      </c>
      <c r="BH48" s="62">
        <f t="shared" si="8"/>
        <v>607.45484551859113</v>
      </c>
      <c r="BI48" s="62">
        <f ca="1">AVERAGE(OFFSET($BH$3,0,0,'Données projet'!$E$11+1,1))-AVERAGE(OFFSET($H$3,0,0,'Données projet'!$E$11+1,1))</f>
        <v>357.76044008074308</v>
      </c>
      <c r="BJ48" s="62">
        <f t="shared" si="38"/>
        <v>224.26555772810445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3.744066421655702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3.744066421655702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9.3712500000000034</v>
      </c>
      <c r="BY48" s="13">
        <f>IF('Données projet'!$A$114&gt;35,BY47+BX48-CG47,IF(A48&lt;'Données projet'!$A$114,$BV$205^A48,IF(A48='Données projet'!$A$114,'Données projet'!$B$114,BY47+BX48-CG47)))</f>
        <v>148.16375000000011</v>
      </c>
      <c r="BZ48" s="14">
        <f>BY48*VLOOKUP('Données projet'!$B$12,Paramètres!$A$1:$I$89,3,0)*VLOOKUP('Données projet'!$B$12,Paramètres!$A$1:$I$89,5,0)</f>
        <v>99.388243500000073</v>
      </c>
      <c r="CA48" s="14">
        <f t="shared" si="39"/>
        <v>26.816202989116352</v>
      </c>
      <c r="CB48" s="22">
        <f t="shared" si="10"/>
        <v>219.8060776352111</v>
      </c>
      <c r="CC48" s="62">
        <f t="shared" si="11"/>
        <v>513.13941096854444</v>
      </c>
      <c r="CD48" s="62">
        <f ca="1">AVERAGE(OFFSET($CC$3,0,0,'Données projet'!$E$12+1,1))-AVERAGE(OFFSET($H$3,0,0,'Données projet'!$E$12+1,1))</f>
        <v>222.86701323374945</v>
      </c>
      <c r="CE48" s="62">
        <f t="shared" si="40"/>
        <v>149.63671045240511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3.200572908834713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3.200572908834713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207</v>
      </c>
      <c r="CR48" s="13">
        <f>VLOOKUP(A48,'Données projet'!$A$139:$I$159,9,0)</f>
        <v>7.4</v>
      </c>
      <c r="CS48" s="13">
        <f t="array" ref="CS48">INDEX(CR:CR,MIN(IF(ISNUMBER(CR48:CR244),ROW(CR48:CR244),"")))</f>
        <v>7.4</v>
      </c>
      <c r="CT48" s="13">
        <f>IF('Données projet'!$A$140&gt;35,CT47+CS48-DB47,IF(A48&lt;'Données projet'!$A$140,$CQ$205^A48,IF(A48='Données projet'!$A$140,'Données projet'!$B$140,CT47+CS48-DB47)))</f>
        <v>207.00000000000009</v>
      </c>
      <c r="CU48" s="18">
        <f>CT48*VLOOKUP('Données projet'!$B$13,Paramètres!$A$1:$I$89,3,0)*VLOOKUP('Données projet'!$B$13,Paramètres!$A$1:$I$89,5,0)</f>
        <v>135.62640000000005</v>
      </c>
      <c r="CV48" s="14">
        <f t="shared" si="41"/>
        <v>35.293231938598481</v>
      </c>
      <c r="CW48" s="22">
        <f t="shared" si="13"/>
        <v>297.68502562639242</v>
      </c>
      <c r="CX48" s="62">
        <f t="shared" si="14"/>
        <v>591.01835895972567</v>
      </c>
      <c r="CY48" s="62">
        <f ca="1">AVERAGE(OFFSET($CX$3,0,0,'Données projet'!$E$13+1,1))-AVERAGE(OFFSET($H$3,0,0,'Données projet'!$E$13+1,1))</f>
        <v>173.15672762188746</v>
      </c>
      <c r="CZ48" s="62">
        <f t="shared" si="42"/>
        <v>208.54841796921414</v>
      </c>
      <c r="DA48" s="16">
        <f>IF(ISNA(VLOOKUP(A48,'Données projet'!$A$139:$I$159,3,0)),0,VLOOKUP(A48,'Données projet'!$A$139:$I$159,3,0))</f>
        <v>8</v>
      </c>
      <c r="DB48" s="16">
        <f>IF(ISNA(VLOOKUP(A48,'Données projet'!$A$139:$I$159,4,0)),0,VLOOKUP(A48,'Données projet'!$A$139:$I$159,4,0))</f>
        <v>25</v>
      </c>
      <c r="DC48" s="17">
        <f>IF(ISNA(VLOOKUP(A48,'Données projet'!$A$139:$I$159,5,0)),0%,VLOOKUP(A48,'Données projet'!$A$139:$I$159,5,0)*VLOOKUP('Données projet'!$B$13,Paramètres!$A$1:$I$89,7,0))</f>
        <v>0.129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6.7934867285509313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6.7934867285509313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15.725555555555552</v>
      </c>
      <c r="EJ48" s="13">
        <f>IF('Données projet'!$A$192&gt;35,EJ47+EI48-ER47,IF(A48&lt;'Données projet'!$A$192,$EG$205^A48,IF(A48='Données projet'!$A$192,'Données projet'!$B$192,EJ47+EI48-ER47)))</f>
        <v>291.31222222222237</v>
      </c>
      <c r="EK48" s="18">
        <f>EJ48*VLOOKUP('Données projet'!$B$15,Paramètres!$A$1:$I$89,3,0)*VLOOKUP('Données projet'!$B$15,Paramètres!$A$1:$I$89,5,0)</f>
        <v>174.204708888889</v>
      </c>
      <c r="EL48" s="14">
        <f t="shared" si="45"/>
        <v>44.030395226989455</v>
      </c>
      <c r="EM48" s="22">
        <f t="shared" si="19"/>
        <v>380.09280633515499</v>
      </c>
      <c r="EN48" s="62">
        <f t="shared" si="20"/>
        <v>673.4261396684883</v>
      </c>
      <c r="EO48" s="62">
        <f ca="1">AVERAGE(OFFSET($EN$3,0,0,'Données projet'!$E$15+1,1))-AVERAGE(OFFSET($H$3,0,0,'Données projet'!$E$15+1,1))</f>
        <v>269.18638759204373</v>
      </c>
      <c r="EP48" s="62">
        <f t="shared" si="46"/>
        <v>197.07126167823969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28.709391150333705</v>
      </c>
      <c r="EW48" s="23">
        <f>EXP(-LN(2)/25)*EW47+(1-EXP(-LN(2)/25))/(LN(2)/25)*Calculateur!ER48*Calculateur!ET48*VLOOKUP('Données projet'!$B$15,Paramètres!$A$1:$I$89,3,0)*0.475*44/12</f>
        <v>15.266927516787907</v>
      </c>
      <c r="EX48" s="23">
        <f>EXP(-LN(2)/2)*EX47+(1-EXP(-LN(2)/2))/(LN(2)/2)*ER48*EU48*VLOOKUP('Données projet'!$B$15,Paramètres!$A$1:$I$89,3,0)*0.475*44/12</f>
        <v>2.3318186410499204</v>
      </c>
      <c r="EY48" s="24">
        <f t="shared" si="21"/>
        <v>46.308137308171531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19.525000000000006</v>
      </c>
      <c r="FE48" s="13">
        <f>IF('Données projet'!$A$218&gt;35,FE47+FD48-FM47,IF(A48&lt;'Données projet'!$A$218,$FB$205^A48,IF(A48='Données projet'!$A$218,'Données projet'!$B$218,FE47+FD48-FM47)))</f>
        <v>479.5250000000002</v>
      </c>
      <c r="FF48" s="18">
        <f>FE48*VLOOKUP('Données projet'!$B$16,Paramètres!$A$1:$I$89,3,0)*VLOOKUP('Données projet'!$B$16,Paramètres!$A$1:$I$89,5,0)</f>
        <v>286.75595000000015</v>
      </c>
      <c r="FG48" s="14">
        <f t="shared" si="47"/>
        <v>68.392748185437156</v>
      </c>
      <c r="FH48" s="22">
        <f t="shared" si="22"/>
        <v>618.55064933963661</v>
      </c>
      <c r="FI48" s="62">
        <f t="shared" si="23"/>
        <v>911.88398267296998</v>
      </c>
      <c r="FJ48" s="62">
        <f ca="1">AVERAGE(OFFSET($FI$3,0,0,'Données projet'!$E$16+1,1))-AVERAGE(OFFSET($H$3,0,0,'Données projet'!$E$16+1,1))</f>
        <v>330.48891719033065</v>
      </c>
      <c r="FK48" s="62">
        <f t="shared" si="48"/>
        <v>419.35494198427284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54.098481295857241</v>
      </c>
      <c r="FR48" s="23">
        <f>EXP(-LN(2)/25)*FR47+(1-EXP(-LN(2)/25))/(LN(2)/25)*Calculateur!FM48*Calculateur!FO48*VLOOKUP('Données projet'!$B$16,Paramètres!$A$1:$I$89,3,0)*0.475*44/12</f>
        <v>20.086810333806074</v>
      </c>
      <c r="FS48" s="23">
        <f>EXP(-LN(2)/2)*FS47+(1-EXP(-LN(2)/2))/(LN(2)/2)*FM48*FP48*VLOOKUP('Données projet'!$B$16,Paramètres!$A$1:$I$89,3,0)*0.475*44/12</f>
        <v>1.9329760186295335</v>
      </c>
      <c r="FT48" s="24">
        <f t="shared" si="24"/>
        <v>76.118267648292843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>
        <f>FZ48*VLOOKUP('Données projet'!$B$17,Paramètres!$A$1:$I$89,3,0)*VLOOKUP('Données projet'!$B$17,Paramètres!$A$1:$I$89,5,0)</f>
        <v>0</v>
      </c>
      <c r="GB48" s="14" t="e">
        <f t="shared" si="49"/>
        <v>#NUM!</v>
      </c>
      <c r="GC48" s="22" t="e">
        <f t="shared" si="25"/>
        <v>#NUM!</v>
      </c>
      <c r="GD48" s="62" t="e">
        <f t="shared" si="26"/>
        <v>#NUM!</v>
      </c>
      <c r="GE48" s="62">
        <f ca="1">AVERAGE(OFFSET($GD$3,0,0,'Données projet'!$E$17+1,1))-AVERAGE(OFFSET($H$3,0,0,'Données projet'!$E$17+1,1))</f>
        <v>132.18258156780018</v>
      </c>
      <c r="GF48" s="62">
        <f t="shared" si="50"/>
        <v>315.58133946947294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32.227726263300362</v>
      </c>
      <c r="GM48" s="23">
        <f>EXP(-LN(2)/25)*GM47+(1-EXP(-LN(2)/25))/(LN(2)/25)*Calculateur!GH48*Calculateur!GJ48*VLOOKUP('Données projet'!$B$17,Paramètres!$A$1:$I$89,3,0)*0.475*44/12</f>
        <v>12.241394348358767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44.469120611659129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9">
        <f t="shared" si="1"/>
        <v>349.22044991085374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9.3712500000000034</v>
      </c>
      <c r="N49" s="14">
        <f>IF('Données projet'!$A$36&gt;35,N48+M49-V48,IF(A49&lt;'Données projet'!$A$36,$K$205^A49,IF(A49='Données projet'!$A$36,'Données projet'!$B$36,N48+M49-V48)))</f>
        <v>157.53500000000011</v>
      </c>
      <c r="O49" s="14">
        <f>N49*VLOOKUP('Données projet'!$B$9,Paramètres!$A$1:$I$89,3,0)*VLOOKUP('Données projet'!$B$9,Paramètres!$A$1:$I$89,5,0)</f>
        <v>142.53766800000008</v>
      </c>
      <c r="P49" s="14">
        <f t="shared" si="33"/>
        <v>36.877740410345027</v>
      </c>
      <c r="Q49" s="22">
        <f t="shared" si="53"/>
        <v>312.48183631468436</v>
      </c>
      <c r="R49" s="62">
        <f t="shared" si="0"/>
        <v>605.81516964801767</v>
      </c>
      <c r="S49" s="62">
        <f ca="1">AVERAGE(OFFSET($R$3,0,0,'Données projet'!$E$9+1,1))-AVERAGE(OFFSET($H$3,0,0,'Données projet'!$E$9+1,1))</f>
        <v>401.86262166363821</v>
      </c>
      <c r="T49" s="62">
        <f t="shared" si="34"/>
        <v>208.60314230781432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3.4338315909896666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3.4338315909896666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9.3712500000000034</v>
      </c>
      <c r="AI49" s="14">
        <f>IF('Données projet'!$A$62&gt;35,AI48+AH49-AQ48,IF(A49&lt;'Données projet'!$A$62,$AF$205^A49,IF(A49='Données projet'!$A$62,'Données projet'!$B$62,AI48+AH49-AQ48)))</f>
        <v>157.53500000000011</v>
      </c>
      <c r="AJ49" s="14">
        <f>AI49*VLOOKUP('Données projet'!$B$10,Paramètres!$A$1:$I$89,3,0)*VLOOKUP('Données projet'!$B$10,Paramètres!$A$1:$I$89,5,0)</f>
        <v>169.57067400000011</v>
      </c>
      <c r="AK49" s="14">
        <f t="shared" si="35"/>
        <v>42.993854696897486</v>
      </c>
      <c r="AL49" s="22">
        <f t="shared" si="4"/>
        <v>370.21655414709659</v>
      </c>
      <c r="AM49" s="62">
        <f t="shared" si="5"/>
        <v>663.5498874804299</v>
      </c>
      <c r="AN49" s="62">
        <f ca="1">AVERAGE(OFFSET($AM$3,0,0,'Données projet'!$E$10+1,1))-AVERAGE(OFFSET($H$3,0,0,'Données projet'!$E$10+1,1))</f>
        <v>407.22515465568205</v>
      </c>
      <c r="AO49" s="62">
        <f t="shared" si="36"/>
        <v>251.6218558398258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4.085075513418742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4.085075513418742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9.3712500000000034</v>
      </c>
      <c r="BD49" s="13">
        <f>IF('Données projet'!$A$88&gt;35,BD48+BC49-BL48,IF(A49&lt;'Données projet'!$A$88,$BA$205^A49,IF(A49='Données projet'!$A$88,'Données projet'!$B$88,BD48+BC49-BL48)))</f>
        <v>157.53500000000011</v>
      </c>
      <c r="BE49" s="14">
        <f>BD49*VLOOKUP('Données projet'!$B$11,Paramètres!$A$1:$I$89,3,0)*VLOOKUP('Données projet'!$B$11,Paramètres!$A$1:$I$89,5,0)</f>
        <v>152.36785200000011</v>
      </c>
      <c r="BF49" s="14">
        <f t="shared" si="37"/>
        <v>39.116196995259784</v>
      </c>
      <c r="BG49" s="22">
        <f t="shared" si="7"/>
        <v>333.50138533341101</v>
      </c>
      <c r="BH49" s="62">
        <f t="shared" si="8"/>
        <v>626.83471866674427</v>
      </c>
      <c r="BI49" s="62">
        <f ca="1">AVERAGE(OFFSET($BH$3,0,0,'Données projet'!$E$11+1,1))-AVERAGE(OFFSET($H$3,0,0,'Données projet'!$E$11+1,1))</f>
        <v>357.76044008074308</v>
      </c>
      <c r="BJ49" s="62">
        <f t="shared" si="38"/>
        <v>224.26555772810445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3.6706475627820585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3.6706475627820585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9.3712500000000034</v>
      </c>
      <c r="BY49" s="13">
        <f>IF('Données projet'!$A$114&gt;35,BY48+BX49-CG48,IF(A49&lt;'Données projet'!$A$114,$BV$205^A49,IF(A49='Données projet'!$A$114,'Données projet'!$B$114,BY48+BX49-CG48)))</f>
        <v>157.53500000000011</v>
      </c>
      <c r="BZ49" s="14">
        <f>BY49*VLOOKUP('Données projet'!$B$12,Paramètres!$A$1:$I$89,3,0)*VLOOKUP('Données projet'!$B$12,Paramètres!$A$1:$I$89,5,0)</f>
        <v>105.67447800000009</v>
      </c>
      <c r="CA49" s="14">
        <f t="shared" si="39"/>
        <v>28.30949062545972</v>
      </c>
      <c r="CB49" s="22">
        <f t="shared" si="10"/>
        <v>233.35541202267584</v>
      </c>
      <c r="CC49" s="62">
        <f t="shared" si="11"/>
        <v>526.68874535600912</v>
      </c>
      <c r="CD49" s="62">
        <f ca="1">AVERAGE(OFFSET($CC$3,0,0,'Données projet'!$E$12+1,1))-AVERAGE(OFFSET($H$3,0,0,'Données projet'!$E$12+1,1))</f>
        <v>222.86701323374945</v>
      </c>
      <c r="CE49" s="62">
        <f t="shared" si="40"/>
        <v>149.63671045240511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3.1378116262491793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3.1378116262491793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6.6</v>
      </c>
      <c r="CT49" s="13">
        <f>IF('Données projet'!$A$140&gt;35,CT48+CS49-DB48,IF(A49&lt;'Données projet'!$A$140,$CQ$205^A49,IF(A49='Données projet'!$A$140,'Données projet'!$B$140,CT48+CS49-DB48)))</f>
        <v>188.60000000000008</v>
      </c>
      <c r="CU49" s="18">
        <f>CT49*VLOOKUP('Données projet'!$B$13,Paramètres!$A$1:$I$89,3,0)*VLOOKUP('Données projet'!$B$13,Paramètres!$A$1:$I$89,5,0)</f>
        <v>123.57072000000005</v>
      </c>
      <c r="CV49" s="14">
        <f t="shared" si="41"/>
        <v>32.506384557027701</v>
      </c>
      <c r="CW49" s="22">
        <f t="shared" si="13"/>
        <v>271.83429043682332</v>
      </c>
      <c r="CX49" s="62">
        <f t="shared" si="14"/>
        <v>565.16762377015664</v>
      </c>
      <c r="CY49" s="62">
        <f ca="1">AVERAGE(OFFSET($CX$3,0,0,'Données projet'!$E$13+1,1))-AVERAGE(OFFSET($H$3,0,0,'Données projet'!$E$13+1,1))</f>
        <v>173.15672762188746</v>
      </c>
      <c r="CZ49" s="62">
        <f t="shared" si="42"/>
        <v>208.54841796921414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6.6602705974218033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6.6602705974218033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15.725555555555552</v>
      </c>
      <c r="EJ49" s="13">
        <f>IF('Données projet'!$A$192&gt;35,EJ48+EI49-ER48,IF(A49&lt;'Données projet'!$A$192,$EG$205^A49,IF(A49='Données projet'!$A$192,'Données projet'!$B$192,EJ48+EI49-ER48)))</f>
        <v>307.03777777777793</v>
      </c>
      <c r="EK49" s="18">
        <f>EJ49*VLOOKUP('Données projet'!$B$15,Paramètres!$A$1:$I$89,3,0)*VLOOKUP('Données projet'!$B$15,Paramètres!$A$1:$I$89,5,0)</f>
        <v>183.60859111111122</v>
      </c>
      <c r="EL49" s="14">
        <f t="shared" si="45"/>
        <v>46.124101377958297</v>
      </c>
      <c r="EM49" s="22">
        <f t="shared" si="19"/>
        <v>400.11777275179605</v>
      </c>
      <c r="EN49" s="62">
        <f t="shared" si="20"/>
        <v>693.45110608512937</v>
      </c>
      <c r="EO49" s="62">
        <f ca="1">AVERAGE(OFFSET($EN$3,0,0,'Données projet'!$E$15+1,1))-AVERAGE(OFFSET($H$3,0,0,'Données projet'!$E$15+1,1))</f>
        <v>269.18638759204373</v>
      </c>
      <c r="EP49" s="62">
        <f t="shared" si="46"/>
        <v>197.07126167823969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28.146417500875195</v>
      </c>
      <c r="EW49" s="23">
        <f>EXP(-LN(2)/25)*EW48+(1-EXP(-LN(2)/25))/(LN(2)/25)*Calculateur!ER49*Calculateur!ET49*VLOOKUP('Données projet'!$B$15,Paramètres!$A$1:$I$89,3,0)*0.475*44/12</f>
        <v>14.849452580988517</v>
      </c>
      <c r="EX49" s="23">
        <f>EXP(-LN(2)/2)*EX48+(1-EXP(-LN(2)/2))/(LN(2)/2)*ER49*EU49*VLOOKUP('Données projet'!$B$15,Paramètres!$A$1:$I$89,3,0)*0.475*44/12</f>
        <v>1.6488447735835987</v>
      </c>
      <c r="EY49" s="24">
        <f t="shared" si="21"/>
        <v>44.644714855447312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19.525000000000006</v>
      </c>
      <c r="FE49" s="13">
        <f>IF('Données projet'!$A$218&gt;35,FE48+FD49-FM48,IF(A49&lt;'Données projet'!$A$218,$FB$205^A49,IF(A49='Données projet'!$A$218,'Données projet'!$B$218,FE48+FD49-FM48)))</f>
        <v>499.05000000000018</v>
      </c>
      <c r="FF49" s="18">
        <f>FE49*VLOOKUP('Données projet'!$B$16,Paramètres!$A$1:$I$89,3,0)*VLOOKUP('Données projet'!$B$16,Paramètres!$A$1:$I$89,5,0)</f>
        <v>298.43190000000016</v>
      </c>
      <c r="FG49" s="14">
        <f t="shared" si="47"/>
        <v>70.847629284612296</v>
      </c>
      <c r="FH49" s="22">
        <f t="shared" si="22"/>
        <v>643.16184683736662</v>
      </c>
      <c r="FI49" s="62">
        <f t="shared" si="23"/>
        <v>936.4951801707</v>
      </c>
      <c r="FJ49" s="62">
        <f ca="1">AVERAGE(OFFSET($FI$3,0,0,'Données projet'!$E$16+1,1))-AVERAGE(OFFSET($H$3,0,0,'Données projet'!$E$16+1,1))</f>
        <v>330.48891719033065</v>
      </c>
      <c r="FK49" s="62">
        <f t="shared" si="48"/>
        <v>419.35494198427284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53.037643074460902</v>
      </c>
      <c r="FR49" s="23">
        <f>EXP(-LN(2)/25)*FR48+(1-EXP(-LN(2)/25))/(LN(2)/25)*Calculateur!FM49*Calculateur!FO49*VLOOKUP('Données projet'!$B$16,Paramètres!$A$1:$I$89,3,0)*0.475*44/12</f>
        <v>19.537535448908702</v>
      </c>
      <c r="FS49" s="23">
        <f>EXP(-LN(2)/2)*FS48+(1-EXP(-LN(2)/2))/(LN(2)/2)*FM49*FP49*VLOOKUP('Données projet'!$B$16,Paramètres!$A$1:$I$89,3,0)*0.475*44/12</f>
        <v>1.3668204506439174</v>
      </c>
      <c r="FT49" s="24">
        <f t="shared" si="24"/>
        <v>73.941998974013515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>
        <f>FZ49*VLOOKUP('Données projet'!$B$17,Paramètres!$A$1:$I$89,3,0)*VLOOKUP('Données projet'!$B$17,Paramètres!$A$1:$I$89,5,0)</f>
        <v>0</v>
      </c>
      <c r="GB49" s="14" t="e">
        <f t="shared" si="49"/>
        <v>#NUM!</v>
      </c>
      <c r="GC49" s="22" t="e">
        <f t="shared" si="25"/>
        <v>#NUM!</v>
      </c>
      <c r="GD49" s="62" t="e">
        <f t="shared" si="26"/>
        <v>#NUM!</v>
      </c>
      <c r="GE49" s="62">
        <f ca="1">AVERAGE(OFFSET($GD$3,0,0,'Données projet'!$E$17+1,1))-AVERAGE(OFFSET($H$3,0,0,'Données projet'!$E$17+1,1))</f>
        <v>132.18258156780018</v>
      </c>
      <c r="GF49" s="62">
        <f t="shared" si="50"/>
        <v>315.58133946947294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31.595760208249096</v>
      </c>
      <c r="GM49" s="23">
        <f>EXP(-LN(2)/25)*GM48+(1-EXP(-LN(2)/25))/(LN(2)/25)*Calculateur!GH49*Calculateur!GJ49*VLOOKUP('Données projet'!$B$17,Paramètres!$A$1:$I$89,3,0)*0.475*44/12</f>
        <v>11.906652776155946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43.502412984405041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9">
        <f t="shared" si="1"/>
        <v>351.17804102468818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9.3712500000000034</v>
      </c>
      <c r="N50" s="14">
        <f>IF('Données projet'!$A$36&gt;35,N49+M50-V49,IF(A50&lt;'Données projet'!$A$36,$K$205^A50,IF(A50='Données projet'!$A$36,'Données projet'!$B$36,N49+M50-V49)))</f>
        <v>166.90625000000011</v>
      </c>
      <c r="O50" s="14">
        <f>N50*VLOOKUP('Données projet'!$B$9,Paramètres!$A$1:$I$89,3,0)*VLOOKUP('Données projet'!$B$9,Paramètres!$A$1:$I$89,5,0)</f>
        <v>151.01677500000011</v>
      </c>
      <c r="P50" s="14">
        <f t="shared" si="33"/>
        <v>38.809560459830927</v>
      </c>
      <c r="Q50" s="22">
        <f t="shared" si="53"/>
        <v>330.61420092587235</v>
      </c>
      <c r="R50" s="62">
        <f t="shared" si="0"/>
        <v>623.94753425920567</v>
      </c>
      <c r="S50" s="62">
        <f ca="1">AVERAGE(OFFSET($R$3,0,0,'Données projet'!$E$9+1,1))-AVERAGE(OFFSET($H$3,0,0,'Données projet'!$E$9+1,1))</f>
        <v>401.86262166363821</v>
      </c>
      <c r="T50" s="62">
        <f t="shared" si="34"/>
        <v>208.60314230781432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3.3664962479208218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3.3664962479208218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9.3712500000000034</v>
      </c>
      <c r="AI50" s="14">
        <f>IF('Données projet'!$A$62&gt;35,AI49+AH50-AQ49,IF(A50&lt;'Données projet'!$A$62,$AF$205^A50,IF(A50='Données projet'!$A$62,'Données projet'!$B$62,AI49+AH50-AQ49)))</f>
        <v>166.90625000000011</v>
      </c>
      <c r="AJ50" s="14">
        <f>AI50*VLOOKUP('Données projet'!$B$10,Paramètres!$A$1:$I$89,3,0)*VLOOKUP('Données projet'!$B$10,Paramètres!$A$1:$I$89,5,0)</f>
        <v>179.65788750000013</v>
      </c>
      <c r="AK50" s="14">
        <f t="shared" si="35"/>
        <v>45.246064012977243</v>
      </c>
      <c r="AL50" s="22">
        <f t="shared" si="4"/>
        <v>391.70771555176884</v>
      </c>
      <c r="AM50" s="62">
        <f t="shared" si="5"/>
        <v>685.0410488851021</v>
      </c>
      <c r="AN50" s="62">
        <f ca="1">AVERAGE(OFFSET($AM$3,0,0,'Données projet'!$E$10+1,1))-AVERAGE(OFFSET($H$3,0,0,'Données projet'!$E$10+1,1))</f>
        <v>407.22515465568205</v>
      </c>
      <c r="AO50" s="62">
        <f t="shared" si="36"/>
        <v>251.6218558398258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4.004969674250634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4.004969674250634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9.3712500000000034</v>
      </c>
      <c r="BD50" s="13">
        <f>IF('Données projet'!$A$88&gt;35,BD49+BC50-BL49,IF(A50&lt;'Données projet'!$A$88,$BA$205^A50,IF(A50='Données projet'!$A$88,'Données projet'!$B$88,BD49+BC50-BL49)))</f>
        <v>166.90625000000011</v>
      </c>
      <c r="BE50" s="14">
        <f>BD50*VLOOKUP('Données projet'!$B$11,Paramètres!$A$1:$I$89,3,0)*VLOOKUP('Données projet'!$B$11,Paramètres!$A$1:$I$89,5,0)</f>
        <v>161.43172500000011</v>
      </c>
      <c r="BF50" s="14">
        <f t="shared" si="37"/>
        <v>41.165277355776809</v>
      </c>
      <c r="BG50" s="22">
        <f t="shared" si="7"/>
        <v>352.85644576964478</v>
      </c>
      <c r="BH50" s="62">
        <f t="shared" si="8"/>
        <v>646.18977910297804</v>
      </c>
      <c r="BI50" s="62">
        <f ca="1">AVERAGE(OFFSET($BH$3,0,0,'Données projet'!$E$11+1,1))-AVERAGE(OFFSET($H$3,0,0,'Données projet'!$E$11+1,1))</f>
        <v>357.76044008074308</v>
      </c>
      <c r="BJ50" s="62">
        <f t="shared" si="38"/>
        <v>224.26555772810445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3.598668402949845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3.598668402949845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9.3712500000000034</v>
      </c>
      <c r="BY50" s="13">
        <f>IF('Données projet'!$A$114&gt;35,BY49+BX50-CG49,IF(A50&lt;'Données projet'!$A$114,$BV$205^A50,IF(A50='Données projet'!$A$114,'Données projet'!$B$114,BY49+BX50-CG49)))</f>
        <v>166.90625000000011</v>
      </c>
      <c r="BZ50" s="14">
        <f>BY50*VLOOKUP('Données projet'!$B$12,Paramètres!$A$1:$I$89,3,0)*VLOOKUP('Données projet'!$B$12,Paramètres!$A$1:$I$89,5,0)</f>
        <v>111.96071250000007</v>
      </c>
      <c r="CA50" s="14">
        <f t="shared" si="39"/>
        <v>29.792467645539148</v>
      </c>
      <c r="CB50" s="22">
        <f t="shared" si="10"/>
        <v>246.8867887534808</v>
      </c>
      <c r="CC50" s="62">
        <f t="shared" si="11"/>
        <v>540.22012208681417</v>
      </c>
      <c r="CD50" s="62">
        <f ca="1">AVERAGE(OFFSET($CC$3,0,0,'Données projet'!$E$12+1,1))-AVERAGE(OFFSET($H$3,0,0,'Données projet'!$E$12+1,1))</f>
        <v>222.86701323374945</v>
      </c>
      <c r="CE50" s="62">
        <f t="shared" si="40"/>
        <v>149.63671045240511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3.0762810541345456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3.0762810541345456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6.6</v>
      </c>
      <c r="CT50" s="13">
        <f>IF('Données projet'!$A$140&gt;35,CT49+CS50-DB49,IF(A50&lt;'Données projet'!$A$140,$CQ$205^A50,IF(A50='Données projet'!$A$140,'Données projet'!$B$140,CT49+CS50-DB49)))</f>
        <v>195.20000000000007</v>
      </c>
      <c r="CU50" s="18">
        <f>CT50*VLOOKUP('Données projet'!$B$13,Paramètres!$A$1:$I$89,3,0)*VLOOKUP('Données projet'!$B$13,Paramètres!$A$1:$I$89,5,0)</f>
        <v>127.89504000000004</v>
      </c>
      <c r="CV50" s="14">
        <f t="shared" si="41"/>
        <v>33.509503727991913</v>
      </c>
      <c r="CW50" s="22">
        <f t="shared" si="13"/>
        <v>281.11291365958601</v>
      </c>
      <c r="CX50" s="62">
        <f t="shared" si="14"/>
        <v>574.44624699291933</v>
      </c>
      <c r="CY50" s="62">
        <f ca="1">AVERAGE(OFFSET($CX$3,0,0,'Données projet'!$E$13+1,1))-AVERAGE(OFFSET($H$3,0,0,'Données projet'!$E$13+1,1))</f>
        <v>173.15672762188746</v>
      </c>
      <c r="CZ50" s="62">
        <f t="shared" si="42"/>
        <v>208.54841796921414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6.529666753370301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6.529666753370301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15.725555555555552</v>
      </c>
      <c r="EJ50" s="13">
        <f>IF('Données projet'!$A$192&gt;35,EJ49+EI50-ER49,IF(A50&lt;'Données projet'!$A$192,$EG$205^A50,IF(A50='Données projet'!$A$192,'Données projet'!$B$192,EJ49+EI50-ER49)))</f>
        <v>322.76333333333349</v>
      </c>
      <c r="EK50" s="18">
        <f>EJ50*VLOOKUP('Données projet'!$B$15,Paramètres!$A$1:$I$89,3,0)*VLOOKUP('Données projet'!$B$15,Paramètres!$A$1:$I$89,5,0)</f>
        <v>193.01247333333347</v>
      </c>
      <c r="EL50" s="14">
        <f t="shared" si="45"/>
        <v>48.205356952003704</v>
      </c>
      <c r="EM50" s="22">
        <f t="shared" si="19"/>
        <v>420.12105441362888</v>
      </c>
      <c r="EN50" s="62">
        <f t="shared" si="20"/>
        <v>713.4543877469622</v>
      </c>
      <c r="EO50" s="62">
        <f ca="1">AVERAGE(OFFSET($EN$3,0,0,'Données projet'!$E$15+1,1))-AVERAGE(OFFSET($H$3,0,0,'Données projet'!$E$15+1,1))</f>
        <v>269.18638759204373</v>
      </c>
      <c r="EP50" s="62">
        <f t="shared" si="46"/>
        <v>197.07126167823969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27.594483421302545</v>
      </c>
      <c r="EW50" s="23">
        <f>EXP(-LN(2)/25)*EW49+(1-EXP(-LN(2)/25))/(LN(2)/25)*Calculateur!ER50*Calculateur!ET50*VLOOKUP('Données projet'!$B$15,Paramètres!$A$1:$I$89,3,0)*0.475*44/12</f>
        <v>14.443393519262614</v>
      </c>
      <c r="EX50" s="23">
        <f>EXP(-LN(2)/2)*EX49+(1-EXP(-LN(2)/2))/(LN(2)/2)*ER50*EU50*VLOOKUP('Données projet'!$B$15,Paramètres!$A$1:$I$89,3,0)*0.475*44/12</f>
        <v>1.1659093205249602</v>
      </c>
      <c r="EY50" s="24">
        <f t="shared" si="21"/>
        <v>43.203786261090116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19.525000000000006</v>
      </c>
      <c r="FE50" s="13">
        <f>IF('Données projet'!$A$218&gt;35,FE49+FD50-FM49,IF(A50&lt;'Données projet'!$A$218,$FB$205^A50,IF(A50='Données projet'!$A$218,'Données projet'!$B$218,FE49+FD50-FM49)))</f>
        <v>518.57500000000016</v>
      </c>
      <c r="FF50" s="18">
        <f>FE50*VLOOKUP('Données projet'!$B$16,Paramètres!$A$1:$I$89,3,0)*VLOOKUP('Données projet'!$B$16,Paramètres!$A$1:$I$89,5,0)</f>
        <v>310.1078500000001</v>
      </c>
      <c r="FG50" s="14">
        <f t="shared" si="47"/>
        <v>73.291353088335526</v>
      </c>
      <c r="FH50" s="22">
        <f t="shared" si="22"/>
        <v>667.75361204551791</v>
      </c>
      <c r="FI50" s="62">
        <f t="shared" si="23"/>
        <v>961.08694537885117</v>
      </c>
      <c r="FJ50" s="62">
        <f ca="1">AVERAGE(OFFSET($FI$3,0,0,'Données projet'!$E$16+1,1))-AVERAGE(OFFSET($H$3,0,0,'Données projet'!$E$16+1,1))</f>
        <v>330.48891719033065</v>
      </c>
      <c r="FK50" s="62">
        <f t="shared" si="48"/>
        <v>419.35494198427284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51.997607243538724</v>
      </c>
      <c r="FR50" s="23">
        <f>EXP(-LN(2)/25)*FR49+(1-EXP(-LN(2)/25))/(LN(2)/25)*Calculateur!FM50*Calculateur!FO50*VLOOKUP('Données projet'!$B$16,Paramètres!$A$1:$I$89,3,0)*0.475*44/12</f>
        <v>19.00328051462396</v>
      </c>
      <c r="FS50" s="23">
        <f>EXP(-LN(2)/2)*FS49+(1-EXP(-LN(2)/2))/(LN(2)/2)*FM50*FP50*VLOOKUP('Données projet'!$B$16,Paramètres!$A$1:$I$89,3,0)*0.475*44/12</f>
        <v>0.96648800931476686</v>
      </c>
      <c r="FT50" s="24">
        <f t="shared" si="24"/>
        <v>71.967375767477463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>
        <f>FZ50*VLOOKUP('Données projet'!$B$17,Paramètres!$A$1:$I$89,3,0)*VLOOKUP('Données projet'!$B$17,Paramètres!$A$1:$I$89,5,0)</f>
        <v>0</v>
      </c>
      <c r="GB50" s="14" t="e">
        <f t="shared" si="49"/>
        <v>#NUM!</v>
      </c>
      <c r="GC50" s="22" t="e">
        <f t="shared" si="25"/>
        <v>#NUM!</v>
      </c>
      <c r="GD50" s="62" t="e">
        <f t="shared" si="26"/>
        <v>#NUM!</v>
      </c>
      <c r="GE50" s="62">
        <f ca="1">AVERAGE(OFFSET($GD$3,0,0,'Données projet'!$E$17+1,1))-AVERAGE(OFFSET($H$3,0,0,'Données projet'!$E$17+1,1))</f>
        <v>132.18258156780018</v>
      </c>
      <c r="GF50" s="62">
        <f t="shared" si="50"/>
        <v>315.58133946947294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30.976186622076156</v>
      </c>
      <c r="GM50" s="23">
        <f>EXP(-LN(2)/25)*GM49+(1-EXP(-LN(2)/25))/(LN(2)/25)*Calculateur!GH50*Calculateur!GJ50*VLOOKUP('Données projet'!$B$17,Paramètres!$A$1:$I$89,3,0)*0.475*44/12</f>
        <v>11.581064729848306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42.557251351924464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9">
        <f t="shared" si="1"/>
        <v>353.13462062806445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9.3712500000000034</v>
      </c>
      <c r="N51" s="14">
        <f>IF('Données projet'!$A$36&gt;35,N50+M51-V50,IF(A51&lt;'Données projet'!$A$36,$K$205^A51,IF(A51='Données projet'!$A$36,'Données projet'!$B$36,N50+M51-V50)))</f>
        <v>176.27750000000012</v>
      </c>
      <c r="O51" s="14">
        <f>N51*VLOOKUP('Données projet'!$B$9,Paramètres!$A$1:$I$89,3,0)*VLOOKUP('Données projet'!$B$9,Paramètres!$A$1:$I$89,5,0)</f>
        <v>159.49588200000008</v>
      </c>
      <c r="P51" s="14">
        <f t="shared" si="33"/>
        <v>40.728789309687656</v>
      </c>
      <c r="Q51" s="22">
        <f t="shared" si="53"/>
        <v>348.72463586437283</v>
      </c>
      <c r="R51" s="62">
        <f t="shared" si="0"/>
        <v>642.05796919770614</v>
      </c>
      <c r="S51" s="62">
        <f ca="1">AVERAGE(OFFSET($R$3,0,0,'Données projet'!$E$9+1,1))-AVERAGE(OFFSET($H$3,0,0,'Données projet'!$E$9+1,1))</f>
        <v>401.86262166363821</v>
      </c>
      <c r="T51" s="62">
        <f t="shared" si="34"/>
        <v>208.60314230781432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3.3004813098590531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3.3004813098590531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9.3712500000000034</v>
      </c>
      <c r="AI51" s="14">
        <f>IF('Données projet'!$A$62&gt;35,AI50+AH51-AQ50,IF(A51&lt;'Données projet'!$A$62,$AF$205^A51,IF(A51='Données projet'!$A$62,'Données projet'!$B$62,AI50+AH51-AQ50)))</f>
        <v>176.27750000000012</v>
      </c>
      <c r="AJ51" s="14">
        <f>AI51*VLOOKUP('Données projet'!$B$10,Paramètres!$A$1:$I$89,3,0)*VLOOKUP('Données projet'!$B$10,Paramètres!$A$1:$I$89,5,0)</f>
        <v>189.74510100000012</v>
      </c>
      <c r="AK51" s="14">
        <f t="shared" si="35"/>
        <v>47.483593899100271</v>
      </c>
      <c r="AL51" s="22">
        <f t="shared" si="4"/>
        <v>413.17331028259986</v>
      </c>
      <c r="AM51" s="62">
        <f t="shared" si="5"/>
        <v>706.50664361593317</v>
      </c>
      <c r="AN51" s="62">
        <f ca="1">AVERAGE(OFFSET($AM$3,0,0,'Données projet'!$E$10+1,1))-AVERAGE(OFFSET($H$3,0,0,'Données projet'!$E$10+1,1))</f>
        <v>407.22515465568205</v>
      </c>
      <c r="AO51" s="62">
        <f t="shared" si="36"/>
        <v>251.6218558398258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3.9264346617288748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3.9264346617288748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9.3712500000000034</v>
      </c>
      <c r="BD51" s="13">
        <f>IF('Données projet'!$A$88&gt;35,BD50+BC51-BL50,IF(A51&lt;'Données projet'!$A$88,$BA$205^A51,IF(A51='Données projet'!$A$88,'Données projet'!$B$88,BD50+BC51-BL50)))</f>
        <v>176.27750000000012</v>
      </c>
      <c r="BE51" s="14">
        <f>BD51*VLOOKUP('Données projet'!$B$11,Paramètres!$A$1:$I$89,3,0)*VLOOKUP('Données projet'!$B$11,Paramètres!$A$1:$I$89,5,0)</f>
        <v>170.49559800000011</v>
      </c>
      <c r="BF51" s="14">
        <f t="shared" si="37"/>
        <v>43.201002238446733</v>
      </c>
      <c r="BG51" s="22">
        <f t="shared" si="7"/>
        <v>372.18824541529494</v>
      </c>
      <c r="BH51" s="62">
        <f t="shared" si="8"/>
        <v>665.52157874862826</v>
      </c>
      <c r="BI51" s="62">
        <f ca="1">AVERAGE(OFFSET($BH$3,0,0,'Données projet'!$E$11+1,1))-AVERAGE(OFFSET($H$3,0,0,'Données projet'!$E$11+1,1))</f>
        <v>357.76044008074308</v>
      </c>
      <c r="BJ51" s="62">
        <f t="shared" si="38"/>
        <v>224.26555772810445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3.5281007105389888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3.5281007105389888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9.3712500000000034</v>
      </c>
      <c r="BY51" s="13">
        <f>IF('Données projet'!$A$114&gt;35,BY50+BX51-CG50,IF(A51&lt;'Données projet'!$A$114,$BV$205^A51,IF(A51='Données projet'!$A$114,'Données projet'!$B$114,BY50+BX51-CG50)))</f>
        <v>176.27750000000012</v>
      </c>
      <c r="BZ51" s="14">
        <f>BY51*VLOOKUP('Données projet'!$B$12,Paramètres!$A$1:$I$89,3,0)*VLOOKUP('Données projet'!$B$12,Paramètres!$A$1:$I$89,5,0)</f>
        <v>118.24694700000009</v>
      </c>
      <c r="CA51" s="14">
        <f t="shared" si="39"/>
        <v>31.265778931115893</v>
      </c>
      <c r="CB51" s="22">
        <f t="shared" si="10"/>
        <v>260.40133099669362</v>
      </c>
      <c r="CC51" s="62">
        <f t="shared" si="11"/>
        <v>553.73466433002693</v>
      </c>
      <c r="CD51" s="62">
        <f ca="1">AVERAGE(OFFSET($CC$3,0,0,'Données projet'!$E$12+1,1))-AVERAGE(OFFSET($H$3,0,0,'Données projet'!$E$12+1,1))</f>
        <v>222.86701323374945</v>
      </c>
      <c r="CE51" s="62">
        <f t="shared" si="40"/>
        <v>149.63671045240511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3.0159570590091365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3.0159570590091365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6.6</v>
      </c>
      <c r="CT51" s="13">
        <f>IF('Données projet'!$A$140&gt;35,CT50+CS51-DB50,IF(A51&lt;'Données projet'!$A$140,$CQ$205^A51,IF(A51='Données projet'!$A$140,'Données projet'!$B$140,CT50+CS51-DB50)))</f>
        <v>201.80000000000007</v>
      </c>
      <c r="CU51" s="18">
        <f>CT51*VLOOKUP('Données projet'!$B$13,Paramètres!$A$1:$I$89,3,0)*VLOOKUP('Données projet'!$B$13,Paramètres!$A$1:$I$89,5,0)</f>
        <v>132.21936000000005</v>
      </c>
      <c r="CV51" s="14">
        <f t="shared" si="41"/>
        <v>34.508681932648301</v>
      </c>
      <c r="CW51" s="22">
        <f t="shared" si="13"/>
        <v>290.3846730326959</v>
      </c>
      <c r="CX51" s="62">
        <f t="shared" si="14"/>
        <v>583.71800636602916</v>
      </c>
      <c r="CY51" s="62">
        <f ca="1">AVERAGE(OFFSET($CX$3,0,0,'Données projet'!$E$13+1,1))-AVERAGE(OFFSET($H$3,0,0,'Données projet'!$E$13+1,1))</f>
        <v>173.15672762188746</v>
      </c>
      <c r="CZ51" s="62">
        <f t="shared" si="42"/>
        <v>208.54841796921414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6.4016239710401699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6.4016239710401699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15.725555555555552</v>
      </c>
      <c r="EJ51" s="13">
        <f>IF('Données projet'!$A$192&gt;35,EJ50+EI51-ER50,IF(A51&lt;'Données projet'!$A$192,$EG$205^A51,IF(A51='Données projet'!$A$192,'Données projet'!$B$192,EJ50+EI51-ER50)))</f>
        <v>338.48888888888905</v>
      </c>
      <c r="EK51" s="18">
        <f>EJ51*VLOOKUP('Données projet'!$B$15,Paramètres!$A$1:$I$89,3,0)*VLOOKUP('Données projet'!$B$15,Paramètres!$A$1:$I$89,5,0)</f>
        <v>202.41635555555567</v>
      </c>
      <c r="EL51" s="14">
        <f t="shared" si="45"/>
        <v>50.274837801805468</v>
      </c>
      <c r="EM51" s="22">
        <f t="shared" si="19"/>
        <v>440.10382843073722</v>
      </c>
      <c r="EN51" s="62">
        <f t="shared" si="20"/>
        <v>733.43716176407054</v>
      </c>
      <c r="EO51" s="62">
        <f ca="1">AVERAGE(OFFSET($EN$3,0,0,'Données projet'!$E$15+1,1))-AVERAGE(OFFSET($H$3,0,0,'Données projet'!$E$15+1,1))</f>
        <v>269.18638759204373</v>
      </c>
      <c r="EP51" s="62">
        <f t="shared" si="46"/>
        <v>197.07126167823969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27.053372432383767</v>
      </c>
      <c r="EW51" s="23">
        <f>EXP(-LN(2)/25)*EW50+(1-EXP(-LN(2)/25))/(LN(2)/25)*Calculateur!ER51*Calculateur!ET51*VLOOKUP('Données projet'!$B$15,Paramètres!$A$1:$I$89,3,0)*0.475*44/12</f>
        <v>14.048438163933323</v>
      </c>
      <c r="EX51" s="23">
        <f>EXP(-LN(2)/2)*EX50+(1-EXP(-LN(2)/2))/(LN(2)/2)*ER51*EU51*VLOOKUP('Données projet'!$B$15,Paramètres!$A$1:$I$89,3,0)*0.475*44/12</f>
        <v>0.82442238679179936</v>
      </c>
      <c r="EY51" s="24">
        <f t="shared" si="21"/>
        <v>41.926232983108896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>
        <f>VLOOKUP(A51,'Données projet'!$A$217:$I$237,2,0)</f>
        <v>538.1</v>
      </c>
      <c r="FC51" s="13">
        <f>VLOOKUP(A51,'Données projet'!$A$217:$I$237,9,0)</f>
        <v>19.525000000000006</v>
      </c>
      <c r="FD51" s="13">
        <f t="array" ref="FD51">INDEX(FC:FC,MIN(IF(ISNUMBER(FC51:FC247),ROW(FC51:FC247),"")))</f>
        <v>19.525000000000006</v>
      </c>
      <c r="FE51" s="13">
        <f>IF('Données projet'!$A$218&gt;35,FE50+FD51-FM50,IF(A51&lt;'Données projet'!$A$218,$FB$205^A51,IF(A51='Données projet'!$A$218,'Données projet'!$B$218,FE50+FD51-FM50)))</f>
        <v>538.10000000000014</v>
      </c>
      <c r="FF51" s="18">
        <f>FE51*VLOOKUP('Données projet'!$B$16,Paramètres!$A$1:$I$89,3,0)*VLOOKUP('Données projet'!$B$16,Paramètres!$A$1:$I$89,5,0)</f>
        <v>321.7838000000001</v>
      </c>
      <c r="FG51" s="14">
        <f t="shared" si="47"/>
        <v>75.724387779796416</v>
      </c>
      <c r="FH51" s="22">
        <f t="shared" si="22"/>
        <v>692.32676038314548</v>
      </c>
      <c r="FI51" s="62">
        <f t="shared" si="23"/>
        <v>985.66009371647874</v>
      </c>
      <c r="FJ51" s="62">
        <f ca="1">AVERAGE(OFFSET($FI$3,0,0,'Données projet'!$E$16+1,1))-AVERAGE(OFFSET($H$3,0,0,'Données projet'!$E$16+1,1))</f>
        <v>330.48891719033065</v>
      </c>
      <c r="FK51" s="62">
        <f t="shared" si="48"/>
        <v>419.35494198427284</v>
      </c>
      <c r="FL51" s="16">
        <f>IF(ISNA(VLOOKUP(A51,'Données projet'!$A$217:$I$237,3,0)),0,VLOOKUP(A51,'Données projet'!$A$217:$I$237,3,0))</f>
        <v>6</v>
      </c>
      <c r="FM51" s="16">
        <f>IF(ISNA(VLOOKUP(A51,'Données projet'!$A$217:$I$237,4,0)),0,VLOOKUP(A51,'Données projet'!$A$217:$I$237,4,0))</f>
        <v>106.15</v>
      </c>
      <c r="FN51" s="17">
        <f>IF(ISNA(VLOOKUP(A51,'Données projet'!$A$217:$I$237,5,0)),0%,VLOOKUP(A51,'Données projet'!$A$217:$I$237,5,0)*VLOOKUP('Données projet'!$B$16,Paramètres!$A$1:$I$89,7,0))</f>
        <v>0.36000000000000004</v>
      </c>
      <c r="FO51" s="17">
        <f>IF(ISNA(VLOOKUP(A51,'Données projet'!$A$217:$I$237,6,0)),0%,VLOOKUP(A51,'Données projet'!$A$217:$I$237,6,0)*VLOOKUP('Données projet'!$B$16,Paramètres!$A$1:$I$89,7,0))</f>
        <v>4.9500000000000002E-2</v>
      </c>
      <c r="FP51" s="17">
        <f>IF(ISNA(VLOOKUP(A51,'Données projet'!$A$217:$I$237,7,0)),0%,VLOOKUP(A51,'Données projet'!$A$217:$I$237,7,0))</f>
        <v>0.09</v>
      </c>
      <c r="FQ51" s="23">
        <f>EXP(-LN(2)/35)*FQ50+(1-EXP(-LN(2)/35))/(LN(2)/35)*FM51*FN51*VLOOKUP('Données projet'!$B$16,Paramètres!$A$1:$I$89,3,0)*0.475*44/12</f>
        <v>81.292579672801338</v>
      </c>
      <c r="FR51" s="23">
        <f>EXP(-LN(2)/25)*FR50+(1-EXP(-LN(2)/25))/(LN(2)/25)*Calculateur!FM51*Calculateur!FO51*VLOOKUP('Données projet'!$B$16,Paramètres!$A$1:$I$89,3,0)*0.475*44/12</f>
        <v>22.635482180523759</v>
      </c>
      <c r="FS51" s="23">
        <f>EXP(-LN(2)/2)*FS50+(1-EXP(-LN(2)/2))/(LN(2)/2)*FM51*FP51*VLOOKUP('Données projet'!$B$16,Paramètres!$A$1:$I$89,3,0)*0.475*44/12</f>
        <v>7.1518454154645763</v>
      </c>
      <c r="FT51" s="24">
        <f t="shared" si="24"/>
        <v>111.07990726878967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>
        <f>FZ51*VLOOKUP('Données projet'!$B$17,Paramètres!$A$1:$I$89,3,0)*VLOOKUP('Données projet'!$B$17,Paramètres!$A$1:$I$89,5,0)</f>
        <v>0</v>
      </c>
      <c r="GB51" s="14" t="e">
        <f t="shared" si="49"/>
        <v>#NUM!</v>
      </c>
      <c r="GC51" s="22" t="e">
        <f t="shared" si="25"/>
        <v>#NUM!</v>
      </c>
      <c r="GD51" s="62" t="e">
        <f t="shared" si="26"/>
        <v>#NUM!</v>
      </c>
      <c r="GE51" s="62">
        <f ca="1">AVERAGE(OFFSET($GD$3,0,0,'Données projet'!$E$17+1,1))-AVERAGE(OFFSET($H$3,0,0,'Données projet'!$E$17+1,1))</f>
        <v>132.18258156780018</v>
      </c>
      <c r="GF51" s="62">
        <f t="shared" si="50"/>
        <v>315.58133946947294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30.368762496025493</v>
      </c>
      <c r="GM51" s="23">
        <f>EXP(-LN(2)/25)*GM50+(1-EXP(-LN(2)/25))/(LN(2)/25)*Calculateur!GH51*Calculateur!GJ51*VLOOKUP('Données projet'!$B$17,Paramètres!$A$1:$I$89,3,0)*0.475*44/12</f>
        <v>11.264379905788878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41.633142401814368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9">
        <f t="shared" si="1"/>
        <v>355.09021222196009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9.3712500000000034</v>
      </c>
      <c r="N52" s="14">
        <f>IF('Données projet'!$A$36&gt;35,N51+M52-V51,IF(A52&lt;'Données projet'!$A$36,$K$205^A52,IF(A52='Données projet'!$A$36,'Données projet'!$B$36,N51+M52-V51)))</f>
        <v>185.64875000000012</v>
      </c>
      <c r="O52" s="14">
        <f>N52*VLOOKUP('Données projet'!$B$9,Paramètres!$A$1:$I$89,3,0)*VLOOKUP('Données projet'!$B$9,Paramètres!$A$1:$I$89,5,0)</f>
        <v>167.97498900000011</v>
      </c>
      <c r="P52" s="14">
        <f t="shared" si="33"/>
        <v>42.636172660412917</v>
      </c>
      <c r="Q52" s="22">
        <f t="shared" si="53"/>
        <v>366.81443989188602</v>
      </c>
      <c r="R52" s="62">
        <f t="shared" si="0"/>
        <v>660.14777322521934</v>
      </c>
      <c r="S52" s="62">
        <f ca="1">AVERAGE(OFFSET($R$3,0,0,'Données projet'!$E$9+1,1))-AVERAGE(OFFSET($H$3,0,0,'Données projet'!$E$9+1,1))</f>
        <v>401.86262166363821</v>
      </c>
      <c r="T52" s="62">
        <f t="shared" si="34"/>
        <v>208.60314230781432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3.2357608844675396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3.2357608844675396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9.3712500000000034</v>
      </c>
      <c r="AI52" s="14">
        <f>IF('Données projet'!$A$62&gt;35,AI51+AH52-AQ51,IF(A52&lt;'Données projet'!$A$62,$AF$205^A52,IF(A52='Données projet'!$A$62,'Données projet'!$B$62,AI51+AH52-AQ51)))</f>
        <v>185.64875000000012</v>
      </c>
      <c r="AJ52" s="14">
        <f>AI52*VLOOKUP('Données projet'!$B$10,Paramètres!$A$1:$I$89,3,0)*VLOOKUP('Données projet'!$B$10,Paramètres!$A$1:$I$89,5,0)</f>
        <v>199.83231450000014</v>
      </c>
      <c r="AK52" s="14">
        <f t="shared" si="35"/>
        <v>49.707313728999587</v>
      </c>
      <c r="AL52" s="22">
        <f t="shared" si="4"/>
        <v>434.61485249884117</v>
      </c>
      <c r="AM52" s="62">
        <f t="shared" si="5"/>
        <v>727.94818583217443</v>
      </c>
      <c r="AN52" s="62">
        <f ca="1">AVERAGE(OFFSET($AM$3,0,0,'Données projet'!$E$10+1,1))-AVERAGE(OFFSET($H$3,0,0,'Données projet'!$E$10+1,1))</f>
        <v>407.22515465568205</v>
      </c>
      <c r="AO52" s="62">
        <f t="shared" si="36"/>
        <v>251.6218558398258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3.8494396729010396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3.8494396729010396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9.3712500000000034</v>
      </c>
      <c r="BD52" s="13">
        <f>IF('Données projet'!$A$88&gt;35,BD51+BC52-BL51,IF(A52&lt;'Données projet'!$A$88,$BA$205^A52,IF(A52='Données projet'!$A$88,'Données projet'!$B$88,BD51+BC52-BL51)))</f>
        <v>185.64875000000012</v>
      </c>
      <c r="BE52" s="14">
        <f>BD52*VLOOKUP('Données projet'!$B$11,Paramètres!$A$1:$I$89,3,0)*VLOOKUP('Données projet'!$B$11,Paramètres!$A$1:$I$89,5,0)</f>
        <v>179.55947100000012</v>
      </c>
      <c r="BF52" s="14">
        <f t="shared" si="37"/>
        <v>45.224162607337405</v>
      </c>
      <c r="BG52" s="22">
        <f t="shared" si="7"/>
        <v>391.49816186611287</v>
      </c>
      <c r="BH52" s="62">
        <f t="shared" si="8"/>
        <v>684.83149519944618</v>
      </c>
      <c r="BI52" s="62">
        <f ca="1">AVERAGE(OFFSET($BH$3,0,0,'Données projet'!$E$11+1,1))-AVERAGE(OFFSET($H$3,0,0,'Données projet'!$E$11+1,1))</f>
        <v>357.76044008074308</v>
      </c>
      <c r="BJ52" s="62">
        <f t="shared" si="38"/>
        <v>224.26555772810445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3.4589168075342673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3.4589168075342673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9.3712500000000034</v>
      </c>
      <c r="BY52" s="13">
        <f>IF('Données projet'!$A$114&gt;35,BY51+BX52-CG51,IF(A52&lt;'Données projet'!$A$114,$BV$205^A52,IF(A52='Données projet'!$A$114,'Données projet'!$B$114,BY51+BX52-CG51)))</f>
        <v>185.64875000000012</v>
      </c>
      <c r="BZ52" s="14">
        <f>BY52*VLOOKUP('Données projet'!$B$12,Paramètres!$A$1:$I$89,3,0)*VLOOKUP('Données projet'!$B$12,Paramètres!$A$1:$I$89,5,0)</f>
        <v>124.53318150000007</v>
      </c>
      <c r="CA52" s="14">
        <f t="shared" si="39"/>
        <v>32.729996925105766</v>
      </c>
      <c r="CB52" s="22">
        <f t="shared" si="10"/>
        <v>273.9000357570593</v>
      </c>
      <c r="CC52" s="62">
        <f t="shared" si="11"/>
        <v>567.23336909039267</v>
      </c>
      <c r="CD52" s="62">
        <f ca="1">AVERAGE(OFFSET($CC$3,0,0,'Données projet'!$E$12+1,1))-AVERAGE(OFFSET($H$3,0,0,'Données projet'!$E$12+1,1))</f>
        <v>222.86701323374945</v>
      </c>
      <c r="CE52" s="62">
        <f t="shared" si="40"/>
        <v>149.63671045240511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2.9568159806341328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2.9568159806341328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6.6</v>
      </c>
      <c r="CT52" s="13">
        <f>IF('Données projet'!$A$140&gt;35,CT51+CS52-DB51,IF(A52&lt;'Données projet'!$A$140,$CQ$205^A52,IF(A52='Données projet'!$A$140,'Données projet'!$B$140,CT51+CS52-DB51)))</f>
        <v>208.40000000000006</v>
      </c>
      <c r="CU52" s="18">
        <f>CT52*VLOOKUP('Données projet'!$B$13,Paramètres!$A$1:$I$89,3,0)*VLOOKUP('Données projet'!$B$13,Paramètres!$A$1:$I$89,5,0)</f>
        <v>136.54368000000002</v>
      </c>
      <c r="CV52" s="14">
        <f t="shared" si="41"/>
        <v>35.504062844328153</v>
      </c>
      <c r="CW52" s="22">
        <f t="shared" si="13"/>
        <v>299.64981878720488</v>
      </c>
      <c r="CX52" s="62">
        <f t="shared" si="14"/>
        <v>592.98315212053819</v>
      </c>
      <c r="CY52" s="62">
        <f ca="1">AVERAGE(OFFSET($CX$3,0,0,'Données projet'!$E$13+1,1))-AVERAGE(OFFSET($H$3,0,0,'Données projet'!$E$13+1,1))</f>
        <v>173.15672762188746</v>
      </c>
      <c r="CZ52" s="62">
        <f t="shared" si="42"/>
        <v>208.54841796921414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6.2760920295731468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6.2760920295731468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15.725555555555552</v>
      </c>
      <c r="EJ52" s="13">
        <f>IF('Données projet'!$A$192&gt;35,EJ51+EI52-ER51,IF(A52&lt;'Données projet'!$A$192,$EG$205^A52,IF(A52='Données projet'!$A$192,'Données projet'!$B$192,EJ51+EI52-ER51)))</f>
        <v>354.21444444444461</v>
      </c>
      <c r="EK52" s="18">
        <f>EJ52*VLOOKUP('Données projet'!$B$15,Paramètres!$A$1:$I$89,3,0)*VLOOKUP('Données projet'!$B$15,Paramètres!$A$1:$I$89,5,0)</f>
        <v>211.82023777777789</v>
      </c>
      <c r="EL52" s="14">
        <f t="shared" si="45"/>
        <v>52.333153433287507</v>
      </c>
      <c r="EM52" s="22">
        <f t="shared" si="19"/>
        <v>460.06715635927225</v>
      </c>
      <c r="EN52" s="62">
        <f t="shared" si="20"/>
        <v>753.40048969260556</v>
      </c>
      <c r="EO52" s="62">
        <f ca="1">AVERAGE(OFFSET($EN$3,0,0,'Données projet'!$E$15+1,1))-AVERAGE(OFFSET($H$3,0,0,'Données projet'!$E$15+1,1))</f>
        <v>269.18638759204373</v>
      </c>
      <c r="EP52" s="62">
        <f t="shared" si="46"/>
        <v>197.07126167823969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26.522872299912574</v>
      </c>
      <c r="EW52" s="23">
        <f>EXP(-LN(2)/25)*EW51+(1-EXP(-LN(2)/25))/(LN(2)/25)*Calculateur!ER52*Calculateur!ET52*VLOOKUP('Données projet'!$B$15,Paramètres!$A$1:$I$89,3,0)*0.475*44/12</f>
        <v>13.664282883565312</v>
      </c>
      <c r="EX52" s="23">
        <f>EXP(-LN(2)/2)*EX51+(1-EXP(-LN(2)/2))/(LN(2)/2)*ER52*EU52*VLOOKUP('Données projet'!$B$15,Paramètres!$A$1:$I$89,3,0)*0.475*44/12</f>
        <v>0.58295466026248011</v>
      </c>
      <c r="EY52" s="24">
        <f t="shared" si="21"/>
        <v>40.770109843740364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16.348749999999995</v>
      </c>
      <c r="FE52" s="13">
        <f>IF('Données projet'!$A$218&gt;35,FE51+FD52-FM51,IF(A52&lt;'Données projet'!$A$218,$FB$205^A52,IF(A52='Données projet'!$A$218,'Données projet'!$B$218,FE51+FD52-FM51)))</f>
        <v>448.29875000000015</v>
      </c>
      <c r="FF52" s="18">
        <f>FE52*VLOOKUP('Données projet'!$B$16,Paramètres!$A$1:$I$89,3,0)*VLOOKUP('Données projet'!$B$16,Paramètres!$A$1:$I$89,5,0)</f>
        <v>268.08265250000011</v>
      </c>
      <c r="FG52" s="14">
        <f t="shared" si="47"/>
        <v>64.442191138001959</v>
      </c>
      <c r="FH52" s="22">
        <f t="shared" si="22"/>
        <v>579.14743600285351</v>
      </c>
      <c r="FI52" s="62">
        <f t="shared" si="23"/>
        <v>872.48076933618677</v>
      </c>
      <c r="FJ52" s="62">
        <f ca="1">AVERAGE(OFFSET($FI$3,0,0,'Données projet'!$E$16+1,1))-AVERAGE(OFFSET($H$3,0,0,'Données projet'!$E$16+1,1))</f>
        <v>330.48891719033065</v>
      </c>
      <c r="FK52" s="62">
        <f t="shared" si="48"/>
        <v>419.35494198427284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79.698481768995336</v>
      </c>
      <c r="FR52" s="23">
        <f>EXP(-LN(2)/25)*FR51+(1-EXP(-LN(2)/25))/(LN(2)/25)*Calculateur!FM52*Calculateur!FO52*VLOOKUP('Données projet'!$B$16,Paramètres!$A$1:$I$89,3,0)*0.475*44/12</f>
        <v>22.016513729949065</v>
      </c>
      <c r="FS52" s="23">
        <f>EXP(-LN(2)/2)*FS51+(1-EXP(-LN(2)/2))/(LN(2)/2)*FM52*FP52*VLOOKUP('Données projet'!$B$16,Paramètres!$A$1:$I$89,3,0)*0.475*44/12</f>
        <v>5.0571183912729234</v>
      </c>
      <c r="FT52" s="24">
        <f t="shared" si="24"/>
        <v>106.77211389021733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>
        <f>FZ52*VLOOKUP('Données projet'!$B$17,Paramètres!$A$1:$I$89,3,0)*VLOOKUP('Données projet'!$B$17,Paramètres!$A$1:$I$89,5,0)</f>
        <v>0</v>
      </c>
      <c r="GB52" s="14" t="e">
        <f t="shared" si="49"/>
        <v>#NUM!</v>
      </c>
      <c r="GC52" s="22" t="e">
        <f t="shared" si="25"/>
        <v>#NUM!</v>
      </c>
      <c r="GD52" s="62" t="e">
        <f t="shared" si="26"/>
        <v>#NUM!</v>
      </c>
      <c r="GE52" s="62">
        <f ca="1">AVERAGE(OFFSET($GD$3,0,0,'Données projet'!$E$17+1,1))-AVERAGE(OFFSET($H$3,0,0,'Données projet'!$E$17+1,1))</f>
        <v>132.18258156780018</v>
      </c>
      <c r="GF52" s="62">
        <f t="shared" si="50"/>
        <v>315.58133946947294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29.773249586594549</v>
      </c>
      <c r="GM52" s="23">
        <f>EXP(-LN(2)/25)*GM51+(1-EXP(-LN(2)/25))/(LN(2)/25)*Calculateur!GH52*Calculateur!GJ52*VLOOKUP('Données projet'!$B$17,Paramètres!$A$1:$I$89,3,0)*0.475*44/12</f>
        <v>10.956354844897087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40.729604431491637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9">
        <f t="shared" si="1"/>
        <v>357.0448382932957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195.02</v>
      </c>
      <c r="L53" s="13">
        <f>VLOOKUP(A53,'Données projet'!$A$35:$I$55,9,0)</f>
        <v>9.3712500000000034</v>
      </c>
      <c r="M53" s="13">
        <f t="array" ref="M53">INDEX(L:L,MIN(IF(ISNUMBER(L53:L249),ROW(L53:L249),"")))</f>
        <v>9.3712500000000034</v>
      </c>
      <c r="N53" s="14">
        <f>IF('Données projet'!$A$36&gt;35,N52+M53-V52,IF(A53&lt;'Données projet'!$A$36,$K$205^A53,IF(A53='Données projet'!$A$36,'Données projet'!$B$36,N52+M53-V52)))</f>
        <v>195.02000000000012</v>
      </c>
      <c r="O53" s="14">
        <f>N53*VLOOKUP('Données projet'!$B$9,Paramètres!$A$1:$I$89,3,0)*VLOOKUP('Données projet'!$B$9,Paramètres!$A$1:$I$89,5,0)</f>
        <v>176.45409600000011</v>
      </c>
      <c r="P53" s="14">
        <f t="shared" si="33"/>
        <v>44.532376676436577</v>
      </c>
      <c r="Q53" s="22">
        <f t="shared" si="53"/>
        <v>384.88477324479385</v>
      </c>
      <c r="R53" s="62">
        <f t="shared" si="0"/>
        <v>678.21810657812716</v>
      </c>
      <c r="S53" s="62">
        <f ca="1">AVERAGE(OFFSET($R$3,0,0,'Données projet'!$E$9+1,1))-AVERAGE(OFFSET($H$3,0,0,'Données projet'!$E$9+1,1))</f>
        <v>401.86262166363821</v>
      </c>
      <c r="T53" s="62">
        <f t="shared" si="34"/>
        <v>208.60314230781432</v>
      </c>
      <c r="U53" s="16">
        <f>IF(ISNA(VLOOKUP(A53,'Données projet'!$A$35:$I$55,3,0)),0,VLOOKUP(A53,'Données projet'!$A$35:$I$55,3,0))</f>
        <v>2</v>
      </c>
      <c r="V53" s="16">
        <f>IF(ISNA(VLOOKUP(A53,'Données projet'!$A$35:$I$55,4,0)),0,VLOOKUP(A53,'Données projet'!$A$35:$I$55,4,0))</f>
        <v>35.58</v>
      </c>
      <c r="W53" s="17">
        <f>IF(ISNA(VLOOKUP(A53,'Données projet'!$A$35:$I$55,5,0)),0%,VLOOKUP(A53,'Données projet'!$A$35:$I$55,5,0)*VLOOKUP('Données projet'!$B$9,Paramètres!$A$1:$I$89,7,0))</f>
        <v>8.6000000000000007E-2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6.2328921337587886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6.2328921337587886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195.02</v>
      </c>
      <c r="AG53" s="13">
        <f>VLOOKUP(A53,'Données projet'!$A$61:$I$81,9,0)</f>
        <v>9.3712500000000034</v>
      </c>
      <c r="AH53" s="13">
        <f t="array" ref="AH53">INDEX(AG:AG,MIN(IF(ISNUMBER(AG53:AG249),ROW(AG53:AG249),"")))</f>
        <v>9.3712500000000034</v>
      </c>
      <c r="AI53" s="14">
        <f>IF('Données projet'!$A$62&gt;35,AI52+AH53-AQ52,IF(A53&lt;'Données projet'!$A$62,$AF$205^A53,IF(A53='Données projet'!$A$62,'Données projet'!$B$62,AI52+AH53-AQ52)))</f>
        <v>195.02000000000012</v>
      </c>
      <c r="AJ53" s="14">
        <f>AI53*VLOOKUP('Données projet'!$B$10,Paramètres!$A$1:$I$89,3,0)*VLOOKUP('Données projet'!$B$10,Paramètres!$A$1:$I$89,5,0)</f>
        <v>209.91952800000013</v>
      </c>
      <c r="AK53" s="14">
        <f t="shared" si="35"/>
        <v>51.918000149410624</v>
      </c>
      <c r="AL53" s="22">
        <f t="shared" si="4"/>
        <v>456.03369486022365</v>
      </c>
      <c r="AM53" s="62">
        <f t="shared" si="5"/>
        <v>749.36702819355696</v>
      </c>
      <c r="AN53" s="62">
        <f ca="1">AVERAGE(OFFSET($AM$3,0,0,'Données projet'!$E$10+1,1))-AVERAGE(OFFSET($H$3,0,0,'Données projet'!$E$10+1,1))</f>
        <v>407.22515465568205</v>
      </c>
      <c r="AO53" s="62">
        <f t="shared" si="36"/>
        <v>251.6218558398258</v>
      </c>
      <c r="AP53" s="16">
        <f>IF(ISNA(VLOOKUP(A53,'Données projet'!$A$61:$I$81,3,0)),0,VLOOKUP(A53,'Données projet'!$A$61:$I$81,3,0))</f>
        <v>2</v>
      </c>
      <c r="AQ53" s="16">
        <f>IF(ISNA(VLOOKUP(A53,'Données projet'!$A$61:$I$81,4,0)),0,VLOOKUP(A53,'Données projet'!$A$61:$I$81,4,0))</f>
        <v>35.58</v>
      </c>
      <c r="AR53" s="17">
        <f>IF(ISNA(VLOOKUP(A53,'Données projet'!$A$61:$I$81,5,0)),0%,VLOOKUP(A53,'Données projet'!$A$61:$I$81,5,0)*VLOOKUP('Données projet'!$B$10,Paramètres!$A$1:$I$89,7,0))</f>
        <v>8.6000000000000007E-2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7.4149923660233874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7.4149923660233874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195.02</v>
      </c>
      <c r="BB53" s="13">
        <f>VLOOKUP(A53,'Données projet'!$A$87:$I$107,9,0)</f>
        <v>9.3712500000000034</v>
      </c>
      <c r="BC53" s="13">
        <f t="array" ref="BC53">INDEX(BB:BB,MIN(IF(ISNUMBER(BB53:BB249),ROW(BB53:BB249),"")))</f>
        <v>9.3712500000000034</v>
      </c>
      <c r="BD53" s="13">
        <f>IF('Données projet'!$A$88&gt;35,BD52+BC53-BL52,IF(A53&lt;'Données projet'!$A$88,$BA$205^A53,IF(A53='Données projet'!$A$88,'Données projet'!$B$88,BD52+BC53-BL52)))</f>
        <v>195.02000000000012</v>
      </c>
      <c r="BE53" s="14">
        <f>BD53*VLOOKUP('Données projet'!$B$11,Paramètres!$A$1:$I$89,3,0)*VLOOKUP('Données projet'!$B$11,Paramètres!$A$1:$I$89,5,0)</f>
        <v>188.62334400000012</v>
      </c>
      <c r="BF53" s="14">
        <f t="shared" si="37"/>
        <v>47.235465062657511</v>
      </c>
      <c r="BG53" s="22">
        <f t="shared" si="7"/>
        <v>410.78742578412863</v>
      </c>
      <c r="BH53" s="62">
        <f t="shared" si="8"/>
        <v>704.12075911746194</v>
      </c>
      <c r="BI53" s="62">
        <f ca="1">AVERAGE(OFFSET($BH$3,0,0,'Données projet'!$E$11+1,1))-AVERAGE(OFFSET($H$3,0,0,'Données projet'!$E$11+1,1))</f>
        <v>357.76044008074308</v>
      </c>
      <c r="BJ53" s="62">
        <f t="shared" si="38"/>
        <v>224.26555772810445</v>
      </c>
      <c r="BK53" s="16">
        <f>IF(ISNA(VLOOKUP(A53,'Données projet'!$A$87:$I$107,3,0)),0,VLOOKUP(A53,'Données projet'!$A$87:$I$107,3,0))</f>
        <v>2</v>
      </c>
      <c r="BL53" s="16">
        <f>IF(ISNA(VLOOKUP(A53,'Données projet'!$A$87:$I$107,4,0)),0,VLOOKUP(A53,'Données projet'!$A$87:$I$107,4,0))</f>
        <v>35.58</v>
      </c>
      <c r="BM53" s="17">
        <f>IF(ISNA(VLOOKUP(A53,'Données projet'!$A$87:$I$107,5,0)),0%,VLOOKUP(A53,'Données projet'!$A$87:$I$107,5,0)*VLOOKUP('Données projet'!$B$11,Paramètres!$A$1:$I$89,7,0))</f>
        <v>8.6000000000000007E-2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6.662746763673189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6.662746763673189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195.02</v>
      </c>
      <c r="BW53" s="13">
        <f>VLOOKUP(A53,'Données projet'!$A$113:$I$133,9,0)</f>
        <v>9.3712500000000034</v>
      </c>
      <c r="BX53" s="13">
        <f t="array" ref="BX53">INDEX(BW:BW,MIN(IF(ISNUMBER(BW53:BW249),ROW(BW53:BW249),"")))</f>
        <v>9.3712500000000034</v>
      </c>
      <c r="BY53" s="13">
        <f>IF('Données projet'!$A$114&gt;35,BY52+BX53-CG52,IF(A53&lt;'Données projet'!$A$114,$BV$205^A53,IF(A53='Données projet'!$A$114,'Données projet'!$B$114,BY52+BX53-CG52)))</f>
        <v>195.02000000000012</v>
      </c>
      <c r="BZ53" s="14">
        <f>BY53*VLOOKUP('Données projet'!$B$12,Paramètres!$A$1:$I$89,3,0)*VLOOKUP('Données projet'!$B$12,Paramètres!$A$1:$I$89,5,0)</f>
        <v>130.81941600000007</v>
      </c>
      <c r="CA53" s="14">
        <f t="shared" si="39"/>
        <v>34.185633013929731</v>
      </c>
      <c r="CB53" s="22">
        <f t="shared" si="10"/>
        <v>287.38379369926105</v>
      </c>
      <c r="CC53" s="62">
        <f t="shared" si="11"/>
        <v>580.71712703259436</v>
      </c>
      <c r="CD53" s="62">
        <f ca="1">AVERAGE(OFFSET($CC$3,0,0,'Données projet'!$E$12+1,1))-AVERAGE(OFFSET($H$3,0,0,'Données projet'!$E$12+1,1))</f>
        <v>222.86701323374945</v>
      </c>
      <c r="CE53" s="62">
        <f t="shared" si="40"/>
        <v>149.63671045240511</v>
      </c>
      <c r="CF53" s="16">
        <f>IF(ISNA(VLOOKUP(A53,'Données projet'!$A$113:$I$133,3,0)),0,VLOOKUP(A53,'Données projet'!$A$113:$I$133,3,0))</f>
        <v>2</v>
      </c>
      <c r="CG53" s="16">
        <f>IF(ISNA(VLOOKUP(A53,'Données projet'!$A$113:$I$133,4,0)),0,VLOOKUP(A53,'Données projet'!$A$113:$I$133,4,0))</f>
        <v>35.58</v>
      </c>
      <c r="CH53" s="17">
        <f>IF(ISNA(VLOOKUP(A53,'Données projet'!$A$113:$I$133,5,0)),0%,VLOOKUP(A53,'Données projet'!$A$113:$I$133,5,0)*VLOOKUP('Données projet'!$B$12,Paramètres!$A$1:$I$89,7,0))</f>
        <v>0.10600000000000001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5.6955738463657912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5.6955738463657912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215</v>
      </c>
      <c r="CR53" s="13">
        <f>VLOOKUP(A53,'Données projet'!$A$139:$I$159,9,0)</f>
        <v>6.6</v>
      </c>
      <c r="CS53" s="13">
        <f t="array" ref="CS53">INDEX(CR:CR,MIN(IF(ISNUMBER(CR53:CR249),ROW(CR53:CR249),"")))</f>
        <v>6.6</v>
      </c>
      <c r="CT53" s="13">
        <f>IF('Données projet'!$A$140&gt;35,CT52+CS53-DB52,IF(A53&lt;'Données projet'!$A$140,$CQ$205^A53,IF(A53='Données projet'!$A$140,'Données projet'!$B$140,CT52+CS53-DB52)))</f>
        <v>215.00000000000006</v>
      </c>
      <c r="CU53" s="18">
        <f>CT53*VLOOKUP('Données projet'!$B$13,Paramètres!$A$1:$I$89,3,0)*VLOOKUP('Données projet'!$B$13,Paramètres!$A$1:$I$89,5,0)</f>
        <v>140.86800000000005</v>
      </c>
      <c r="CV53" s="14">
        <f t="shared" si="41"/>
        <v>36.495780519346958</v>
      </c>
      <c r="CW53" s="22">
        <f t="shared" si="13"/>
        <v>308.90858440452939</v>
      </c>
      <c r="CX53" s="62">
        <f t="shared" si="14"/>
        <v>602.24191773786265</v>
      </c>
      <c r="CY53" s="62">
        <f ca="1">AVERAGE(OFFSET($CX$3,0,0,'Données projet'!$E$13+1,1))-AVERAGE(OFFSET($H$3,0,0,'Données projet'!$E$13+1,1))</f>
        <v>173.15672762188746</v>
      </c>
      <c r="CZ53" s="62">
        <f t="shared" si="42"/>
        <v>208.54841796921414</v>
      </c>
      <c r="DA53" s="16">
        <f>IF(ISNA(VLOOKUP(A53,'Données projet'!$A$139:$I$159,3,0)),0,VLOOKUP(A53,'Données projet'!$A$139:$I$159,3,0))</f>
        <v>9</v>
      </c>
      <c r="DB53" s="16">
        <f>IF(ISNA(VLOOKUP(A53,'Données projet'!$A$139:$I$159,4,0)),0,VLOOKUP(A53,'Données projet'!$A$139:$I$159,4,0))</f>
        <v>24</v>
      </c>
      <c r="DC53" s="17">
        <f>IF(ISNA(VLOOKUP(A53,'Données projet'!$A$139:$I$159,5,0)),0%,VLOOKUP(A53,'Données projet'!$A$139:$I$159,5,0)*VLOOKUP('Données projet'!$B$13,Paramètres!$A$1:$I$89,7,0))</f>
        <v>0.17200000000000001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9.142949400253082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9.142949400253082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369.94</v>
      </c>
      <c r="EH53" s="13">
        <f>VLOOKUP(A53,'Données projet'!$A$191:$I$211,9,0)</f>
        <v>15.725555555555552</v>
      </c>
      <c r="EI53" s="13">
        <f t="array" ref="EI53">INDEX(EH:EH,MIN(IF(ISNUMBER(EH53:EH249),ROW(EH53:EH249),"")))</f>
        <v>15.725555555555552</v>
      </c>
      <c r="EJ53" s="13">
        <f>IF('Données projet'!$A$192&gt;35,EJ52+EI53-ER52,IF(A53&lt;'Données projet'!$A$192,$EG$205^A53,IF(A53='Données projet'!$A$192,'Données projet'!$B$192,EJ52+EI53-ER52)))</f>
        <v>369.94000000000017</v>
      </c>
      <c r="EK53" s="18">
        <f>EJ53*VLOOKUP('Données projet'!$B$15,Paramètres!$A$1:$I$89,3,0)*VLOOKUP('Données projet'!$B$15,Paramètres!$A$1:$I$89,5,0)</f>
        <v>221.22412000000014</v>
      </c>
      <c r="EL53" s="14">
        <f t="shared" si="45"/>
        <v>54.380856173847832</v>
      </c>
      <c r="EM53" s="22">
        <f t="shared" si="19"/>
        <v>480.01200016945177</v>
      </c>
      <c r="EN53" s="62">
        <f t="shared" si="20"/>
        <v>773.34533350278502</v>
      </c>
      <c r="EO53" s="62">
        <f ca="1">AVERAGE(OFFSET($EN$3,0,0,'Données projet'!$E$15+1,1))-AVERAGE(OFFSET($H$3,0,0,'Données projet'!$E$15+1,1))</f>
        <v>269.18638759204373</v>
      </c>
      <c r="EP53" s="62">
        <f t="shared" si="46"/>
        <v>197.07126167823969</v>
      </c>
      <c r="EQ53" s="16">
        <f>IF(ISNA(VLOOKUP(A53,'Données projet'!$A$191:$I$211,3,0)),0,VLOOKUP(A53,'Données projet'!$A$191:$I$211,3,0))</f>
        <v>5</v>
      </c>
      <c r="ER53" s="16">
        <f>IF(ISNA(VLOOKUP(A53,'Données projet'!$A$191:$I$211,4,0)),0,VLOOKUP(A53,'Données projet'!$A$191:$I$211,4,0))</f>
        <v>70.2</v>
      </c>
      <c r="ES53" s="17">
        <f>IF(ISNA(VLOOKUP(A53,'Données projet'!$A$191:$I$211,5,0)),0%,VLOOKUP(A53,'Données projet'!$A$191:$I$211,5,0)*VLOOKUP('Données projet'!$B$15,Paramètres!$A$1:$I$89,7,0))</f>
        <v>0.315</v>
      </c>
      <c r="ET53" s="17">
        <f>IF(ISNA(VLOOKUP(A53,'Données projet'!$A$191:$I$211,6,0)),0%,VLOOKUP(A53,'Données projet'!$A$191:$I$211,6,0)*VLOOKUP('Données projet'!$B$15,Paramètres!$A$1:$I$89,7,0))</f>
        <v>7.6500000000000012E-2</v>
      </c>
      <c r="EU53" s="17">
        <f>IF(ISNA(VLOOKUP(A53,'Données projet'!$A$191:$I$211,7,0)),0%,VLOOKUP(A53,'Données projet'!$A$191:$I$211,7,0))</f>
        <v>0.13</v>
      </c>
      <c r="EV53" s="23">
        <f>EXP(-LN(2)/35)*EV52+(1-EXP(-LN(2)/35))/(LN(2)/35)*ER53*ES53*VLOOKUP('Données projet'!$B$15,Paramètres!$A$1:$I$89,3,0)*0.475*44/12</f>
        <v>43.544698193740473</v>
      </c>
      <c r="EW53" s="23">
        <f>EXP(-LN(2)/25)*EW52+(1-EXP(-LN(2)/25))/(LN(2)/25)*Calculateur!ER53*Calculateur!ET53*VLOOKUP('Données projet'!$B$15,Paramètres!$A$1:$I$89,3,0)*0.475*44/12</f>
        <v>17.534039751112793</v>
      </c>
      <c r="EX53" s="23">
        <f>EXP(-LN(2)/2)*EX52+(1-EXP(-LN(2)/2))/(LN(2)/2)*ER53*EU53*VLOOKUP('Données projet'!$B$15,Paramètres!$A$1:$I$89,3,0)*0.475*44/12</f>
        <v>6.591196857837363</v>
      </c>
      <c r="EY53" s="24">
        <f t="shared" si="21"/>
        <v>67.669934802690634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16.348749999999995</v>
      </c>
      <c r="FE53" s="13">
        <f>IF('Données projet'!$A$218&gt;35,FE52+FD53-FM52,IF(A53&lt;'Données projet'!$A$218,$FB$205^A53,IF(A53='Données projet'!$A$218,'Données projet'!$B$218,FE52+FD53-FM52)))</f>
        <v>464.64750000000015</v>
      </c>
      <c r="FF53" s="18">
        <f>FE53*VLOOKUP('Données projet'!$B$16,Paramètres!$A$1:$I$89,3,0)*VLOOKUP('Données projet'!$B$16,Paramètres!$A$1:$I$89,5,0)</f>
        <v>277.85920500000009</v>
      </c>
      <c r="FG53" s="14">
        <f t="shared" si="47"/>
        <v>66.514395468056989</v>
      </c>
      <c r="FH53" s="22">
        <f t="shared" si="22"/>
        <v>599.78402081519937</v>
      </c>
      <c r="FI53" s="62">
        <f t="shared" si="23"/>
        <v>893.11735414853274</v>
      </c>
      <c r="FJ53" s="62">
        <f ca="1">AVERAGE(OFFSET($FI$3,0,0,'Données projet'!$E$16+1,1))-AVERAGE(OFFSET($H$3,0,0,'Données projet'!$E$16+1,1))</f>
        <v>330.48891719033065</v>
      </c>
      <c r="FK53" s="62">
        <f t="shared" si="48"/>
        <v>419.35494198427284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78.135643152779252</v>
      </c>
      <c r="FR53" s="23">
        <f>EXP(-LN(2)/25)*FR52+(1-EXP(-LN(2)/25))/(LN(2)/25)*Calculateur!FM53*Calculateur!FO53*VLOOKUP('Données projet'!$B$16,Paramètres!$A$1:$I$89,3,0)*0.475*44/12</f>
        <v>21.41447100420547</v>
      </c>
      <c r="FS53" s="23">
        <f>EXP(-LN(2)/2)*FS52+(1-EXP(-LN(2)/2))/(LN(2)/2)*FM53*FP53*VLOOKUP('Données projet'!$B$16,Paramètres!$A$1:$I$89,3,0)*0.475*44/12</f>
        <v>3.5759227077322886</v>
      </c>
      <c r="FT53" s="24">
        <f t="shared" si="24"/>
        <v>103.12603686471701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>
        <f>FZ53*VLOOKUP('Données projet'!$B$17,Paramètres!$A$1:$I$89,3,0)*VLOOKUP('Données projet'!$B$17,Paramètres!$A$1:$I$89,5,0)</f>
        <v>0</v>
      </c>
      <c r="GB53" s="14" t="e">
        <f t="shared" si="49"/>
        <v>#NUM!</v>
      </c>
      <c r="GC53" s="22" t="e">
        <f t="shared" si="25"/>
        <v>#NUM!</v>
      </c>
      <c r="GD53" s="62" t="e">
        <f t="shared" si="26"/>
        <v>#NUM!</v>
      </c>
      <c r="GE53" s="62">
        <f ca="1">AVERAGE(OFFSET($GD$3,0,0,'Données projet'!$E$17+1,1))-AVERAGE(OFFSET($H$3,0,0,'Données projet'!$E$17+1,1))</f>
        <v>132.18258156780018</v>
      </c>
      <c r="GF53" s="62">
        <f t="shared" si="50"/>
        <v>315.58133946947294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29.189414322090538</v>
      </c>
      <c r="GM53" s="23">
        <f>EXP(-LN(2)/25)*GM52+(1-EXP(-LN(2)/25))/(LN(2)/25)*Calculateur!GH53*Calculateur!GJ53*VLOOKUP('Données projet'!$B$17,Paramètres!$A$1:$I$89,3,0)*0.475*44/12</f>
        <v>10.656752745493716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39.846167067584254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9">
        <f t="shared" si="1"/>
        <v>358.99852037808239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9.5537500000000009</v>
      </c>
      <c r="N54" s="14">
        <f>IF('Données projet'!$A$36&gt;35,N53+M54-V53,IF(A54&lt;'Données projet'!$A$36,$K$205^A54,IF(A54='Données projet'!$A$36,'Données projet'!$B$36,N53+M54-V53)))</f>
        <v>168.99375000000015</v>
      </c>
      <c r="O54" s="14">
        <f>N54*VLOOKUP('Données projet'!$B$9,Paramètres!$A$1:$I$89,3,0)*VLOOKUP('Données projet'!$B$9,Paramètres!$A$1:$I$89,5,0)</f>
        <v>152.90554500000013</v>
      </c>
      <c r="P54" s="14">
        <f t="shared" si="33"/>
        <v>39.238142074568863</v>
      </c>
      <c r="Q54" s="22">
        <f t="shared" si="53"/>
        <v>334.65025498820768</v>
      </c>
      <c r="R54" s="62">
        <f t="shared" si="0"/>
        <v>627.98358832154099</v>
      </c>
      <c r="S54" s="62">
        <f ca="1">AVERAGE(OFFSET($R$3,0,0,'Données projet'!$E$9+1,1))-AVERAGE(OFFSET($H$3,0,0,'Données projet'!$E$9+1,1))</f>
        <v>401.86262166363821</v>
      </c>
      <c r="T54" s="62">
        <f t="shared" si="34"/>
        <v>208.60314230781432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6.1106689207045948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6.1106689207045948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9.5537500000000009</v>
      </c>
      <c r="AI54" s="14">
        <f>IF('Données projet'!$A$62&gt;35,AI53+AH54-AQ53,IF(A54&lt;'Données projet'!$A$62,$AF$205^A54,IF(A54='Données projet'!$A$62,'Données projet'!$B$62,AI53+AH54-AQ53)))</f>
        <v>168.99375000000015</v>
      </c>
      <c r="AJ54" s="14">
        <f>AI54*VLOOKUP('Données projet'!$B$10,Paramètres!$A$1:$I$89,3,0)*VLOOKUP('Données projet'!$B$10,Paramètres!$A$1:$I$89,5,0)</f>
        <v>181.90487250000015</v>
      </c>
      <c r="AK54" s="14">
        <f t="shared" si="35"/>
        <v>45.745725203298825</v>
      </c>
      <c r="AL54" s="22">
        <f t="shared" si="4"/>
        <v>396.49145766657904</v>
      </c>
      <c r="AM54" s="62">
        <f t="shared" si="5"/>
        <v>689.82479099991235</v>
      </c>
      <c r="AN54" s="62">
        <f ca="1">AVERAGE(OFFSET($AM$3,0,0,'Données projet'!$E$10+1,1))-AVERAGE(OFFSET($H$3,0,0,'Données projet'!$E$10+1,1))</f>
        <v>407.22515465568205</v>
      </c>
      <c r="AO54" s="62">
        <f t="shared" si="36"/>
        <v>251.6218558398258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7.2695888884244324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7.2695888884244324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9.5537500000000009</v>
      </c>
      <c r="BD54" s="13">
        <f>IF('Données projet'!$A$88&gt;35,BD53+BC54-BL53,IF(A54&lt;'Données projet'!$A$88,$BA$205^A54,IF(A54='Données projet'!$A$88,'Données projet'!$B$88,BD53+BC54-BL53)))</f>
        <v>168.99375000000015</v>
      </c>
      <c r="BE54" s="14">
        <f>BD54*VLOOKUP('Données projet'!$B$11,Paramètres!$A$1:$I$89,3,0)*VLOOKUP('Données projet'!$B$11,Paramètres!$A$1:$I$89,5,0)</f>
        <v>163.45075500000016</v>
      </c>
      <c r="BF54" s="14">
        <f t="shared" si="37"/>
        <v>41.619873615853834</v>
      </c>
      <c r="BG54" s="22">
        <f t="shared" si="7"/>
        <v>357.16467817261235</v>
      </c>
      <c r="BH54" s="62">
        <f t="shared" si="8"/>
        <v>650.49801150594567</v>
      </c>
      <c r="BI54" s="62">
        <f ca="1">AVERAGE(OFFSET($BH$3,0,0,'Données projet'!$E$11+1,1))-AVERAGE(OFFSET($H$3,0,0,'Données projet'!$E$11+1,1))</f>
        <v>357.76044008074308</v>
      </c>
      <c r="BJ54" s="62">
        <f t="shared" si="38"/>
        <v>224.26555772810445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6.5320943635118089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6.5320943635118089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9.5537500000000009</v>
      </c>
      <c r="BY54" s="13">
        <f>IF('Données projet'!$A$114&gt;35,BY53+BX54-CG53,IF(A54&lt;'Données projet'!$A$114,$BV$205^A54,IF(A54='Données projet'!$A$114,'Données projet'!$B$114,BY53+BX54-CG53)))</f>
        <v>168.99375000000015</v>
      </c>
      <c r="BZ54" s="14">
        <f>BY54*VLOOKUP('Données projet'!$B$12,Paramètres!$A$1:$I$89,3,0)*VLOOKUP('Données projet'!$B$12,Paramètres!$A$1:$I$89,5,0)</f>
        <v>113.3610075000001</v>
      </c>
      <c r="CA54" s="14">
        <f t="shared" si="39"/>
        <v>30.121471729565499</v>
      </c>
      <c r="CB54" s="22">
        <f t="shared" si="10"/>
        <v>249.89865132482677</v>
      </c>
      <c r="CC54" s="62">
        <f t="shared" si="11"/>
        <v>543.23198465816006</v>
      </c>
      <c r="CD54" s="62">
        <f ca="1">AVERAGE(OFFSET($CC$3,0,0,'Données projet'!$E$12+1,1))-AVERAGE(OFFSET($H$3,0,0,'Données projet'!$E$12+1,1))</f>
        <v>222.86701323374945</v>
      </c>
      <c r="CE54" s="62">
        <f t="shared" si="40"/>
        <v>149.63671045240511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5.5838871171955793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5.5838871171955793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6.4</v>
      </c>
      <c r="CT54" s="13">
        <f>IF('Données projet'!$A$140&gt;35,CT53+CS54-DB53,IF(A54&lt;'Données projet'!$A$140,$CQ$205^A54,IF(A54='Données projet'!$A$140,'Données projet'!$B$140,CT53+CS54-DB53)))</f>
        <v>197.40000000000006</v>
      </c>
      <c r="CU54" s="18">
        <f>CT54*VLOOKUP('Données projet'!$B$13,Paramètres!$A$1:$I$89,3,0)*VLOOKUP('Données projet'!$B$13,Paramètres!$A$1:$I$89,5,0)</f>
        <v>129.33648000000005</v>
      </c>
      <c r="CV54" s="14">
        <f t="shared" si="41"/>
        <v>33.84299371090448</v>
      </c>
      <c r="CW54" s="22">
        <f t="shared" si="13"/>
        <v>284.20425004649206</v>
      </c>
      <c r="CX54" s="62">
        <f t="shared" si="14"/>
        <v>577.53758337982538</v>
      </c>
      <c r="CY54" s="62">
        <f ca="1">AVERAGE(OFFSET($CX$3,0,0,'Données projet'!$E$13+1,1))-AVERAGE(OFFSET($H$3,0,0,'Données projet'!$E$13+1,1))</f>
        <v>173.15672762188746</v>
      </c>
      <c r="CZ54" s="62">
        <f t="shared" si="42"/>
        <v>208.54841796921414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8.963661739162605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8.963661739162605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14.12</v>
      </c>
      <c r="EJ54" s="13">
        <f>IF('Données projet'!$A$192&gt;35,EJ53+EI54-ER53,IF(A54&lt;'Données projet'!$A$192,$EG$205^A54,IF(A54='Données projet'!$A$192,'Données projet'!$B$192,EJ53+EI54-ER53)))</f>
        <v>313.86000000000018</v>
      </c>
      <c r="EK54" s="18">
        <f>EJ54*VLOOKUP('Données projet'!$B$15,Paramètres!$A$1:$I$89,3,0)*VLOOKUP('Données projet'!$B$15,Paramètres!$A$1:$I$89,5,0)</f>
        <v>187.68828000000013</v>
      </c>
      <c r="EL54" s="14">
        <f t="shared" si="45"/>
        <v>47.028500822168901</v>
      </c>
      <c r="EM54" s="22">
        <f t="shared" si="19"/>
        <v>408.79839326527775</v>
      </c>
      <c r="EN54" s="62">
        <f t="shared" si="20"/>
        <v>702.13172659861107</v>
      </c>
      <c r="EO54" s="62">
        <f ca="1">AVERAGE(OFFSET($EN$3,0,0,'Données projet'!$E$15+1,1))-AVERAGE(OFFSET($H$3,0,0,'Données projet'!$E$15+1,1))</f>
        <v>269.18638759204373</v>
      </c>
      <c r="EP54" s="62">
        <f t="shared" si="46"/>
        <v>197.07126167823969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42.690813221804575</v>
      </c>
      <c r="EW54" s="23">
        <f>EXP(-LN(2)/25)*EW53+(1-EXP(-LN(2)/25))/(LN(2)/25)*Calculateur!ER54*Calculateur!ET54*VLOOKUP('Données projet'!$B$15,Paramètres!$A$1:$I$89,3,0)*0.475*44/12</f>
        <v>17.054570512043536</v>
      </c>
      <c r="EX54" s="23">
        <f>EXP(-LN(2)/2)*EX53+(1-EXP(-LN(2)/2))/(LN(2)/2)*ER54*EU54*VLOOKUP('Données projet'!$B$15,Paramètres!$A$1:$I$89,3,0)*0.475*44/12</f>
        <v>4.6606799943122645</v>
      </c>
      <c r="EY54" s="24">
        <f t="shared" si="21"/>
        <v>64.406063728160376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16.348749999999995</v>
      </c>
      <c r="FE54" s="13">
        <f>IF('Données projet'!$A$218&gt;35,FE53+FD54-FM53,IF(A54&lt;'Données projet'!$A$218,$FB$205^A54,IF(A54='Données projet'!$A$218,'Données projet'!$B$218,FE53+FD54-FM53)))</f>
        <v>480.99625000000015</v>
      </c>
      <c r="FF54" s="18">
        <f>FE54*VLOOKUP('Données projet'!$B$16,Paramètres!$A$1:$I$89,3,0)*VLOOKUP('Données projet'!$B$16,Paramètres!$A$1:$I$89,5,0)</f>
        <v>287.63575750000012</v>
      </c>
      <c r="FG54" s="14">
        <f t="shared" si="47"/>
        <v>68.578128457627443</v>
      </c>
      <c r="FH54" s="22">
        <f t="shared" si="22"/>
        <v>620.40585137620121</v>
      </c>
      <c r="FI54" s="62">
        <f t="shared" si="23"/>
        <v>913.73918470953458</v>
      </c>
      <c r="FJ54" s="62">
        <f ca="1">AVERAGE(OFFSET($FI$3,0,0,'Données projet'!$E$16+1,1))-AVERAGE(OFFSET($H$3,0,0,'Données projet'!$E$16+1,1))</f>
        <v>330.48891719033065</v>
      </c>
      <c r="FK54" s="62">
        <f t="shared" si="48"/>
        <v>419.35494198427284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76.603450848589731</v>
      </c>
      <c r="FR54" s="23">
        <f>EXP(-LN(2)/25)*FR53+(1-EXP(-LN(2)/25))/(LN(2)/25)*Calculateur!FM54*Calculateur!FO54*VLOOKUP('Données projet'!$B$16,Paramètres!$A$1:$I$89,3,0)*0.475*44/12</f>
        <v>20.828891168457385</v>
      </c>
      <c r="FS54" s="23">
        <f>EXP(-LN(2)/2)*FS53+(1-EXP(-LN(2)/2))/(LN(2)/2)*FM54*FP54*VLOOKUP('Données projet'!$B$16,Paramètres!$A$1:$I$89,3,0)*0.475*44/12</f>
        <v>2.5285591956364621</v>
      </c>
      <c r="FT54" s="24">
        <f t="shared" si="24"/>
        <v>99.960901212683581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>
        <f>FZ54*VLOOKUP('Données projet'!$B$17,Paramètres!$A$1:$I$89,3,0)*VLOOKUP('Données projet'!$B$17,Paramètres!$A$1:$I$89,5,0)</f>
        <v>0</v>
      </c>
      <c r="GB54" s="14" t="e">
        <f t="shared" si="49"/>
        <v>#NUM!</v>
      </c>
      <c r="GC54" s="22" t="e">
        <f t="shared" si="25"/>
        <v>#NUM!</v>
      </c>
      <c r="GD54" s="62" t="e">
        <f t="shared" si="26"/>
        <v>#NUM!</v>
      </c>
      <c r="GE54" s="62">
        <f ca="1">AVERAGE(OFFSET($GD$3,0,0,'Données projet'!$E$17+1,1))-AVERAGE(OFFSET($H$3,0,0,'Données projet'!$E$17+1,1))</f>
        <v>132.18258156780018</v>
      </c>
      <c r="GF54" s="62">
        <f t="shared" si="50"/>
        <v>315.58133946947294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28.617027711019102</v>
      </c>
      <c r="GM54" s="23">
        <f>EXP(-LN(2)/25)*GM53+(1-EXP(-LN(2)/25))/(LN(2)/25)*Calculateur!GH54*Calculateur!GJ54*VLOOKUP('Données projet'!$B$17,Paramètres!$A$1:$I$89,3,0)*0.475*44/12</f>
        <v>10.365343281253919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38.982370992273019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9">
        <f t="shared" si="1"/>
        <v>360.95127911947662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9.5537500000000009</v>
      </c>
      <c r="N55" s="14">
        <f>IF('Données projet'!$A$36&gt;35,N54+M55-V54,IF(A55&lt;'Données projet'!$A$36,$K$205^A55,IF(A55='Données projet'!$A$36,'Données projet'!$B$36,N54+M55-V54)))</f>
        <v>178.54750000000016</v>
      </c>
      <c r="O55" s="14">
        <f>N55*VLOOKUP('Données projet'!$B$9,Paramètres!$A$1:$I$89,3,0)*VLOOKUP('Données projet'!$B$9,Paramètres!$A$1:$I$89,5,0)</f>
        <v>161.54977800000012</v>
      </c>
      <c r="P55" s="14">
        <f t="shared" si="33"/>
        <v>41.191875810979205</v>
      </c>
      <c r="Q55" s="22">
        <f t="shared" si="53"/>
        <v>353.10838038745561</v>
      </c>
      <c r="R55" s="62">
        <f t="shared" si="0"/>
        <v>646.44171372078893</v>
      </c>
      <c r="S55" s="62">
        <f ca="1">AVERAGE(OFFSET($R$3,0,0,'Données projet'!$E$9+1,1))-AVERAGE(OFFSET($H$3,0,0,'Données projet'!$E$9+1,1))</f>
        <v>401.86262166363821</v>
      </c>
      <c r="T55" s="62">
        <f t="shared" si="34"/>
        <v>208.60314230781432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5.9908424303095948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5.9908424303095948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9.5537500000000009</v>
      </c>
      <c r="AI55" s="14">
        <f>IF('Données projet'!$A$62&gt;35,AI54+AH55-AQ54,IF(A55&lt;'Données projet'!$A$62,$AF$205^A55,IF(A55='Données projet'!$A$62,'Données projet'!$B$62,AI54+AH55-AQ54)))</f>
        <v>178.54750000000016</v>
      </c>
      <c r="AJ55" s="14">
        <f>AI55*VLOOKUP('Données projet'!$B$10,Paramètres!$A$1:$I$89,3,0)*VLOOKUP('Données projet'!$B$10,Paramètres!$A$1:$I$89,5,0)</f>
        <v>192.18852900000016</v>
      </c>
      <c r="AK55" s="14">
        <f t="shared" si="35"/>
        <v>48.023482556243664</v>
      </c>
      <c r="AL55" s="22">
        <f t="shared" si="4"/>
        <v>418.36925346045797</v>
      </c>
      <c r="AM55" s="62">
        <f t="shared" si="5"/>
        <v>711.70258679379128</v>
      </c>
      <c r="AN55" s="62">
        <f ca="1">AVERAGE(OFFSET($AM$3,0,0,'Données projet'!$E$10+1,1))-AVERAGE(OFFSET($H$3,0,0,'Données projet'!$E$10+1,1))</f>
        <v>407.22515465568205</v>
      </c>
      <c r="AO55" s="62">
        <f t="shared" si="36"/>
        <v>251.6218558398258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7.1270366843338291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7.1270366843338291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9.5537500000000009</v>
      </c>
      <c r="BD55" s="13">
        <f>IF('Données projet'!$A$88&gt;35,BD54+BC55-BL54,IF(A55&lt;'Données projet'!$A$88,$BA$205^A55,IF(A55='Données projet'!$A$88,'Données projet'!$B$88,BD54+BC55-BL54)))</f>
        <v>178.54750000000016</v>
      </c>
      <c r="BE55" s="14">
        <f>BD55*VLOOKUP('Données projet'!$B$11,Paramètres!$A$1:$I$89,3,0)*VLOOKUP('Données projet'!$B$11,Paramètres!$A$1:$I$89,5,0)</f>
        <v>172.69114200000016</v>
      </c>
      <c r="BF55" s="14">
        <f t="shared" si="37"/>
        <v>43.69219781086543</v>
      </c>
      <c r="BG55" s="22">
        <f t="shared" si="7"/>
        <v>376.86765017059088</v>
      </c>
      <c r="BH55" s="62">
        <f t="shared" si="8"/>
        <v>670.20098350392414</v>
      </c>
      <c r="BI55" s="62">
        <f ca="1">AVERAGE(OFFSET($BH$3,0,0,'Données projet'!$E$11+1,1))-AVERAGE(OFFSET($H$3,0,0,'Données projet'!$E$11+1,1))</f>
        <v>357.76044008074308</v>
      </c>
      <c r="BJ55" s="62">
        <f t="shared" si="38"/>
        <v>224.26555772810445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6.4040039772274984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6.4040039772274984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9.5537500000000009</v>
      </c>
      <c r="BY55" s="13">
        <f>IF('Données projet'!$A$114&gt;35,BY54+BX55-CG54,IF(A55&lt;'Données projet'!$A$114,$BV$205^A55,IF(A55='Données projet'!$A$114,'Données projet'!$B$114,BY54+BX55-CG54)))</f>
        <v>178.54750000000016</v>
      </c>
      <c r="BZ55" s="14">
        <f>BY55*VLOOKUP('Données projet'!$B$12,Paramètres!$A$1:$I$89,3,0)*VLOOKUP('Données projet'!$B$12,Paramètres!$A$1:$I$89,5,0)</f>
        <v>119.76966300000011</v>
      </c>
      <c r="CA55" s="14">
        <f t="shared" si="39"/>
        <v>31.621270965639045</v>
      </c>
      <c r="CB55" s="22">
        <f t="shared" si="10"/>
        <v>263.67254332348824</v>
      </c>
      <c r="CC55" s="62">
        <f t="shared" si="11"/>
        <v>557.00587665682156</v>
      </c>
      <c r="CD55" s="62">
        <f ca="1">AVERAGE(OFFSET($CC$3,0,0,'Données projet'!$E$12+1,1))-AVERAGE(OFFSET($H$3,0,0,'Données projet'!$E$12+1,1))</f>
        <v>222.86701323374945</v>
      </c>
      <c r="CE55" s="62">
        <f t="shared" si="40"/>
        <v>149.63671045240511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5.4743904966622168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5.4743904966622168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6.4</v>
      </c>
      <c r="CT55" s="13">
        <f>IF('Données projet'!$A$140&gt;35,CT54+CS55-DB54,IF(A55&lt;'Données projet'!$A$140,$CQ$205^A55,IF(A55='Données projet'!$A$140,'Données projet'!$B$140,CT54+CS55-DB54)))</f>
        <v>203.80000000000007</v>
      </c>
      <c r="CU55" s="18">
        <f>CT55*VLOOKUP('Données projet'!$B$13,Paramètres!$A$1:$I$89,3,0)*VLOOKUP('Données projet'!$B$13,Paramètres!$A$1:$I$89,5,0)</f>
        <v>133.52976000000007</v>
      </c>
      <c r="CV55" s="14">
        <f t="shared" si="41"/>
        <v>34.810707184454238</v>
      </c>
      <c r="CW55" s="22">
        <f t="shared" si="13"/>
        <v>293.19298034625791</v>
      </c>
      <c r="CX55" s="62">
        <f t="shared" si="14"/>
        <v>586.52631367959123</v>
      </c>
      <c r="CY55" s="62">
        <f ca="1">AVERAGE(OFFSET($CX$3,0,0,'Données projet'!$E$13+1,1))-AVERAGE(OFFSET($H$3,0,0,'Données projet'!$E$13+1,1))</f>
        <v>173.15672762188746</v>
      </c>
      <c r="CZ55" s="62">
        <f t="shared" si="42"/>
        <v>208.54841796921414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8.7878897997514365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8.7878897997514365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14.12</v>
      </c>
      <c r="EJ55" s="13">
        <f>IF('Données projet'!$A$192&gt;35,EJ54+EI55-ER54,IF(A55&lt;'Données projet'!$A$192,$EG$205^A55,IF(A55='Données projet'!$A$192,'Données projet'!$B$192,EJ54+EI55-ER54)))</f>
        <v>327.98000000000019</v>
      </c>
      <c r="EK55" s="18">
        <f>EJ55*VLOOKUP('Données projet'!$B$15,Paramètres!$A$1:$I$89,3,0)*VLOOKUP('Données projet'!$B$15,Paramètres!$A$1:$I$89,5,0)</f>
        <v>196.13204000000013</v>
      </c>
      <c r="EL55" s="14">
        <f t="shared" si="45"/>
        <v>48.893143423385645</v>
      </c>
      <c r="EM55" s="22">
        <f t="shared" si="19"/>
        <v>426.75219446239686</v>
      </c>
      <c r="EN55" s="62">
        <f t="shared" si="20"/>
        <v>720.08552779573017</v>
      </c>
      <c r="EO55" s="62">
        <f ca="1">AVERAGE(OFFSET($EN$3,0,0,'Données projet'!$E$15+1,1))-AVERAGE(OFFSET($H$3,0,0,'Données projet'!$E$15+1,1))</f>
        <v>269.18638759204373</v>
      </c>
      <c r="EP55" s="62">
        <f t="shared" si="46"/>
        <v>197.07126167823969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41.853672413349933</v>
      </c>
      <c r="EW55" s="23">
        <f>EXP(-LN(2)/25)*EW54+(1-EXP(-LN(2)/25))/(LN(2)/25)*Calculateur!ER55*Calculateur!ET55*VLOOKUP('Données projet'!$B$15,Paramètres!$A$1:$I$89,3,0)*0.475*44/12</f>
        <v>16.58821238453082</v>
      </c>
      <c r="EX55" s="23">
        <f>EXP(-LN(2)/2)*EX54+(1-EXP(-LN(2)/2))/(LN(2)/2)*ER55*EU55*VLOOKUP('Données projet'!$B$15,Paramètres!$A$1:$I$89,3,0)*0.475*44/12</f>
        <v>3.2955984289186824</v>
      </c>
      <c r="EY55" s="24">
        <f t="shared" si="21"/>
        <v>61.737483226799434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16.348749999999995</v>
      </c>
      <c r="FE55" s="13">
        <f>IF('Données projet'!$A$218&gt;35,FE54+FD55-FM54,IF(A55&lt;'Données projet'!$A$218,$FB$205^A55,IF(A55='Données projet'!$A$218,'Données projet'!$B$218,FE54+FD55-FM54)))</f>
        <v>497.34500000000014</v>
      </c>
      <c r="FF55" s="18">
        <f>FE55*VLOOKUP('Données projet'!$B$16,Paramètres!$A$1:$I$89,3,0)*VLOOKUP('Données projet'!$B$16,Paramètres!$A$1:$I$89,5,0)</f>
        <v>297.4123100000001</v>
      </c>
      <c r="FG55" s="14">
        <f t="shared" si="47"/>
        <v>70.633711048255108</v>
      </c>
      <c r="FH55" s="22">
        <f t="shared" si="22"/>
        <v>641.01348665904447</v>
      </c>
      <c r="FI55" s="62">
        <f t="shared" si="23"/>
        <v>934.34681999237773</v>
      </c>
      <c r="FJ55" s="62">
        <f ca="1">AVERAGE(OFFSET($FI$3,0,0,'Données projet'!$E$16+1,1))-AVERAGE(OFFSET($H$3,0,0,'Données projet'!$E$16+1,1))</f>
        <v>330.48891719033065</v>
      </c>
      <c r="FK55" s="62">
        <f t="shared" si="48"/>
        <v>419.35494198427284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75.101303900940337</v>
      </c>
      <c r="FR55" s="23">
        <f>EXP(-LN(2)/25)*FR54+(1-EXP(-LN(2)/25))/(LN(2)/25)*Calculateur!FM55*Calculateur!FO55*VLOOKUP('Données projet'!$B$16,Paramètres!$A$1:$I$89,3,0)*0.475*44/12</f>
        <v>20.259324044112137</v>
      </c>
      <c r="FS55" s="23">
        <f>EXP(-LN(2)/2)*FS54+(1-EXP(-LN(2)/2))/(LN(2)/2)*FM55*FP55*VLOOKUP('Données projet'!$B$16,Paramètres!$A$1:$I$89,3,0)*0.475*44/12</f>
        <v>1.7879613538661445</v>
      </c>
      <c r="FT55" s="24">
        <f t="shared" si="24"/>
        <v>97.148589298918608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>
        <f>FZ55*VLOOKUP('Données projet'!$B$17,Paramètres!$A$1:$I$89,3,0)*VLOOKUP('Données projet'!$B$17,Paramètres!$A$1:$I$89,5,0)</f>
        <v>0</v>
      </c>
      <c r="GB55" s="14" t="e">
        <f t="shared" si="49"/>
        <v>#NUM!</v>
      </c>
      <c r="GC55" s="22" t="e">
        <f t="shared" si="25"/>
        <v>#NUM!</v>
      </c>
      <c r="GD55" s="62" t="e">
        <f t="shared" si="26"/>
        <v>#NUM!</v>
      </c>
      <c r="GE55" s="62">
        <f ca="1">AVERAGE(OFFSET($GD$3,0,0,'Données projet'!$E$17+1,1))-AVERAGE(OFFSET($H$3,0,0,'Données projet'!$E$17+1,1))</f>
        <v>132.18258156780018</v>
      </c>
      <c r="GF55" s="62">
        <f t="shared" si="50"/>
        <v>315.58133946947294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28.055865252269417</v>
      </c>
      <c r="GM55" s="23">
        <f>EXP(-LN(2)/25)*GM54+(1-EXP(-LN(2)/25))/(LN(2)/25)*Calculateur!GH55*Calculateur!GJ55*VLOOKUP('Données projet'!$B$17,Paramètres!$A$1:$I$89,3,0)*0.475*44/12</f>
        <v>10.081902424138319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38.137767676407734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9">
        <f t="shared" si="1"/>
        <v>362.90313432124293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9.5537500000000009</v>
      </c>
      <c r="N56" s="14">
        <f>IF('Données projet'!$A$36&gt;35,N55+M56-V55,IF(A56&lt;'Données projet'!$A$36,$K$205^A56,IF(A56='Données projet'!$A$36,'Données projet'!$B$36,N55+M56-V55)))</f>
        <v>188.10125000000016</v>
      </c>
      <c r="O56" s="14">
        <f>N56*VLOOKUP('Données projet'!$B$9,Paramètres!$A$1:$I$89,3,0)*VLOOKUP('Données projet'!$B$9,Paramètres!$A$1:$I$89,5,0)</f>
        <v>170.19401100000013</v>
      </c>
      <c r="P56" s="14">
        <f t="shared" si="33"/>
        <v>43.133472710542861</v>
      </c>
      <c r="Q56" s="22">
        <f t="shared" si="53"/>
        <v>371.54536746252899</v>
      </c>
      <c r="R56" s="62">
        <f t="shared" si="0"/>
        <v>664.8787007958623</v>
      </c>
      <c r="S56" s="62">
        <f ca="1">AVERAGE(OFFSET($R$3,0,0,'Données projet'!$E$9+1,1))-AVERAGE(OFFSET($H$3,0,0,'Données projet'!$E$9+1,1))</f>
        <v>401.86262166363821</v>
      </c>
      <c r="T56" s="62">
        <f t="shared" si="34"/>
        <v>208.60314230781432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5.8733656643042984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5.8733656643042984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9.5537500000000009</v>
      </c>
      <c r="AI56" s="14">
        <f>IF('Données projet'!$A$62&gt;35,AI55+AH56-AQ55,IF(A56&lt;'Données projet'!$A$62,$AF$205^A56,IF(A56='Données projet'!$A$62,'Données projet'!$B$62,AI55+AH56-AQ55)))</f>
        <v>188.10125000000016</v>
      </c>
      <c r="AJ56" s="14">
        <f>AI56*VLOOKUP('Données projet'!$B$10,Paramètres!$A$1:$I$89,3,0)*VLOOKUP('Données projet'!$B$10,Paramètres!$A$1:$I$89,5,0)</f>
        <v>202.47218550000019</v>
      </c>
      <c r="AK56" s="14">
        <f t="shared" si="35"/>
        <v>50.287090197355241</v>
      </c>
      <c r="AL56" s="22">
        <f t="shared" si="4"/>
        <v>440.22240517289401</v>
      </c>
      <c r="AM56" s="62">
        <f t="shared" si="5"/>
        <v>733.55573850622727</v>
      </c>
      <c r="AN56" s="62">
        <f ca="1">AVERAGE(OFFSET($AM$3,0,0,'Données projet'!$E$10+1,1))-AVERAGE(OFFSET($H$3,0,0,'Données projet'!$E$10+1,1))</f>
        <v>407.22515465568205</v>
      </c>
      <c r="AO56" s="62">
        <f t="shared" si="36"/>
        <v>251.6218558398258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6.9872798420171831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6.9872798420171831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9.5537500000000009</v>
      </c>
      <c r="BD56" s="13">
        <f>IF('Données projet'!$A$88&gt;35,BD55+BC56-BL55,IF(A56&lt;'Données projet'!$A$88,$BA$205^A56,IF(A56='Données projet'!$A$88,'Données projet'!$B$88,BD55+BC56-BL55)))</f>
        <v>188.10125000000016</v>
      </c>
      <c r="BE56" s="14">
        <f>BD56*VLOOKUP('Données projet'!$B$11,Paramètres!$A$1:$I$89,3,0)*VLOOKUP('Données projet'!$B$11,Paramètres!$A$1:$I$89,5,0)</f>
        <v>181.93152900000015</v>
      </c>
      <c r="BF56" s="14">
        <f t="shared" si="37"/>
        <v>45.751648470358951</v>
      </c>
      <c r="BG56" s="22">
        <f t="shared" si="7"/>
        <v>396.54820076087543</v>
      </c>
      <c r="BH56" s="62">
        <f t="shared" si="8"/>
        <v>689.88153409420875</v>
      </c>
      <c r="BI56" s="62">
        <f ca="1">AVERAGE(OFFSET($BH$3,0,0,'Données projet'!$E$11+1,1))-AVERAGE(OFFSET($H$3,0,0,'Données projet'!$E$11+1,1))</f>
        <v>357.76044008074308</v>
      </c>
      <c r="BJ56" s="62">
        <f t="shared" si="38"/>
        <v>224.26555772810445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6.2784253652908024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6.2784253652908024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9.5537500000000009</v>
      </c>
      <c r="BY56" s="13">
        <f>IF('Données projet'!$A$114&gt;35,BY55+BX56-CG55,IF(A56&lt;'Données projet'!$A$114,$BV$205^A56,IF(A56='Données projet'!$A$114,'Données projet'!$B$114,BY55+BX56-CG55)))</f>
        <v>188.10125000000016</v>
      </c>
      <c r="BZ56" s="14">
        <f>BY56*VLOOKUP('Données projet'!$B$12,Paramètres!$A$1:$I$89,3,0)*VLOOKUP('Données projet'!$B$12,Paramètres!$A$1:$I$89,5,0)</f>
        <v>126.17831850000012</v>
      </c>
      <c r="CA56" s="14">
        <f t="shared" si="39"/>
        <v>33.1117532624123</v>
      </c>
      <c r="CB56" s="22">
        <f t="shared" si="10"/>
        <v>277.43020831953498</v>
      </c>
      <c r="CC56" s="62">
        <f t="shared" si="11"/>
        <v>570.7635416528683</v>
      </c>
      <c r="CD56" s="62">
        <f ca="1">AVERAGE(OFFSET($CC$3,0,0,'Données projet'!$E$12+1,1))-AVERAGE(OFFSET($H$3,0,0,'Données projet'!$E$12+1,1))</f>
        <v>222.86701323374945</v>
      </c>
      <c r="CE56" s="62">
        <f t="shared" si="40"/>
        <v>149.63671045240511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5.3670410380711697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5.3670410380711697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6.4</v>
      </c>
      <c r="CT56" s="13">
        <f>IF('Données projet'!$A$140&gt;35,CT55+CS56-DB55,IF(A56&lt;'Données projet'!$A$140,$CQ$205^A56,IF(A56='Données projet'!$A$140,'Données projet'!$B$140,CT55+CS56-DB55)))</f>
        <v>210.20000000000007</v>
      </c>
      <c r="CU56" s="18">
        <f>CT56*VLOOKUP('Données projet'!$B$13,Paramètres!$A$1:$I$89,3,0)*VLOOKUP('Données projet'!$B$13,Paramètres!$A$1:$I$89,5,0)</f>
        <v>137.72304000000005</v>
      </c>
      <c r="CV56" s="14">
        <f t="shared" si="41"/>
        <v>35.774889172094717</v>
      </c>
      <c r="CW56" s="22">
        <f t="shared" si="13"/>
        <v>302.1755599747317</v>
      </c>
      <c r="CX56" s="62">
        <f t="shared" si="14"/>
        <v>595.50889330806501</v>
      </c>
      <c r="CY56" s="62">
        <f ca="1">AVERAGE(OFFSET($CX$3,0,0,'Données projet'!$E$13+1,1))-AVERAGE(OFFSET($H$3,0,0,'Données projet'!$E$13+1,1))</f>
        <v>173.15672762188746</v>
      </c>
      <c r="CZ56" s="62">
        <f t="shared" si="42"/>
        <v>208.54841796921414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8.6155646408618249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8.6155646408618249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14.12</v>
      </c>
      <c r="EJ56" s="13">
        <f>IF('Données projet'!$A$192&gt;35,EJ55+EI56-ER55,IF(A56&lt;'Données projet'!$A$192,$EG$205^A56,IF(A56='Données projet'!$A$192,'Données projet'!$B$192,EJ55+EI56-ER55)))</f>
        <v>342.10000000000019</v>
      </c>
      <c r="EK56" s="18">
        <f>EJ56*VLOOKUP('Données projet'!$B$15,Paramètres!$A$1:$I$89,3,0)*VLOOKUP('Données projet'!$B$15,Paramètres!$A$1:$I$89,5,0)</f>
        <v>204.57580000000013</v>
      </c>
      <c r="EL56" s="14">
        <f t="shared" si="45"/>
        <v>50.748462290021173</v>
      </c>
      <c r="EM56" s="22">
        <f t="shared" si="19"/>
        <v>444.68975682178706</v>
      </c>
      <c r="EN56" s="62">
        <f t="shared" si="20"/>
        <v>738.02309015512037</v>
      </c>
      <c r="EO56" s="62">
        <f ca="1">AVERAGE(OFFSET($EN$3,0,0,'Données projet'!$E$15+1,1))-AVERAGE(OFFSET($H$3,0,0,'Données projet'!$E$15+1,1))</f>
        <v>269.18638759204373</v>
      </c>
      <c r="EP56" s="62">
        <f t="shared" si="46"/>
        <v>197.07126167823969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41.032947425543611</v>
      </c>
      <c r="EW56" s="23">
        <f>EXP(-LN(2)/25)*EW55+(1-EXP(-LN(2)/25))/(LN(2)/25)*Calculateur!ER56*Calculateur!ET56*VLOOKUP('Données projet'!$B$15,Paramètres!$A$1:$I$89,3,0)*0.475*44/12</f>
        <v>16.134606844539647</v>
      </c>
      <c r="EX56" s="23">
        <f>EXP(-LN(2)/2)*EX55+(1-EXP(-LN(2)/2))/(LN(2)/2)*ER56*EU56*VLOOKUP('Données projet'!$B$15,Paramètres!$A$1:$I$89,3,0)*0.475*44/12</f>
        <v>2.3303399971561327</v>
      </c>
      <c r="EY56" s="24">
        <f t="shared" si="21"/>
        <v>59.497894267239388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16.348749999999995</v>
      </c>
      <c r="FE56" s="13">
        <f>IF('Données projet'!$A$218&gt;35,FE55+FD56-FM55,IF(A56&lt;'Données projet'!$A$218,$FB$205^A56,IF(A56='Données projet'!$A$218,'Données projet'!$B$218,FE55+FD56-FM55)))</f>
        <v>513.69375000000014</v>
      </c>
      <c r="FF56" s="18">
        <f>FE56*VLOOKUP('Données projet'!$B$16,Paramètres!$A$1:$I$89,3,0)*VLOOKUP('Données projet'!$B$16,Paramètres!$A$1:$I$89,5,0)</f>
        <v>307.18886250000008</v>
      </c>
      <c r="FG56" s="14">
        <f t="shared" si="47"/>
        <v>72.681441883905478</v>
      </c>
      <c r="FH56" s="22">
        <f t="shared" si="22"/>
        <v>661.60744680196888</v>
      </c>
      <c r="FI56" s="62">
        <f t="shared" si="23"/>
        <v>954.94078013530225</v>
      </c>
      <c r="FJ56" s="62">
        <f ca="1">AVERAGE(OFFSET($FI$3,0,0,'Données projet'!$E$16+1,1))-AVERAGE(OFFSET($H$3,0,0,'Données projet'!$E$16+1,1))</f>
        <v>330.48891719033065</v>
      </c>
      <c r="FK56" s="62">
        <f t="shared" si="48"/>
        <v>419.35494198427284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73.628613138715181</v>
      </c>
      <c r="FR56" s="23">
        <f>EXP(-LN(2)/25)*FR55+(1-EXP(-LN(2)/25))/(LN(2)/25)*Calculateur!FM56*Calculateur!FO56*VLOOKUP('Données projet'!$B$16,Paramètres!$A$1:$I$89,3,0)*0.475*44/12</f>
        <v>19.705331762734343</v>
      </c>
      <c r="FS56" s="23">
        <f>EXP(-LN(2)/2)*FS55+(1-EXP(-LN(2)/2))/(LN(2)/2)*FM56*FP56*VLOOKUP('Données projet'!$B$16,Paramètres!$A$1:$I$89,3,0)*0.475*44/12</f>
        <v>1.2642795978182313</v>
      </c>
      <c r="FT56" s="24">
        <f t="shared" si="24"/>
        <v>94.598224499267758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>
        <f>FZ56*VLOOKUP('Données projet'!$B$17,Paramètres!$A$1:$I$89,3,0)*VLOOKUP('Données projet'!$B$17,Paramètres!$A$1:$I$89,5,0)</f>
        <v>0</v>
      </c>
      <c r="GB56" s="14" t="e">
        <f t="shared" si="49"/>
        <v>#NUM!</v>
      </c>
      <c r="GC56" s="22" t="e">
        <f t="shared" si="25"/>
        <v>#NUM!</v>
      </c>
      <c r="GD56" s="62" t="e">
        <f t="shared" si="26"/>
        <v>#NUM!</v>
      </c>
      <c r="GE56" s="62">
        <f ca="1">AVERAGE(OFFSET($GD$3,0,0,'Données projet'!$E$17+1,1))-AVERAGE(OFFSET($H$3,0,0,'Données projet'!$E$17+1,1))</f>
        <v>132.18258156780018</v>
      </c>
      <c r="GF56" s="62">
        <f t="shared" si="50"/>
        <v>315.58133946947294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27.505706847060509</v>
      </c>
      <c r="GM56" s="23">
        <f>EXP(-LN(2)/25)*GM55+(1-EXP(-LN(2)/25))/(LN(2)/25)*Calculateur!GH56*Calculateur!GJ56*VLOOKUP('Données projet'!$B$17,Paramètres!$A$1:$I$89,3,0)*0.475*44/12</f>
        <v>9.8062122721660501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37.311919119226559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9">
        <f t="shared" si="1"/>
        <v>364.85410499706774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9.5537500000000009</v>
      </c>
      <c r="N57" s="14">
        <f>IF('Données projet'!$A$36&gt;35,N56+M57-V56,IF(A57&lt;'Données projet'!$A$36,$K$205^A57,IF(A57='Données projet'!$A$36,'Données projet'!$B$36,N56+M57-V56)))</f>
        <v>197.65500000000017</v>
      </c>
      <c r="O57" s="14">
        <f>N57*VLOOKUP('Données projet'!$B$9,Paramètres!$A$1:$I$89,3,0)*VLOOKUP('Données projet'!$B$9,Paramètres!$A$1:$I$89,5,0)</f>
        <v>178.83824400000015</v>
      </c>
      <c r="P57" s="14">
        <f t="shared" si="33"/>
        <v>45.06361953668285</v>
      </c>
      <c r="Q57" s="22">
        <f t="shared" si="53"/>
        <v>389.96241232638954</v>
      </c>
      <c r="R57" s="62">
        <f t="shared" si="0"/>
        <v>683.2957456597228</v>
      </c>
      <c r="S57" s="62">
        <f ca="1">AVERAGE(OFFSET($R$3,0,0,'Données projet'!$E$9+1,1))-AVERAGE(OFFSET($H$3,0,0,'Données projet'!$E$9+1,1))</f>
        <v>401.86262166363821</v>
      </c>
      <c r="T57" s="62">
        <f t="shared" si="34"/>
        <v>208.60314230781432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5.7581925460266135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5.7581925460266135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9.5537500000000009</v>
      </c>
      <c r="AI57" s="14">
        <f>IF('Données projet'!$A$62&gt;35,AI56+AH57-AQ56,IF(A57&lt;'Données projet'!$A$62,$AF$205^A57,IF(A57='Données projet'!$A$62,'Données projet'!$B$62,AI56+AH57-AQ56)))</f>
        <v>197.65500000000017</v>
      </c>
      <c r="AJ57" s="14">
        <f>AI57*VLOOKUP('Données projet'!$B$10,Paramètres!$A$1:$I$89,3,0)*VLOOKUP('Données projet'!$B$10,Paramètres!$A$1:$I$89,5,0)</f>
        <v>212.75584200000017</v>
      </c>
      <c r="AK57" s="14">
        <f t="shared" si="35"/>
        <v>52.537348788672297</v>
      </c>
      <c r="AL57" s="22">
        <f t="shared" si="4"/>
        <v>462.05230729027113</v>
      </c>
      <c r="AM57" s="62">
        <f t="shared" si="5"/>
        <v>755.38564062360444</v>
      </c>
      <c r="AN57" s="62">
        <f ca="1">AVERAGE(OFFSET($AM$3,0,0,'Données projet'!$E$10+1,1))-AVERAGE(OFFSET($H$3,0,0,'Données projet'!$E$10+1,1))</f>
        <v>407.22515465568205</v>
      </c>
      <c r="AO57" s="62">
        <f t="shared" si="36"/>
        <v>251.6218558398258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6.8502635461351105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6.8502635461351105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9.5537500000000009</v>
      </c>
      <c r="BD57" s="13">
        <f>IF('Données projet'!$A$88&gt;35,BD56+BC57-BL56,IF(A57&lt;'Données projet'!$A$88,$BA$205^A57,IF(A57='Données projet'!$A$88,'Données projet'!$B$88,BD56+BC57-BL56)))</f>
        <v>197.65500000000017</v>
      </c>
      <c r="BE57" s="14">
        <f>BD57*VLOOKUP('Données projet'!$B$11,Paramètres!$A$1:$I$89,3,0)*VLOOKUP('Données projet'!$B$11,Paramètres!$A$1:$I$89,5,0)</f>
        <v>191.17191600000018</v>
      </c>
      <c r="BF57" s="14">
        <f t="shared" si="37"/>
        <v>47.798954043882908</v>
      </c>
      <c r="BG57" s="22">
        <f t="shared" si="7"/>
        <v>416.20759865976305</v>
      </c>
      <c r="BH57" s="62">
        <f t="shared" si="8"/>
        <v>709.54093199309636</v>
      </c>
      <c r="BI57" s="62">
        <f ca="1">AVERAGE(OFFSET($BH$3,0,0,'Données projet'!$E$11+1,1))-AVERAGE(OFFSET($H$3,0,0,'Données projet'!$E$11+1,1))</f>
        <v>357.76044008074308</v>
      </c>
      <c r="BJ57" s="62">
        <f t="shared" si="38"/>
        <v>224.26555772810445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6.1553092733387951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6.1553092733387951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9.5537500000000009</v>
      </c>
      <c r="BY57" s="13">
        <f>IF('Données projet'!$A$114&gt;35,BY56+BX57-CG56,IF(A57&lt;'Données projet'!$A$114,$BV$205^A57,IF(A57='Données projet'!$A$114,'Données projet'!$B$114,BY56+BX57-CG56)))</f>
        <v>197.65500000000017</v>
      </c>
      <c r="BZ57" s="14">
        <f>BY57*VLOOKUP('Données projet'!$B$12,Paramètres!$A$1:$I$89,3,0)*VLOOKUP('Données projet'!$B$12,Paramètres!$A$1:$I$89,5,0)</f>
        <v>132.58697400000014</v>
      </c>
      <c r="CA57" s="14">
        <f t="shared" si="39"/>
        <v>34.59344581928714</v>
      </c>
      <c r="CB57" s="22">
        <f t="shared" si="10"/>
        <v>291.17256451859203</v>
      </c>
      <c r="CC57" s="62">
        <f t="shared" si="11"/>
        <v>584.50589785192528</v>
      </c>
      <c r="CD57" s="62">
        <f ca="1">AVERAGE(OFFSET($CC$3,0,0,'Données projet'!$E$12+1,1))-AVERAGE(OFFSET($H$3,0,0,'Données projet'!$E$12+1,1))</f>
        <v>222.86701323374945</v>
      </c>
      <c r="CE57" s="62">
        <f t="shared" si="40"/>
        <v>149.63671045240511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5.2617966368863893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5.2617966368863893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6.4</v>
      </c>
      <c r="CT57" s="13">
        <f>IF('Données projet'!$A$140&gt;35,CT56+CS57-DB56,IF(A57&lt;'Données projet'!$A$140,$CQ$205^A57,IF(A57='Données projet'!$A$140,'Données projet'!$B$140,CT56+CS57-DB56)))</f>
        <v>216.60000000000008</v>
      </c>
      <c r="CU57" s="18">
        <f>CT57*VLOOKUP('Données projet'!$B$13,Paramètres!$A$1:$I$89,3,0)*VLOOKUP('Données projet'!$B$13,Paramètres!$A$1:$I$89,5,0)</f>
        <v>141.91632000000007</v>
      </c>
      <c r="CV57" s="14">
        <f t="shared" si="41"/>
        <v>36.735659538535245</v>
      </c>
      <c r="CW57" s="22">
        <f t="shared" si="13"/>
        <v>311.15219769628237</v>
      </c>
      <c r="CX57" s="62">
        <f t="shared" si="14"/>
        <v>604.48553102961569</v>
      </c>
      <c r="CY57" s="62">
        <f ca="1">AVERAGE(OFFSET($CX$3,0,0,'Données projet'!$E$13+1,1))-AVERAGE(OFFSET($H$3,0,0,'Données projet'!$E$13+1,1))</f>
        <v>173.15672762188746</v>
      </c>
      <c r="CZ57" s="62">
        <f t="shared" si="42"/>
        <v>208.54841796921414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8.4466186732300699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8.4466186732300699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14.12</v>
      </c>
      <c r="EJ57" s="13">
        <f>IF('Données projet'!$A$192&gt;35,EJ56+EI57-ER56,IF(A57&lt;'Données projet'!$A$192,$EG$205^A57,IF(A57='Données projet'!$A$192,'Données projet'!$B$192,EJ56+EI57-ER56)))</f>
        <v>356.2200000000002</v>
      </c>
      <c r="EK57" s="18">
        <f>EJ57*VLOOKUP('Données projet'!$B$15,Paramètres!$A$1:$I$89,3,0)*VLOOKUP('Données projet'!$B$15,Paramètres!$A$1:$I$89,5,0)</f>
        <v>213.01956000000015</v>
      </c>
      <c r="EL57" s="14">
        <f t="shared" si="45"/>
        <v>52.594886266766075</v>
      </c>
      <c r="EM57" s="22">
        <f t="shared" si="19"/>
        <v>462.61182724795117</v>
      </c>
      <c r="EN57" s="62">
        <f t="shared" si="20"/>
        <v>755.94516058128443</v>
      </c>
      <c r="EO57" s="62">
        <f ca="1">AVERAGE(OFFSET($EN$3,0,0,'Données projet'!$E$15+1,1))-AVERAGE(OFFSET($H$3,0,0,'Données projet'!$E$15+1,1))</f>
        <v>269.18638759204373</v>
      </c>
      <c r="EP57" s="62">
        <f t="shared" si="46"/>
        <v>197.07126167823969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40.228316354155361</v>
      </c>
      <c r="EW57" s="23">
        <f>EXP(-LN(2)/25)*EW56+(1-EXP(-LN(2)/25))/(LN(2)/25)*Calculateur!ER57*Calculateur!ET57*VLOOKUP('Données projet'!$B$15,Paramètres!$A$1:$I$89,3,0)*0.475*44/12</f>
        <v>15.693405171893613</v>
      </c>
      <c r="EX57" s="23">
        <f>EXP(-LN(2)/2)*EX56+(1-EXP(-LN(2)/2))/(LN(2)/2)*ER57*EU57*VLOOKUP('Données projet'!$B$15,Paramètres!$A$1:$I$89,3,0)*0.475*44/12</f>
        <v>1.6477992144593414</v>
      </c>
      <c r="EY57" s="24">
        <f t="shared" si="21"/>
        <v>57.56952074050831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16.348749999999995</v>
      </c>
      <c r="FE57" s="13">
        <f>IF('Données projet'!$A$218&gt;35,FE56+FD57-FM56,IF(A57&lt;'Données projet'!$A$218,$FB$205^A57,IF(A57='Données projet'!$A$218,'Données projet'!$B$218,FE56+FD57-FM56)))</f>
        <v>530.04250000000013</v>
      </c>
      <c r="FF57" s="18">
        <f>FE57*VLOOKUP('Données projet'!$B$16,Paramètres!$A$1:$I$89,3,0)*VLOOKUP('Données projet'!$B$16,Paramètres!$A$1:$I$89,5,0)</f>
        <v>316.96541500000012</v>
      </c>
      <c r="FG57" s="14">
        <f t="shared" si="47"/>
        <v>74.721599519918101</v>
      </c>
      <c r="FH57" s="22">
        <f t="shared" si="22"/>
        <v>682.18821695552413</v>
      </c>
      <c r="FI57" s="62">
        <f t="shared" si="23"/>
        <v>975.5215502888575</v>
      </c>
      <c r="FJ57" s="62">
        <f ca="1">AVERAGE(OFFSET($FI$3,0,0,'Données projet'!$E$16+1,1))-AVERAGE(OFFSET($H$3,0,0,'Données projet'!$E$16+1,1))</f>
        <v>330.48891719033065</v>
      </c>
      <c r="FK57" s="62">
        <f t="shared" si="48"/>
        <v>419.35494198427284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72.1848009440846</v>
      </c>
      <c r="FR57" s="23">
        <f>EXP(-LN(2)/25)*FR56+(1-EXP(-LN(2)/25))/(LN(2)/25)*Calculateur!FM57*Calculateur!FO57*VLOOKUP('Données projet'!$B$16,Paramètres!$A$1:$I$89,3,0)*0.475*44/12</f>
        <v>19.16648842942401</v>
      </c>
      <c r="FS57" s="23">
        <f>EXP(-LN(2)/2)*FS56+(1-EXP(-LN(2)/2))/(LN(2)/2)*FM57*FP57*VLOOKUP('Données projet'!$B$16,Paramètres!$A$1:$I$89,3,0)*0.475*44/12</f>
        <v>0.89398067693307248</v>
      </c>
      <c r="FT57" s="24">
        <f t="shared" si="24"/>
        <v>92.245270050441675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>
        <f>FZ57*VLOOKUP('Données projet'!$B$17,Paramètres!$A$1:$I$89,3,0)*VLOOKUP('Données projet'!$B$17,Paramètres!$A$1:$I$89,5,0)</f>
        <v>0</v>
      </c>
      <c r="GB57" s="14" t="e">
        <f t="shared" si="49"/>
        <v>#NUM!</v>
      </c>
      <c r="GC57" s="22" t="e">
        <f t="shared" si="25"/>
        <v>#NUM!</v>
      </c>
      <c r="GD57" s="62" t="e">
        <f t="shared" si="26"/>
        <v>#NUM!</v>
      </c>
      <c r="GE57" s="62">
        <f ca="1">AVERAGE(OFFSET($GD$3,0,0,'Données projet'!$E$17+1,1))-AVERAGE(OFFSET($H$3,0,0,'Données projet'!$E$17+1,1))</f>
        <v>132.18258156780018</v>
      </c>
      <c r="GF57" s="62">
        <f t="shared" si="50"/>
        <v>315.58133946947294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26.966336712614254</v>
      </c>
      <c r="GM57" s="23">
        <f>EXP(-LN(2)/25)*GM56+(1-EXP(-LN(2)/25))/(LN(2)/25)*Calculateur!GH57*Calculateur!GJ57*VLOOKUP('Données projet'!$B$17,Paramètres!$A$1:$I$89,3,0)*0.475*44/12</f>
        <v>9.538060881897378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36.50439759451163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9">
        <f t="shared" si="1"/>
        <v>366.80420941611692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9.5537500000000009</v>
      </c>
      <c r="N58" s="14">
        <f>IF('Données projet'!$A$36&gt;35,N57+M58-V57,IF(A58&lt;'Données projet'!$A$36,$K$205^A58,IF(A58='Données projet'!$A$36,'Données projet'!$B$36,N57+M58-V57)))</f>
        <v>207.20875000000018</v>
      </c>
      <c r="O58" s="14">
        <f>N58*VLOOKUP('Données projet'!$B$9,Paramètres!$A$1:$I$89,3,0)*VLOOKUP('Données projet'!$B$9,Paramètres!$A$1:$I$89,5,0)</f>
        <v>187.48247700000016</v>
      </c>
      <c r="P58" s="14">
        <f t="shared" si="33"/>
        <v>46.982932911694917</v>
      </c>
      <c r="Q58" s="22">
        <f t="shared" si="53"/>
        <v>408.3605889295356</v>
      </c>
      <c r="R58" s="62">
        <f t="shared" si="0"/>
        <v>701.69392226286891</v>
      </c>
      <c r="S58" s="62">
        <f ca="1">AVERAGE(OFFSET($R$3,0,0,'Données projet'!$E$9+1,1))-AVERAGE(OFFSET($H$3,0,0,'Données projet'!$E$9+1,1))</f>
        <v>401.86262166363821</v>
      </c>
      <c r="T58" s="62">
        <f t="shared" si="34"/>
        <v>208.60314230781432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5.6452779023496884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5.6452779023496884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9.5537500000000009</v>
      </c>
      <c r="AI58" s="14">
        <f>IF('Données projet'!$A$62&gt;35,AI57+AH58-AQ57,IF(A58&lt;'Données projet'!$A$62,$AF$205^A58,IF(A58='Données projet'!$A$62,'Données projet'!$B$62,AI57+AH58-AQ57)))</f>
        <v>207.20875000000018</v>
      </c>
      <c r="AJ58" s="14">
        <f>AI58*VLOOKUP('Données projet'!$B$10,Paramètres!$A$1:$I$89,3,0)*VLOOKUP('Données projet'!$B$10,Paramètres!$A$1:$I$89,5,0)</f>
        <v>223.03949850000021</v>
      </c>
      <c r="AK58" s="14">
        <f t="shared" si="35"/>
        <v>54.774977218312529</v>
      </c>
      <c r="AL58" s="22">
        <f t="shared" si="4"/>
        <v>483.86021187606133</v>
      </c>
      <c r="AM58" s="62">
        <f t="shared" si="5"/>
        <v>777.19354520939464</v>
      </c>
      <c r="AN58" s="62">
        <f ca="1">AVERAGE(OFFSET($AM$3,0,0,'Données projet'!$E$10+1,1))-AVERAGE(OFFSET($H$3,0,0,'Données projet'!$E$10+1,1))</f>
        <v>407.22515465568205</v>
      </c>
      <c r="AO58" s="62">
        <f t="shared" si="36"/>
        <v>251.6218558398258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6.7159340562435963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6.7159340562435963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9.5537500000000009</v>
      </c>
      <c r="BD58" s="13">
        <f>IF('Données projet'!$A$88&gt;35,BD57+BC58-BL57,IF(A58&lt;'Données projet'!$A$88,$BA$205^A58,IF(A58='Données projet'!$A$88,'Données projet'!$B$88,BD57+BC58-BL57)))</f>
        <v>207.20875000000018</v>
      </c>
      <c r="BE58" s="14">
        <f>BD58*VLOOKUP('Données projet'!$B$11,Paramètres!$A$1:$I$89,3,0)*VLOOKUP('Données projet'!$B$11,Paramètres!$A$1:$I$89,5,0)</f>
        <v>200.41230300000018</v>
      </c>
      <c r="BF58" s="14">
        <f t="shared" si="37"/>
        <v>49.834768582334036</v>
      </c>
      <c r="BG58" s="22">
        <f t="shared" si="7"/>
        <v>435.84698300589872</v>
      </c>
      <c r="BH58" s="62">
        <f t="shared" si="8"/>
        <v>729.18031633923204</v>
      </c>
      <c r="BI58" s="62">
        <f ca="1">AVERAGE(OFFSET($BH$3,0,0,'Données projet'!$E$11+1,1))-AVERAGE(OFFSET($H$3,0,0,'Données projet'!$E$11+1,1))</f>
        <v>357.76044008074308</v>
      </c>
      <c r="BJ58" s="62">
        <f t="shared" si="38"/>
        <v>224.26555772810445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6.0346074128565652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6.0346074128565652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9.5537500000000009</v>
      </c>
      <c r="BY58" s="13">
        <f>IF('Données projet'!$A$114&gt;35,BY57+BX58-CG57,IF(A58&lt;'Données projet'!$A$114,$BV$205^A58,IF(A58='Données projet'!$A$114,'Données projet'!$B$114,BY57+BX58-CG57)))</f>
        <v>207.20875000000018</v>
      </c>
      <c r="BZ58" s="14">
        <f>BY58*VLOOKUP('Données projet'!$B$12,Paramètres!$A$1:$I$89,3,0)*VLOOKUP('Données projet'!$B$12,Paramètres!$A$1:$I$89,5,0)</f>
        <v>138.99562950000012</v>
      </c>
      <c r="CA58" s="14">
        <f t="shared" si="39"/>
        <v>36.066821991271404</v>
      </c>
      <c r="CB58" s="22">
        <f t="shared" si="10"/>
        <v>304.9004363472979</v>
      </c>
      <c r="CC58" s="62">
        <f t="shared" si="11"/>
        <v>598.23376968063121</v>
      </c>
      <c r="CD58" s="62">
        <f ca="1">AVERAGE(OFFSET($CC$3,0,0,'Données projet'!$E$12+1,1))-AVERAGE(OFFSET($H$3,0,0,'Données projet'!$E$12+1,1))</f>
        <v>222.86701323374945</v>
      </c>
      <c r="CE58" s="62">
        <f t="shared" si="40"/>
        <v>149.63671045240511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5.1586160142160962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5.1586160142160962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223</v>
      </c>
      <c r="CR58" s="13">
        <f>VLOOKUP(A58,'Données projet'!$A$139:$I$159,9,0)</f>
        <v>6.4</v>
      </c>
      <c r="CS58" s="13">
        <f t="array" ref="CS58">INDEX(CR:CR,MIN(IF(ISNUMBER(CR58:CR254),ROW(CR58:CR254),"")))</f>
        <v>6.4</v>
      </c>
      <c r="CT58" s="13">
        <f>IF('Données projet'!$A$140&gt;35,CT57+CS58-DB57,IF(A58&lt;'Données projet'!$A$140,$CQ$205^A58,IF(A58='Données projet'!$A$140,'Données projet'!$B$140,CT57+CS58-DB57)))</f>
        <v>223.00000000000009</v>
      </c>
      <c r="CU58" s="18">
        <f>CT58*VLOOKUP('Données projet'!$B$13,Paramètres!$A$1:$I$89,3,0)*VLOOKUP('Données projet'!$B$13,Paramètres!$A$1:$I$89,5,0)</f>
        <v>146.10960000000006</v>
      </c>
      <c r="CV58" s="14">
        <f t="shared" si="41"/>
        <v>37.693130662388469</v>
      </c>
      <c r="CW58" s="22">
        <f t="shared" si="13"/>
        <v>320.12308923699328</v>
      </c>
      <c r="CX58" s="62">
        <f t="shared" si="14"/>
        <v>613.45642257032659</v>
      </c>
      <c r="CY58" s="62">
        <f ca="1">AVERAGE(OFFSET($CX$3,0,0,'Données projet'!$E$13+1,1))-AVERAGE(OFFSET($H$3,0,0,'Données projet'!$E$13+1,1))</f>
        <v>173.15672762188746</v>
      </c>
      <c r="CZ58" s="62">
        <f t="shared" si="42"/>
        <v>208.54841796921414</v>
      </c>
      <c r="DA58" s="16">
        <f>IF(ISNA(VLOOKUP(A58,'Données projet'!$A$139:$I$159,3,0)),0,VLOOKUP(A58,'Données projet'!$A$139:$I$159,3,0))</f>
        <v>10</v>
      </c>
      <c r="DB58" s="16">
        <f>IF(ISNA(VLOOKUP(A58,'Données projet'!$A$139:$I$159,4,0)),0,VLOOKUP(A58,'Données projet'!$A$139:$I$159,4,0))</f>
        <v>23</v>
      </c>
      <c r="DC58" s="17">
        <f>IF(ISNA(VLOOKUP(A58,'Données projet'!$A$139:$I$159,5,0)),0%,VLOOKUP(A58,'Données projet'!$A$139:$I$159,5,0)*VLOOKUP('Données projet'!$B$13,Paramètres!$A$1:$I$89,7,0))</f>
        <v>0.17200000000000001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11.146333019179185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11.146333019179185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14.12</v>
      </c>
      <c r="EJ58" s="13">
        <f>IF('Données projet'!$A$192&gt;35,EJ57+EI58-ER57,IF(A58&lt;'Données projet'!$A$192,$EG$205^A58,IF(A58='Données projet'!$A$192,'Données projet'!$B$192,EJ57+EI58-ER57)))</f>
        <v>370.3400000000002</v>
      </c>
      <c r="EK58" s="18">
        <f>EJ58*VLOOKUP('Données projet'!$B$15,Paramètres!$A$1:$I$89,3,0)*VLOOKUP('Données projet'!$B$15,Paramètres!$A$1:$I$89,5,0)</f>
        <v>221.46332000000012</v>
      </c>
      <c r="EL58" s="14">
        <f t="shared" si="45"/>
        <v>54.432808276273747</v>
      </c>
      <c r="EM58" s="22">
        <f t="shared" si="19"/>
        <v>480.51909008117696</v>
      </c>
      <c r="EN58" s="62">
        <f t="shared" si="20"/>
        <v>773.85242341451021</v>
      </c>
      <c r="EO58" s="62">
        <f ca="1">AVERAGE(OFFSET($EN$3,0,0,'Données projet'!$E$15+1,1))-AVERAGE(OFFSET($H$3,0,0,'Données projet'!$E$15+1,1))</f>
        <v>269.18638759204373</v>
      </c>
      <c r="EP58" s="62">
        <f t="shared" si="46"/>
        <v>197.07126167823969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39.439463607300539</v>
      </c>
      <c r="EW58" s="23">
        <f>EXP(-LN(2)/25)*EW57+(1-EXP(-LN(2)/25))/(LN(2)/25)*Calculateur!ER58*Calculateur!ET58*VLOOKUP('Données projet'!$B$15,Paramètres!$A$1:$I$89,3,0)*0.475*44/12</f>
        <v>15.264268182187871</v>
      </c>
      <c r="EX58" s="23">
        <f>EXP(-LN(2)/2)*EX57+(1-EXP(-LN(2)/2))/(LN(2)/2)*ER58*EU58*VLOOKUP('Données projet'!$B$15,Paramètres!$A$1:$I$89,3,0)*0.475*44/12</f>
        <v>1.1651699985780666</v>
      </c>
      <c r="EY58" s="24">
        <f t="shared" si="21"/>
        <v>55.868901788066474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16.348749999999995</v>
      </c>
      <c r="FE58" s="13">
        <f>IF('Données projet'!$A$218&gt;35,FE57+FD58-FM57,IF(A58&lt;'Données projet'!$A$218,$FB$205^A58,IF(A58='Données projet'!$A$218,'Données projet'!$B$218,FE57+FD58-FM57)))</f>
        <v>546.39125000000013</v>
      </c>
      <c r="FF58" s="18">
        <f>FE58*VLOOKUP('Données projet'!$B$16,Paramètres!$A$1:$I$89,3,0)*VLOOKUP('Données projet'!$B$16,Paramètres!$A$1:$I$89,5,0)</f>
        <v>326.7419675000001</v>
      </c>
      <c r="FG58" s="14">
        <f t="shared" si="47"/>
        <v>76.754444351767347</v>
      </c>
      <c r="FH58" s="22">
        <f t="shared" si="22"/>
        <v>702.75625064182839</v>
      </c>
      <c r="FI58" s="62">
        <f t="shared" si="23"/>
        <v>996.08958397516176</v>
      </c>
      <c r="FJ58" s="62">
        <f ca="1">AVERAGE(OFFSET($FI$3,0,0,'Données projet'!$E$16+1,1))-AVERAGE(OFFSET($H$3,0,0,'Données projet'!$E$16+1,1))</f>
        <v>330.48891719033065</v>
      </c>
      <c r="FK58" s="62">
        <f t="shared" si="48"/>
        <v>419.35494198427284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70.769301025952231</v>
      </c>
      <c r="FR58" s="23">
        <f>EXP(-LN(2)/25)*FR57+(1-EXP(-LN(2)/25))/(LN(2)/25)*Calculateur!FM58*Calculateur!FO58*VLOOKUP('Données projet'!$B$16,Paramètres!$A$1:$I$89,3,0)*0.475*44/12</f>
        <v>18.642379795399592</v>
      </c>
      <c r="FS58" s="23">
        <f>EXP(-LN(2)/2)*FS57+(1-EXP(-LN(2)/2))/(LN(2)/2)*FM58*FP58*VLOOKUP('Données projet'!$B$16,Paramètres!$A$1:$I$89,3,0)*0.475*44/12</f>
        <v>0.63213979890911576</v>
      </c>
      <c r="FT58" s="24">
        <f t="shared" si="24"/>
        <v>90.043820620260945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>
        <f>FZ58*VLOOKUP('Données projet'!$B$17,Paramètres!$A$1:$I$89,3,0)*VLOOKUP('Données projet'!$B$17,Paramètres!$A$1:$I$89,5,0)</f>
        <v>0</v>
      </c>
      <c r="GB58" s="14" t="e">
        <f t="shared" si="49"/>
        <v>#NUM!</v>
      </c>
      <c r="GC58" s="22" t="e">
        <f t="shared" si="25"/>
        <v>#NUM!</v>
      </c>
      <c r="GD58" s="62" t="e">
        <f t="shared" si="26"/>
        <v>#NUM!</v>
      </c>
      <c r="GE58" s="62">
        <f ca="1">AVERAGE(OFFSET($GD$3,0,0,'Données projet'!$E$17+1,1))-AVERAGE(OFFSET($H$3,0,0,'Données projet'!$E$17+1,1))</f>
        <v>132.18258156780018</v>
      </c>
      <c r="GF58" s="62">
        <f t="shared" si="50"/>
        <v>315.58133946947294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26.437543297521195</v>
      </c>
      <c r="GM58" s="23">
        <f>EXP(-LN(2)/25)*GM57+(1-EXP(-LN(2)/25))/(LN(2)/25)*Calculateur!GH58*Calculateur!GJ58*VLOOKUP('Données projet'!$B$17,Paramètres!$A$1:$I$89,3,0)*0.475*44/12</f>
        <v>9.2772421054970717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35.714785403018269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9">
        <f t="shared" si="1"/>
        <v>368.75346514518651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9.5537500000000009</v>
      </c>
      <c r="N59" s="14">
        <f>IF('Données projet'!$A$36&gt;35,N58+M59-V58,IF(A59&lt;'Données projet'!$A$36,$K$205^A59,IF(A59='Données projet'!$A$36,'Données projet'!$B$36,N58+M59-V58)))</f>
        <v>216.76250000000019</v>
      </c>
      <c r="O59" s="14">
        <f>N59*VLOOKUP('Données projet'!$B$9,Paramètres!$A$1:$I$89,3,0)*VLOOKUP('Données projet'!$B$9,Paramètres!$A$1:$I$89,5,0)</f>
        <v>196.12671000000017</v>
      </c>
      <c r="P59" s="14">
        <f t="shared" si="33"/>
        <v>48.891969383051702</v>
      </c>
      <c r="Q59" s="22">
        <f t="shared" si="53"/>
        <v>426.74086659214868</v>
      </c>
      <c r="R59" s="62">
        <f t="shared" si="0"/>
        <v>720.07419992548193</v>
      </c>
      <c r="S59" s="62">
        <f ca="1">AVERAGE(OFFSET($R$3,0,0,'Données projet'!$E$9+1,1))-AVERAGE(OFFSET($H$3,0,0,'Données projet'!$E$9+1,1))</f>
        <v>401.86262166363821</v>
      </c>
      <c r="T59" s="62">
        <f t="shared" si="34"/>
        <v>208.60314230781432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5.5345774459641355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5.5345774459641355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9.5537500000000009</v>
      </c>
      <c r="AI59" s="14">
        <f>IF('Données projet'!$A$62&gt;35,AI58+AH59-AQ58,IF(A59&lt;'Données projet'!$A$62,$AF$205^A59,IF(A59='Données projet'!$A$62,'Données projet'!$B$62,AI58+AH59-AQ58)))</f>
        <v>216.76250000000019</v>
      </c>
      <c r="AJ59" s="14">
        <f>AI59*VLOOKUP('Données projet'!$B$10,Paramètres!$A$1:$I$89,3,0)*VLOOKUP('Données projet'!$B$10,Paramètres!$A$1:$I$89,5,0)</f>
        <v>233.32315500000018</v>
      </c>
      <c r="AK59" s="14">
        <f t="shared" si="35"/>
        <v>57.000624336257076</v>
      </c>
      <c r="AL59" s="22">
        <f t="shared" si="4"/>
        <v>505.64724901064801</v>
      </c>
      <c r="AM59" s="62">
        <f t="shared" si="5"/>
        <v>798.98058234398127</v>
      </c>
      <c r="AN59" s="62">
        <f ca="1">AVERAGE(OFFSET($AM$3,0,0,'Données projet'!$E$10+1,1))-AVERAGE(OFFSET($H$3,0,0,'Données projet'!$E$10+1,1))</f>
        <v>407.22515465568205</v>
      </c>
      <c r="AO59" s="62">
        <f t="shared" si="36"/>
        <v>251.6218558398258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6.5842386857159561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6.5842386857159561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9.5537500000000009</v>
      </c>
      <c r="BD59" s="13">
        <f>IF('Données projet'!$A$88&gt;35,BD58+BC59-BL58,IF(A59&lt;'Données projet'!$A$88,$BA$205^A59,IF(A59='Données projet'!$A$88,'Données projet'!$B$88,BD58+BC59-BL58)))</f>
        <v>216.76250000000019</v>
      </c>
      <c r="BE59" s="14">
        <f>BD59*VLOOKUP('Données projet'!$B$11,Paramètres!$A$1:$I$89,3,0)*VLOOKUP('Données projet'!$B$11,Paramètres!$A$1:$I$89,5,0)</f>
        <v>209.65269000000021</v>
      </c>
      <c r="BF59" s="14">
        <f t="shared" si="37"/>
        <v>51.859682415280766</v>
      </c>
      <c r="BG59" s="22">
        <f t="shared" si="7"/>
        <v>455.46738195661436</v>
      </c>
      <c r="BH59" s="62">
        <f t="shared" si="8"/>
        <v>748.80071528994768</v>
      </c>
      <c r="BI59" s="62">
        <f ca="1">AVERAGE(OFFSET($BH$3,0,0,'Données projet'!$E$11+1,1))-AVERAGE(OFFSET($H$3,0,0,'Données projet'!$E$11+1,1))</f>
        <v>357.76044008074308</v>
      </c>
      <c r="BJ59" s="62">
        <f t="shared" si="38"/>
        <v>224.26555772810445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5.9162724422375259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5.9162724422375259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9.5537500000000009</v>
      </c>
      <c r="BY59" s="13">
        <f>IF('Données projet'!$A$114&gt;35,BY58+BX59-CG58,IF(A59&lt;'Données projet'!$A$114,$BV$205^A59,IF(A59='Données projet'!$A$114,'Données projet'!$B$114,BY58+BX59-CG58)))</f>
        <v>216.76250000000019</v>
      </c>
      <c r="BZ59" s="14">
        <f>BY59*VLOOKUP('Données projet'!$B$12,Paramètres!$A$1:$I$89,3,0)*VLOOKUP('Données projet'!$B$12,Paramètres!$A$1:$I$89,5,0)</f>
        <v>145.40428500000013</v>
      </c>
      <c r="CA59" s="14">
        <f t="shared" si="39"/>
        <v>37.532309016457305</v>
      </c>
      <c r="CB59" s="22">
        <f t="shared" si="10"/>
        <v>318.61456791199669</v>
      </c>
      <c r="CC59" s="62">
        <f t="shared" si="11"/>
        <v>611.94790124533006</v>
      </c>
      <c r="CD59" s="62">
        <f ca="1">AVERAGE(OFFSET($CC$3,0,0,'Données projet'!$E$12+1,1))-AVERAGE(OFFSET($H$3,0,0,'Données projet'!$E$12+1,1))</f>
        <v>222.86701323374945</v>
      </c>
      <c r="CE59" s="62">
        <f t="shared" si="40"/>
        <v>149.63671045240511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5.0574587006224014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5.0574587006224014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5.8</v>
      </c>
      <c r="CT59" s="13">
        <f>IF('Données projet'!$A$140&gt;35,CT58+CS59-DB58,IF(A59&lt;'Données projet'!$A$140,$CQ$205^A59,IF(A59='Données projet'!$A$140,'Données projet'!$B$140,CT58+CS59-DB58)))</f>
        <v>205.8000000000001</v>
      </c>
      <c r="CU59" s="18">
        <f>CT59*VLOOKUP('Données projet'!$B$13,Paramètres!$A$1:$I$89,3,0)*VLOOKUP('Données projet'!$B$13,Paramètres!$A$1:$I$89,5,0)</f>
        <v>134.84016000000005</v>
      </c>
      <c r="CV59" s="14">
        <f t="shared" si="41"/>
        <v>35.112387625030664</v>
      </c>
      <c r="CW59" s="22">
        <f t="shared" si="13"/>
        <v>296.00068711359518</v>
      </c>
      <c r="CX59" s="62">
        <f t="shared" si="14"/>
        <v>589.33402044692843</v>
      </c>
      <c r="CY59" s="62">
        <f ca="1">AVERAGE(OFFSET($CX$3,0,0,'Données projet'!$E$13+1,1))-AVERAGE(OFFSET($H$3,0,0,'Données projet'!$E$13+1,1))</f>
        <v>173.15672762188746</v>
      </c>
      <c r="CZ59" s="62">
        <f t="shared" si="42"/>
        <v>208.54841796921414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10.927760227264917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10.927760227264917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14.12</v>
      </c>
      <c r="EJ59" s="13">
        <f>IF('Données projet'!$A$192&gt;35,EJ58+EI59-ER58,IF(A59&lt;'Données projet'!$A$192,$EG$205^A59,IF(A59='Données projet'!$A$192,'Données projet'!$B$192,EJ58+EI59-ER58)))</f>
        <v>384.46000000000021</v>
      </c>
      <c r="EK59" s="18">
        <f>EJ59*VLOOKUP('Données projet'!$B$15,Paramètres!$A$1:$I$89,3,0)*VLOOKUP('Données projet'!$B$15,Paramètres!$A$1:$I$89,5,0)</f>
        <v>229.90708000000015</v>
      </c>
      <c r="EL59" s="14">
        <f t="shared" si="45"/>
        <v>56.262589582193186</v>
      </c>
      <c r="EM59" s="22">
        <f t="shared" si="19"/>
        <v>498.41217452232013</v>
      </c>
      <c r="EN59" s="62">
        <f t="shared" si="20"/>
        <v>791.74550785565339</v>
      </c>
      <c r="EO59" s="62">
        <f ca="1">AVERAGE(OFFSET($EN$3,0,0,'Données projet'!$E$15+1,1))-AVERAGE(OFFSET($H$3,0,0,'Données projet'!$E$15+1,1))</f>
        <v>269.18638759204373</v>
      </c>
      <c r="EP59" s="62">
        <f t="shared" si="46"/>
        <v>197.07126167823969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38.666079781658873</v>
      </c>
      <c r="EW59" s="23">
        <f>EXP(-LN(2)/25)*EW58+(1-EXP(-LN(2)/25))/(LN(2)/25)*Calculateur!ER59*Calculateur!ET59*VLOOKUP('Données projet'!$B$15,Paramètres!$A$1:$I$89,3,0)*0.475*44/12</f>
        <v>14.846865966032967</v>
      </c>
      <c r="EX59" s="23">
        <f>EXP(-LN(2)/2)*EX58+(1-EXP(-LN(2)/2))/(LN(2)/2)*ER59*EU59*VLOOKUP('Données projet'!$B$15,Paramètres!$A$1:$I$89,3,0)*0.475*44/12</f>
        <v>0.82389960722967082</v>
      </c>
      <c r="EY59" s="24">
        <f t="shared" si="21"/>
        <v>54.336845354921508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>
        <f>VLOOKUP(A59,'Données projet'!$A$217:$I$237,2,0)</f>
        <v>562.74</v>
      </c>
      <c r="FC59" s="13">
        <f>VLOOKUP(A59,'Données projet'!$A$217:$I$237,9,0)</f>
        <v>16.348749999999995</v>
      </c>
      <c r="FD59" s="13">
        <f t="array" ref="FD59">INDEX(FC:FC,MIN(IF(ISNUMBER(FC59:FC255),ROW(FC59:FC255),"")))</f>
        <v>16.348749999999995</v>
      </c>
      <c r="FE59" s="13">
        <f>IF('Données projet'!$A$218&gt;35,FE58+FD59-FM58,IF(A59&lt;'Données projet'!$A$218,$FB$205^A59,IF(A59='Données projet'!$A$218,'Données projet'!$B$218,FE58+FD59-FM58)))</f>
        <v>562.74000000000012</v>
      </c>
      <c r="FF59" s="18">
        <f>FE59*VLOOKUP('Données projet'!$B$16,Paramètres!$A$1:$I$89,3,0)*VLOOKUP('Données projet'!$B$16,Paramètres!$A$1:$I$89,5,0)</f>
        <v>336.51852000000014</v>
      </c>
      <c r="FG59" s="14">
        <f t="shared" si="47"/>
        <v>78.780220306492936</v>
      </c>
      <c r="FH59" s="22">
        <f t="shared" si="22"/>
        <v>723.31197270047539</v>
      </c>
      <c r="FI59" s="62">
        <f t="shared" si="23"/>
        <v>1016.6453060338088</v>
      </c>
      <c r="FJ59" s="62">
        <f ca="1">AVERAGE(OFFSET($FI$3,0,0,'Données projet'!$E$16+1,1))-AVERAGE(OFFSET($H$3,0,0,'Données projet'!$E$16+1,1))</f>
        <v>330.48891719033065</v>
      </c>
      <c r="FK59" s="62">
        <f t="shared" si="48"/>
        <v>419.35494198427284</v>
      </c>
      <c r="FL59" s="16">
        <f>IF(ISNA(VLOOKUP(A59,'Données projet'!$A$217:$I$237,3,0)),0,VLOOKUP(A59,'Données projet'!$A$217:$I$237,3,0))</f>
        <v>7</v>
      </c>
      <c r="FM59" s="16">
        <f>IF(ISNA(VLOOKUP(A59,'Données projet'!$A$217:$I$237,4,0)),0,VLOOKUP(A59,'Données projet'!$A$217:$I$237,4,0))</f>
        <v>562.74</v>
      </c>
      <c r="FN59" s="17">
        <f>IF(ISNA(VLOOKUP(A59,'Données projet'!$A$217:$I$237,5,0)),0%,VLOOKUP(A59,'Données projet'!$A$217:$I$237,5,0)*VLOOKUP('Données projet'!$B$16,Paramètres!$A$1:$I$89,7,0))</f>
        <v>0.36000000000000004</v>
      </c>
      <c r="FO59" s="17">
        <f>IF(ISNA(VLOOKUP(A59,'Données projet'!$A$217:$I$237,6,0)),0%,VLOOKUP(A59,'Données projet'!$A$217:$I$237,6,0)*VLOOKUP('Données projet'!$B$16,Paramètres!$A$1:$I$89,7,0))</f>
        <v>4.9500000000000002E-2</v>
      </c>
      <c r="FP59" s="17">
        <f>IF(ISNA(VLOOKUP(A59,'Données projet'!$A$217:$I$237,7,0)),0%,VLOOKUP(A59,'Données projet'!$A$217:$I$237,7,0))</f>
        <v>0.09</v>
      </c>
      <c r="FQ59" s="23">
        <f>EXP(-LN(2)/35)*FQ58+(1-EXP(-LN(2)/35))/(LN(2)/35)*FM59*FN59*VLOOKUP('Données projet'!$B$16,Paramètres!$A$1:$I$89,3,0)*0.475*44/12</f>
        <v>230.09042080032799</v>
      </c>
      <c r="FR59" s="23">
        <f>EXP(-LN(2)/25)*FR58+(1-EXP(-LN(2)/25))/(LN(2)/25)*Calculateur!FM59*Calculateur!FO59*VLOOKUP('Données projet'!$B$16,Paramètres!$A$1:$I$89,3,0)*0.475*44/12</f>
        <v>40.14306539367098</v>
      </c>
      <c r="FS59" s="23">
        <f>EXP(-LN(2)/2)*FS58+(1-EXP(-LN(2)/2))/(LN(2)/2)*FM59*FP59*VLOOKUP('Données projet'!$B$16,Paramètres!$A$1:$I$89,3,0)*0.475*44/12</f>
        <v>34.738532673849072</v>
      </c>
      <c r="FT59" s="24">
        <f t="shared" si="24"/>
        <v>304.97201886784802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>
        <f>FZ59*VLOOKUP('Données projet'!$B$17,Paramètres!$A$1:$I$89,3,0)*VLOOKUP('Données projet'!$B$17,Paramètres!$A$1:$I$89,5,0)</f>
        <v>0</v>
      </c>
      <c r="GB59" s="14" t="e">
        <f t="shared" si="49"/>
        <v>#NUM!</v>
      </c>
      <c r="GC59" s="22" t="e">
        <f t="shared" si="25"/>
        <v>#NUM!</v>
      </c>
      <c r="GD59" s="62" t="e">
        <f t="shared" si="26"/>
        <v>#NUM!</v>
      </c>
      <c r="GE59" s="62">
        <f ca="1">AVERAGE(OFFSET($GD$3,0,0,'Données projet'!$E$17+1,1))-AVERAGE(OFFSET($H$3,0,0,'Données projet'!$E$17+1,1))</f>
        <v>132.18258156780018</v>
      </c>
      <c r="GF59" s="62">
        <f t="shared" si="50"/>
        <v>315.58133946947294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25.919119198765973</v>
      </c>
      <c r="GM59" s="23">
        <f>EXP(-LN(2)/25)*GM58+(1-EXP(-LN(2)/25))/(LN(2)/25)*Calculateur!GH59*Calculateur!GJ59*VLOOKUP('Données projet'!$B$17,Paramètres!$A$1:$I$89,3,0)*0.475*44/12</f>
        <v>9.0235554322532963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34.942674631019273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9">
        <f t="shared" si="1"/>
        <v>370.70188908775697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9.5537500000000009</v>
      </c>
      <c r="N60" s="14">
        <f>IF('Données projet'!$A$36&gt;35,N59+M60-V59,IF(A60&lt;'Données projet'!$A$36,$K$205^A60,IF(A60='Données projet'!$A$36,'Données projet'!$B$36,N59+M60-V59)))</f>
        <v>226.3162500000002</v>
      </c>
      <c r="O60" s="14">
        <f>N60*VLOOKUP('Données projet'!$B$9,Paramètres!$A$1:$I$89,3,0)*VLOOKUP('Données projet'!$B$9,Paramètres!$A$1:$I$89,5,0)</f>
        <v>204.77094300000016</v>
      </c>
      <c r="P60" s="14">
        <f t="shared" si="33"/>
        <v>50.791233664926693</v>
      </c>
      <c r="Q60" s="22">
        <f t="shared" si="53"/>
        <v>445.10412435808092</v>
      </c>
      <c r="R60" s="62">
        <f t="shared" si="0"/>
        <v>738.43745769141424</v>
      </c>
      <c r="S60" s="62">
        <f ca="1">AVERAGE(OFFSET($R$3,0,0,'Données projet'!$E$9+1,1))-AVERAGE(OFFSET($H$3,0,0,'Données projet'!$E$9+1,1))</f>
        <v>401.86262166363821</v>
      </c>
      <c r="T60" s="62">
        <f t="shared" si="34"/>
        <v>208.60314230781432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5.4260477580076927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5.4260477580076927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9.5537500000000009</v>
      </c>
      <c r="AI60" s="14">
        <f>IF('Données projet'!$A$62&gt;35,AI59+AH60-AQ59,IF(A60&lt;'Données projet'!$A$62,$AF$205^A60,IF(A60='Données projet'!$A$62,'Données projet'!$B$62,AI59+AH60-AQ59)))</f>
        <v>226.3162500000002</v>
      </c>
      <c r="AJ60" s="14">
        <f>AI60*VLOOKUP('Données projet'!$B$10,Paramètres!$A$1:$I$89,3,0)*VLOOKUP('Données projet'!$B$10,Paramètres!$A$1:$I$89,5,0)</f>
        <v>243.60681150000022</v>
      </c>
      <c r="AK60" s="14">
        <f t="shared" si="35"/>
        <v>59.214878562718148</v>
      </c>
      <c r="AL60" s="22">
        <f t="shared" si="4"/>
        <v>527.41444352590111</v>
      </c>
      <c r="AM60" s="62">
        <f t="shared" si="5"/>
        <v>820.74777685923436</v>
      </c>
      <c r="AN60" s="62">
        <f ca="1">AVERAGE(OFFSET($AM$3,0,0,'Données projet'!$E$10+1,1))-AVERAGE(OFFSET($H$3,0,0,'Données projet'!$E$10+1,1))</f>
        <v>407.22515465568205</v>
      </c>
      <c r="AO60" s="62">
        <f t="shared" si="36"/>
        <v>251.6218558398258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6.4551257810781184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6.4551257810781184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9.5537500000000009</v>
      </c>
      <c r="BD60" s="13">
        <f>IF('Données projet'!$A$88&gt;35,BD59+BC60-BL59,IF(A60&lt;'Données projet'!$A$88,$BA$205^A60,IF(A60='Données projet'!$A$88,'Données projet'!$B$88,BD59+BC60-BL59)))</f>
        <v>226.3162500000002</v>
      </c>
      <c r="BE60" s="14">
        <f>BD60*VLOOKUP('Données projet'!$B$11,Paramètres!$A$1:$I$89,3,0)*VLOOKUP('Données projet'!$B$11,Paramètres!$A$1:$I$89,5,0)</f>
        <v>218.8930770000002</v>
      </c>
      <c r="BF60" s="14">
        <f t="shared" si="37"/>
        <v>53.874230892742354</v>
      </c>
      <c r="BG60" s="22">
        <f t="shared" si="7"/>
        <v>475.06972791319322</v>
      </c>
      <c r="BH60" s="62">
        <f t="shared" si="8"/>
        <v>768.40306124652648</v>
      </c>
      <c r="BI60" s="62">
        <f ca="1">AVERAGE(OFFSET($BH$3,0,0,'Données projet'!$E$11+1,1))-AVERAGE(OFFSET($H$3,0,0,'Données projet'!$E$11+1,1))</f>
        <v>357.76044008074308</v>
      </c>
      <c r="BJ60" s="62">
        <f t="shared" si="38"/>
        <v>224.26555772810445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5.8002579482151209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5.8002579482151209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9.5537500000000009</v>
      </c>
      <c r="BY60" s="13">
        <f>IF('Données projet'!$A$114&gt;35,BY59+BX60-CG59,IF(A60&lt;'Données projet'!$A$114,$BV$205^A60,IF(A60='Données projet'!$A$114,'Données projet'!$B$114,BY59+BX60-CG59)))</f>
        <v>226.3162500000002</v>
      </c>
      <c r="BZ60" s="14">
        <f>BY60*VLOOKUP('Données projet'!$B$12,Paramètres!$A$1:$I$89,3,0)*VLOOKUP('Données projet'!$B$12,Paramètres!$A$1:$I$89,5,0)</f>
        <v>151.81294050000014</v>
      </c>
      <c r="CA60" s="14">
        <f t="shared" si="39"/>
        <v>38.990294342692991</v>
      </c>
      <c r="CB60" s="22">
        <f t="shared" si="10"/>
        <v>332.31563401769057</v>
      </c>
      <c r="CC60" s="62">
        <f t="shared" si="11"/>
        <v>625.64896735102388</v>
      </c>
      <c r="CD60" s="62">
        <f ca="1">AVERAGE(OFFSET($CC$3,0,0,'Données projet'!$E$12+1,1))-AVERAGE(OFFSET($H$3,0,0,'Données projet'!$E$12+1,1))</f>
        <v>222.86701323374945</v>
      </c>
      <c r="CE60" s="62">
        <f t="shared" si="40"/>
        <v>149.63671045240511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4.9582850202484101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4.9582850202484101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5.8</v>
      </c>
      <c r="CT60" s="13">
        <f>IF('Données projet'!$A$140&gt;35,CT59+CS60-DB59,IF(A60&lt;'Données projet'!$A$140,$CQ$205^A60,IF(A60='Données projet'!$A$140,'Données projet'!$B$140,CT59+CS60-DB59)))</f>
        <v>211.60000000000011</v>
      </c>
      <c r="CU60" s="18">
        <f>CT60*VLOOKUP('Données projet'!$B$13,Paramètres!$A$1:$I$89,3,0)*VLOOKUP('Données projet'!$B$13,Paramètres!$A$1:$I$89,5,0)</f>
        <v>138.64032000000006</v>
      </c>
      <c r="CV60" s="14">
        <f t="shared" si="41"/>
        <v>35.985345198165817</v>
      </c>
      <c r="CW60" s="22">
        <f t="shared" si="13"/>
        <v>304.13970022013888</v>
      </c>
      <c r="CX60" s="62">
        <f t="shared" si="14"/>
        <v>597.47303355347219</v>
      </c>
      <c r="CY60" s="62">
        <f ca="1">AVERAGE(OFFSET($CX$3,0,0,'Données projet'!$E$13+1,1))-AVERAGE(OFFSET($H$3,0,0,'Données projet'!$E$13+1,1))</f>
        <v>173.15672762188746</v>
      </c>
      <c r="CZ60" s="62">
        <f t="shared" si="42"/>
        <v>208.54841796921414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10.71347351448385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10.71347351448385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14.12</v>
      </c>
      <c r="EJ60" s="13">
        <f>IF('Données projet'!$A$192&gt;35,EJ59+EI60-ER59,IF(A60&lt;'Données projet'!$A$192,$EG$205^A60,IF(A60='Données projet'!$A$192,'Données projet'!$B$192,EJ59+EI60-ER59)))</f>
        <v>398.58000000000021</v>
      </c>
      <c r="EK60" s="18">
        <f>EJ60*VLOOKUP('Données projet'!$B$15,Paramètres!$A$1:$I$89,3,0)*VLOOKUP('Données projet'!$B$15,Paramètres!$A$1:$I$89,5,0)</f>
        <v>238.35084000000015</v>
      </c>
      <c r="EL60" s="14">
        <f t="shared" si="45"/>
        <v>58.084563408326787</v>
      </c>
      <c r="EM60" s="22">
        <f t="shared" si="19"/>
        <v>516.29166093616936</v>
      </c>
      <c r="EN60" s="62">
        <f t="shared" si="20"/>
        <v>809.62499426950262</v>
      </c>
      <c r="EO60" s="62">
        <f ca="1">AVERAGE(OFFSET($EN$3,0,0,'Données projet'!$E$15+1,1))-AVERAGE(OFFSET($H$3,0,0,'Données projet'!$E$15+1,1))</f>
        <v>269.18638759204373</v>
      </c>
      <c r="EP60" s="62">
        <f t="shared" si="46"/>
        <v>197.07126167823969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37.907861541120482</v>
      </c>
      <c r="EW60" s="23">
        <f>EXP(-LN(2)/25)*EW59+(1-EXP(-LN(2)/25))/(LN(2)/25)*Calculateur!ER60*Calculateur!ET60*VLOOKUP('Données projet'!$B$15,Paramètres!$A$1:$I$89,3,0)*0.475*44/12</f>
        <v>14.440877635429047</v>
      </c>
      <c r="EX60" s="23">
        <f>EXP(-LN(2)/2)*EX59+(1-EXP(-LN(2)/2))/(LN(2)/2)*ER60*EU60*VLOOKUP('Données projet'!$B$15,Paramètres!$A$1:$I$89,3,0)*0.475*44/12</f>
        <v>0.58258499928903329</v>
      </c>
      <c r="EY60" s="24">
        <f t="shared" si="21"/>
        <v>52.931324175838562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1.1368683772161603E-13</v>
      </c>
      <c r="FF60" s="18">
        <f>FE60*VLOOKUP('Données projet'!$B$16,Paramètres!$A$1:$I$89,3,0)*VLOOKUP('Données projet'!$B$16,Paramètres!$A$1:$I$89,5,0)</f>
        <v>6.7984728957526396E-14</v>
      </c>
      <c r="FG60" s="14">
        <f t="shared" si="47"/>
        <v>1.0682447123141398E-12</v>
      </c>
      <c r="FH60" s="22">
        <f t="shared" si="22"/>
        <v>1.978932943548152E-12</v>
      </c>
      <c r="FI60" s="62">
        <f t="shared" si="23"/>
        <v>293.3333333333353</v>
      </c>
      <c r="FJ60" s="62">
        <f ca="1">AVERAGE(OFFSET($FI$3,0,0,'Données projet'!$E$16+1,1))-AVERAGE(OFFSET($H$3,0,0,'Données projet'!$E$16+1,1))</f>
        <v>330.48891719033065</v>
      </c>
      <c r="FK60" s="62">
        <f t="shared" si="48"/>
        <v>419.35494198427284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225.57848798973271</v>
      </c>
      <c r="FR60" s="23">
        <f>EXP(-LN(2)/25)*FR59+(1-EXP(-LN(2)/25))/(LN(2)/25)*Calculateur!FM60*Calculateur!FO60*VLOOKUP('Données projet'!$B$16,Paramètres!$A$1:$I$89,3,0)*0.475*44/12</f>
        <v>39.045351159448984</v>
      </c>
      <c r="FS60" s="23">
        <f>EXP(-LN(2)/2)*FS59+(1-EXP(-LN(2)/2))/(LN(2)/2)*FM60*FP60*VLOOKUP('Données projet'!$B$16,Paramètres!$A$1:$I$89,3,0)*0.475*44/12</f>
        <v>24.563852022149128</v>
      </c>
      <c r="FT60" s="24">
        <f t="shared" si="24"/>
        <v>289.18769117133081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>
        <f>FZ60*VLOOKUP('Données projet'!$B$17,Paramètres!$A$1:$I$89,3,0)*VLOOKUP('Données projet'!$B$17,Paramètres!$A$1:$I$89,5,0)</f>
        <v>0</v>
      </c>
      <c r="GB60" s="14" t="e">
        <f t="shared" si="49"/>
        <v>#NUM!</v>
      </c>
      <c r="GC60" s="22" t="e">
        <f t="shared" si="25"/>
        <v>#NUM!</v>
      </c>
      <c r="GD60" s="62" t="e">
        <f t="shared" si="26"/>
        <v>#NUM!</v>
      </c>
      <c r="GE60" s="62">
        <f ca="1">AVERAGE(OFFSET($GD$3,0,0,'Données projet'!$E$17+1,1))-AVERAGE(OFFSET($H$3,0,0,'Données projet'!$E$17+1,1))</f>
        <v>132.18258156780018</v>
      </c>
      <c r="GF60" s="62">
        <f t="shared" si="50"/>
        <v>315.58133946947294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25.410861080379863</v>
      </c>
      <c r="GM60" s="23">
        <f>EXP(-LN(2)/25)*GM59+(1-EXP(-LN(2)/25))/(LN(2)/25)*Calculateur!GH60*Calculateur!GJ60*VLOOKUP('Données projet'!$B$17,Paramètres!$A$1:$I$89,3,0)*0.475*44/12</f>
        <v>8.7768058344301725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34.187666914810038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9">
        <f t="shared" si="1"/>
        <v>372.6494975202296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>
        <f>VLOOKUP(A61,'Données projet'!$A$35:$I$55,2,0)</f>
        <v>235.87</v>
      </c>
      <c r="L61" s="13">
        <f>VLOOKUP(A61,'Données projet'!$A$35:$I$55,9,0)</f>
        <v>9.5537500000000009</v>
      </c>
      <c r="M61" s="13">
        <f t="array" ref="M61">INDEX(L:L,MIN(IF(ISNUMBER(L61:L257),ROW(L61:L257),"")))</f>
        <v>9.5537500000000009</v>
      </c>
      <c r="N61" s="14">
        <f>IF('Données projet'!$A$36&gt;35,N60+M61-V60,IF(A61&lt;'Données projet'!$A$36,$K$205^A61,IF(A61='Données projet'!$A$36,'Données projet'!$B$36,N60+M61-V60)))</f>
        <v>235.8700000000002</v>
      </c>
      <c r="O61" s="14">
        <f>N61*VLOOKUP('Données projet'!$B$9,Paramètres!$A$1:$I$89,3,0)*VLOOKUP('Données projet'!$B$9,Paramètres!$A$1:$I$89,5,0)</f>
        <v>213.41517600000017</v>
      </c>
      <c r="P61" s="14">
        <f t="shared" si="33"/>
        <v>52.681185448853228</v>
      </c>
      <c r="Q61" s="22">
        <f t="shared" si="53"/>
        <v>463.45116285675294</v>
      </c>
      <c r="R61" s="62">
        <f t="shared" si="0"/>
        <v>756.7844961900862</v>
      </c>
      <c r="S61" s="62">
        <f ca="1">AVERAGE(OFFSET($R$3,0,0,'Données projet'!$E$9+1,1))-AVERAGE(OFFSET($H$3,0,0,'Données projet'!$E$9+1,1))</f>
        <v>401.86262166363821</v>
      </c>
      <c r="T61" s="62">
        <f t="shared" si="34"/>
        <v>208.60314230781432</v>
      </c>
      <c r="U61" s="16">
        <f>IF(ISNA(VLOOKUP(A61,'Données projet'!$A$35:$I$55,3,0)),0,VLOOKUP(A61,'Données projet'!$A$35:$I$55,3,0))</f>
        <v>3</v>
      </c>
      <c r="V61" s="16">
        <f>IF(ISNA(VLOOKUP(A61,'Données projet'!$A$35:$I$55,4,0)),0,VLOOKUP(A61,'Données projet'!$A$35:$I$55,4,0))</f>
        <v>44.93</v>
      </c>
      <c r="W61" s="17">
        <f>IF(ISNA(VLOOKUP(A61,'Données projet'!$A$35:$I$55,5,0)),0%,VLOOKUP(A61,'Données projet'!$A$35:$I$55,5,0)*VLOOKUP('Données projet'!$B$9,Paramètres!$A$1:$I$89,7,0))</f>
        <v>8.6000000000000007E-2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9.1845134385305762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9.1845134385305762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>
        <f>VLOOKUP(A61,'Données projet'!$A$61:$I$81,2,0)</f>
        <v>235.87</v>
      </c>
      <c r="AG61" s="13">
        <f>VLOOKUP(A61,'Données projet'!$A$61:$I$81,9,0)</f>
        <v>9.5537500000000009</v>
      </c>
      <c r="AH61" s="13">
        <f t="array" ref="AH61">INDEX(AG:AG,MIN(IF(ISNUMBER(AG61:AG257),ROW(AG61:AG257),"")))</f>
        <v>9.5537500000000009</v>
      </c>
      <c r="AI61" s="14">
        <f>IF('Données projet'!$A$62&gt;35,AI60+AH61-AQ60,IF(A61&lt;'Données projet'!$A$62,$AF$205^A61,IF(A61='Données projet'!$A$62,'Données projet'!$B$62,AI60+AH61-AQ60)))</f>
        <v>235.8700000000002</v>
      </c>
      <c r="AJ61" s="14">
        <f>AI61*VLOOKUP('Données projet'!$B$10,Paramètres!$A$1:$I$89,3,0)*VLOOKUP('Données projet'!$B$10,Paramètres!$A$1:$I$89,5,0)</f>
        <v>253.8904680000002</v>
      </c>
      <c r="AK61" s="14">
        <f t="shared" si="35"/>
        <v>61.418275828334977</v>
      </c>
      <c r="AL61" s="22">
        <f t="shared" si="4"/>
        <v>549.16272883435045</v>
      </c>
      <c r="AM61" s="62">
        <f t="shared" si="5"/>
        <v>842.4960621676837</v>
      </c>
      <c r="AN61" s="62">
        <f ca="1">AVERAGE(OFFSET($AM$3,0,0,'Données projet'!$E$10+1,1))-AVERAGE(OFFSET($H$3,0,0,'Données projet'!$E$10+1,1))</f>
        <v>407.22515465568205</v>
      </c>
      <c r="AO61" s="62">
        <f t="shared" si="36"/>
        <v>251.6218558398258</v>
      </c>
      <c r="AP61" s="16">
        <f>IF(ISNA(VLOOKUP(A61,'Données projet'!$A$61:$I$81,3,0)),0,VLOOKUP(A61,'Données projet'!$A$61:$I$81,3,0))</f>
        <v>3</v>
      </c>
      <c r="AQ61" s="16">
        <f>IF(ISNA(VLOOKUP(A61,'Données projet'!$A$61:$I$81,4,0)),0,VLOOKUP(A61,'Données projet'!$A$61:$I$81,4,0))</f>
        <v>44.93</v>
      </c>
      <c r="AR61" s="17">
        <f>IF(ISNA(VLOOKUP(A61,'Données projet'!$A$61:$I$81,5,0)),0%,VLOOKUP(A61,'Données projet'!$A$61:$I$81,5,0)*VLOOKUP('Données projet'!$B$10,Paramètres!$A$1:$I$89,7,0))</f>
        <v>8.6000000000000007E-2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10.926403918251893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10.926403918251893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235.87</v>
      </c>
      <c r="BB61" s="13">
        <f>VLOOKUP(A61,'Données projet'!$A$87:$I$107,9,0)</f>
        <v>9.5537500000000009</v>
      </c>
      <c r="BC61" s="13">
        <f t="array" ref="BC61">INDEX(BB:BB,MIN(IF(ISNUMBER(BB61:BB257),ROW(BB61:BB257),"")))</f>
        <v>9.5537500000000009</v>
      </c>
      <c r="BD61" s="13">
        <f>IF('Données projet'!$A$88&gt;35,BD60+BC61-BL60,IF(A61&lt;'Données projet'!$A$88,$BA$205^A61,IF(A61='Données projet'!$A$88,'Données projet'!$B$88,BD60+BC61-BL60)))</f>
        <v>235.8700000000002</v>
      </c>
      <c r="BE61" s="14">
        <f>BD61*VLOOKUP('Données projet'!$B$11,Paramètres!$A$1:$I$89,3,0)*VLOOKUP('Données projet'!$B$11,Paramètres!$A$1:$I$89,5,0)</f>
        <v>228.1334640000002</v>
      </c>
      <c r="BF61" s="14">
        <f t="shared" si="37"/>
        <v>55.87890160925069</v>
      </c>
      <c r="BG61" s="22">
        <f t="shared" si="7"/>
        <v>494.6548701027786</v>
      </c>
      <c r="BH61" s="62">
        <f t="shared" si="8"/>
        <v>787.98820343611192</v>
      </c>
      <c r="BI61" s="62">
        <f ca="1">AVERAGE(OFFSET($BH$3,0,0,'Données projet'!$E$11+1,1))-AVERAGE(OFFSET($H$3,0,0,'Données projet'!$E$11+1,1))</f>
        <v>357.76044008074308</v>
      </c>
      <c r="BJ61" s="62">
        <f t="shared" si="38"/>
        <v>224.26555772810445</v>
      </c>
      <c r="BK61" s="16">
        <f>IF(ISNA(VLOOKUP(A61,'Données projet'!$A$87:$I$107,3,0)),0,VLOOKUP(A61,'Données projet'!$A$87:$I$107,3,0))</f>
        <v>3</v>
      </c>
      <c r="BL61" s="16">
        <f>IF(ISNA(VLOOKUP(A61,'Données projet'!$A$87:$I$107,4,0)),0,VLOOKUP(A61,'Données projet'!$A$87:$I$107,4,0))</f>
        <v>44.93</v>
      </c>
      <c r="BM61" s="17">
        <f>IF(ISNA(VLOOKUP(A61,'Données projet'!$A$87:$I$107,5,0)),0%,VLOOKUP(A61,'Données projet'!$A$87:$I$107,5,0)*VLOOKUP('Données projet'!$B$11,Paramètres!$A$1:$I$89,7,0))</f>
        <v>8.6000000000000007E-2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9.8179281584292362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9.8179281584292362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>
        <f>VLOOKUP(A61,'Données projet'!$A$113:$I$133,2,0)</f>
        <v>235.87</v>
      </c>
      <c r="BW61" s="13">
        <f>VLOOKUP(A61,'Données projet'!$A$113:$I$133,9,0)</f>
        <v>9.5537500000000009</v>
      </c>
      <c r="BX61" s="13">
        <f t="array" ref="BX61">INDEX(BW:BW,MIN(IF(ISNUMBER(BW61:BW257),ROW(BW61:BW257),"")))</f>
        <v>9.5537500000000009</v>
      </c>
      <c r="BY61" s="13">
        <f>IF('Données projet'!$A$114&gt;35,BY60+BX61-CG60,IF(A61&lt;'Données projet'!$A$114,$BV$205^A61,IF(A61='Données projet'!$A$114,'Données projet'!$B$114,BY60+BX61-CG60)))</f>
        <v>235.8700000000002</v>
      </c>
      <c r="BZ61" s="14">
        <f>BY61*VLOOKUP('Données projet'!$B$12,Paramètres!$A$1:$I$89,3,0)*VLOOKUP('Données projet'!$B$12,Paramètres!$A$1:$I$89,5,0)</f>
        <v>158.22159600000012</v>
      </c>
      <c r="CA61" s="14">
        <f t="shared" si="39"/>
        <v>40.441130855838743</v>
      </c>
      <c r="CB61" s="22">
        <f t="shared" si="10"/>
        <v>346.00424927391936</v>
      </c>
      <c r="CC61" s="62">
        <f t="shared" si="11"/>
        <v>639.33758260725267</v>
      </c>
      <c r="CD61" s="62">
        <f ca="1">AVERAGE(OFFSET($CC$3,0,0,'Données projet'!$E$12+1,1))-AVERAGE(OFFSET($H$3,0,0,'Données projet'!$E$12+1,1))</f>
        <v>222.86701323374945</v>
      </c>
      <c r="CE61" s="62">
        <f t="shared" si="40"/>
        <v>149.63671045240511</v>
      </c>
      <c r="CF61" s="16">
        <f>IF(ISNA(VLOOKUP(A61,'Données projet'!$A$113:$I$133,3,0)),0,VLOOKUP(A61,'Données projet'!$A$113:$I$133,3,0))</f>
        <v>3</v>
      </c>
      <c r="CG61" s="16">
        <f>IF(ISNA(VLOOKUP(A61,'Données projet'!$A$113:$I$133,4,0)),0,VLOOKUP(A61,'Données projet'!$A$113:$I$133,4,0))</f>
        <v>44.93</v>
      </c>
      <c r="CH61" s="17">
        <f>IF(ISNA(VLOOKUP(A61,'Données projet'!$A$113:$I$133,5,0)),0%,VLOOKUP(A61,'Données projet'!$A$113:$I$133,5,0)*VLOOKUP('Données projet'!$B$12,Paramètres!$A$1:$I$89,7,0))</f>
        <v>0.10600000000000001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8.3927450386572513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8.3927450386572513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5.8</v>
      </c>
      <c r="CT61" s="13">
        <f>IF('Données projet'!$A$140&gt;35,CT60+CS61-DB60,IF(A61&lt;'Données projet'!$A$140,$CQ$205^A61,IF(A61='Données projet'!$A$140,'Données projet'!$B$140,CT60+CS61-DB60)))</f>
        <v>217.40000000000012</v>
      </c>
      <c r="CU61" s="18">
        <f>CT61*VLOOKUP('Données projet'!$B$13,Paramètres!$A$1:$I$89,3,0)*VLOOKUP('Données projet'!$B$13,Paramètres!$A$1:$I$89,5,0)</f>
        <v>142.44048000000009</v>
      </c>
      <c r="CV61" s="14">
        <f t="shared" si="41"/>
        <v>36.855521628538284</v>
      </c>
      <c r="CW61" s="22">
        <f t="shared" si="13"/>
        <v>312.27386950303764</v>
      </c>
      <c r="CX61" s="62">
        <f t="shared" si="14"/>
        <v>605.60720283637102</v>
      </c>
      <c r="CY61" s="62">
        <f ca="1">AVERAGE(OFFSET($CX$3,0,0,'Données projet'!$E$13+1,1))-AVERAGE(OFFSET($H$3,0,0,'Données projet'!$E$13+1,1))</f>
        <v>173.15672762188746</v>
      </c>
      <c r="CZ61" s="62">
        <f t="shared" si="42"/>
        <v>208.54841796921414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10.50338883343843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10.50338883343843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14.12</v>
      </c>
      <c r="EJ61" s="13">
        <f>IF('Données projet'!$A$192&gt;35,EJ60+EI61-ER60,IF(A61&lt;'Données projet'!$A$192,$EG$205^A61,IF(A61='Données projet'!$A$192,'Données projet'!$B$192,EJ60+EI61-ER60)))</f>
        <v>412.70000000000022</v>
      </c>
      <c r="EK61" s="18">
        <f>EJ61*VLOOKUP('Données projet'!$B$15,Paramètres!$A$1:$I$89,3,0)*VLOOKUP('Données projet'!$B$15,Paramètres!$A$1:$I$89,5,0)</f>
        <v>246.79460000000014</v>
      </c>
      <c r="EL61" s="14">
        <f t="shared" si="45"/>
        <v>59.899038030532552</v>
      </c>
      <c r="EM61" s="22">
        <f t="shared" si="19"/>
        <v>534.15808623651117</v>
      </c>
      <c r="EN61" s="62">
        <f t="shared" si="20"/>
        <v>827.49141956984454</v>
      </c>
      <c r="EO61" s="62">
        <f ca="1">AVERAGE(OFFSET($EN$3,0,0,'Données projet'!$E$15+1,1))-AVERAGE(OFFSET($H$3,0,0,'Données projet'!$E$15+1,1))</f>
        <v>269.18638759204373</v>
      </c>
      <c r="EP61" s="62">
        <f t="shared" si="46"/>
        <v>197.07126167823969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37.164511497811588</v>
      </c>
      <c r="EW61" s="23">
        <f>EXP(-LN(2)/25)*EW60+(1-EXP(-LN(2)/25))/(LN(2)/25)*Calculateur!ER61*Calculateur!ET61*VLOOKUP('Données projet'!$B$15,Paramètres!$A$1:$I$89,3,0)*0.475*44/12</f>
        <v>14.04599107707549</v>
      </c>
      <c r="EX61" s="23">
        <f>EXP(-LN(2)/2)*EX60+(1-EXP(-LN(2)/2))/(LN(2)/2)*ER61*EU61*VLOOKUP('Données projet'!$B$15,Paramètres!$A$1:$I$89,3,0)*0.475*44/12</f>
        <v>0.41194980361483541</v>
      </c>
      <c r="EY61" s="24">
        <f t="shared" si="21"/>
        <v>51.622452378501919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1.1368683772161603E-13</v>
      </c>
      <c r="FF61" s="18">
        <f>FE61*VLOOKUP('Données projet'!$B$16,Paramètres!$A$1:$I$89,3,0)*VLOOKUP('Données projet'!$B$16,Paramètres!$A$1:$I$89,5,0)</f>
        <v>6.7984728957526396E-14</v>
      </c>
      <c r="FG61" s="14">
        <f t="shared" si="47"/>
        <v>1.0682447123141398E-12</v>
      </c>
      <c r="FH61" s="22">
        <f t="shared" si="22"/>
        <v>1.978932943548152E-12</v>
      </c>
      <c r="FI61" s="62">
        <f t="shared" si="23"/>
        <v>293.3333333333353</v>
      </c>
      <c r="FJ61" s="62">
        <f ca="1">AVERAGE(OFFSET($FI$3,0,0,'Données projet'!$E$16+1,1))-AVERAGE(OFFSET($H$3,0,0,'Données projet'!$E$16+1,1))</f>
        <v>330.48891719033065</v>
      </c>
      <c r="FK61" s="62">
        <f t="shared" si="48"/>
        <v>419.35494198427284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221.15503142954591</v>
      </c>
      <c r="FR61" s="23">
        <f>EXP(-LN(2)/25)*FR60+(1-EXP(-LN(2)/25))/(LN(2)/25)*Calculateur!FM61*Calculateur!FO61*VLOOKUP('Données projet'!$B$16,Paramètres!$A$1:$I$89,3,0)*0.475*44/12</f>
        <v>37.977653978688075</v>
      </c>
      <c r="FS61" s="23">
        <f>EXP(-LN(2)/2)*FS60+(1-EXP(-LN(2)/2))/(LN(2)/2)*FM61*FP61*VLOOKUP('Données projet'!$B$16,Paramètres!$A$1:$I$89,3,0)*0.475*44/12</f>
        <v>17.369266336924536</v>
      </c>
      <c r="FT61" s="24">
        <f t="shared" si="24"/>
        <v>276.50195174515852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>
        <f>FZ61*VLOOKUP('Données projet'!$B$17,Paramètres!$A$1:$I$89,3,0)*VLOOKUP('Données projet'!$B$17,Paramètres!$A$1:$I$89,5,0)</f>
        <v>0</v>
      </c>
      <c r="GB61" s="14" t="e">
        <f t="shared" si="49"/>
        <v>#NUM!</v>
      </c>
      <c r="GC61" s="22" t="e">
        <f t="shared" si="25"/>
        <v>#NUM!</v>
      </c>
      <c r="GD61" s="62" t="e">
        <f t="shared" si="26"/>
        <v>#NUM!</v>
      </c>
      <c r="GE61" s="62">
        <f ca="1">AVERAGE(OFFSET($GD$3,0,0,'Données projet'!$E$17+1,1))-AVERAGE(OFFSET($H$3,0,0,'Données projet'!$E$17+1,1))</f>
        <v>132.18258156780018</v>
      </c>
      <c r="GF61" s="62">
        <f t="shared" si="50"/>
        <v>315.58133946947294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24.912569593688463</v>
      </c>
      <c r="GM61" s="23">
        <f>EXP(-LN(2)/25)*GM60+(1-EXP(-LN(2)/25))/(LN(2)/25)*Calculateur!GH61*Calculateur!GJ61*VLOOKUP('Données projet'!$B$17,Paramètres!$A$1:$I$89,3,0)*0.475*44/12</f>
        <v>8.5368036173355204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33.449373211023982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9">
        <f t="shared" si="1"/>
        <v>374.59630612559323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9.2524999999999977</v>
      </c>
      <c r="N62" s="14">
        <f>IF('Données projet'!$A$36&gt;35,N61+M62-V61,IF(A62&lt;'Données projet'!$A$36,$K$205^A62,IF(A62='Données projet'!$A$36,'Données projet'!$B$36,N61+M62-V61)))</f>
        <v>200.19250000000019</v>
      </c>
      <c r="O62" s="14">
        <f>N62*VLOOKUP('Données projet'!$B$9,Paramètres!$A$1:$I$89,3,0)*VLOOKUP('Données projet'!$B$9,Paramètres!$A$1:$I$89,5,0)</f>
        <v>181.13417400000017</v>
      </c>
      <c r="P62" s="14">
        <f t="shared" si="33"/>
        <v>45.574426667354729</v>
      </c>
      <c r="Q62" s="22">
        <f t="shared" si="53"/>
        <v>394.85081282897653</v>
      </c>
      <c r="R62" s="62">
        <f t="shared" si="0"/>
        <v>688.18414616230984</v>
      </c>
      <c r="S62" s="62">
        <f ca="1">AVERAGE(OFFSET($R$3,0,0,'Données projet'!$E$9+1,1))-AVERAGE(OFFSET($H$3,0,0,'Données projet'!$E$9+1,1))</f>
        <v>401.86262166363821</v>
      </c>
      <c r="T62" s="62">
        <f t="shared" si="34"/>
        <v>208.60314230781432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9.0044107320010376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9.0044107320010376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9.2524999999999977</v>
      </c>
      <c r="AI62" s="14">
        <f>IF('Données projet'!$A$62&gt;35,AI61+AH62-AQ61,IF(A62&lt;'Données projet'!$A$62,$AF$205^A62,IF(A62='Données projet'!$A$62,'Données projet'!$B$62,AI61+AH62-AQ61)))</f>
        <v>200.19250000000019</v>
      </c>
      <c r="AJ62" s="14">
        <f>AI62*VLOOKUP('Données projet'!$B$10,Paramètres!$A$1:$I$89,3,0)*VLOOKUP('Données projet'!$B$10,Paramètres!$A$1:$I$89,5,0)</f>
        <v>215.48720700000018</v>
      </c>
      <c r="AK62" s="14">
        <f t="shared" si="35"/>
        <v>53.13287246528256</v>
      </c>
      <c r="AL62" s="22">
        <f t="shared" si="4"/>
        <v>467.8466384020341</v>
      </c>
      <c r="AM62" s="62">
        <f t="shared" si="5"/>
        <v>761.17997173536742</v>
      </c>
      <c r="AN62" s="62">
        <f ca="1">AVERAGE(OFFSET($AM$3,0,0,'Données projet'!$E$10+1,1))-AVERAGE(OFFSET($H$3,0,0,'Données projet'!$E$10+1,1))</f>
        <v>407.22515465568205</v>
      </c>
      <c r="AO62" s="62">
        <f t="shared" si="36"/>
        <v>251.6218558398258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10.712143801863304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10.712143801863304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9.2524999999999977</v>
      </c>
      <c r="BD62" s="13">
        <f>IF('Données projet'!$A$88&gt;35,BD61+BC62-BL61,IF(A62&lt;'Données projet'!$A$88,$BA$205^A62,IF(A62='Données projet'!$A$88,'Données projet'!$B$88,BD61+BC62-BL61)))</f>
        <v>200.19250000000019</v>
      </c>
      <c r="BE62" s="14">
        <f>BD62*VLOOKUP('Données projet'!$B$11,Paramètres!$A$1:$I$89,3,0)*VLOOKUP('Données projet'!$B$11,Paramètres!$A$1:$I$89,5,0)</f>
        <v>193.62618600000019</v>
      </c>
      <c r="BF62" s="14">
        <f t="shared" si="37"/>
        <v>48.340766859082926</v>
      </c>
      <c r="BG62" s="22">
        <f t="shared" si="7"/>
        <v>421.42577622956969</v>
      </c>
      <c r="BH62" s="62">
        <f t="shared" si="8"/>
        <v>714.75910956290295</v>
      </c>
      <c r="BI62" s="62">
        <f ca="1">AVERAGE(OFFSET($BH$3,0,0,'Données projet'!$E$11+1,1))-AVERAGE(OFFSET($H$3,0,0,'Données projet'!$E$11+1,1))</f>
        <v>357.76044008074308</v>
      </c>
      <c r="BJ62" s="62">
        <f t="shared" si="38"/>
        <v>224.26555772810445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9.6254045755873161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9.6254045755873161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9.2524999999999977</v>
      </c>
      <c r="BY62" s="13">
        <f>IF('Données projet'!$A$114&gt;35,BY61+BX62-CG61,IF(A62&lt;'Données projet'!$A$114,$BV$205^A62,IF(A62='Données projet'!$A$114,'Données projet'!$B$114,BY61+BX62-CG61)))</f>
        <v>200.19250000000019</v>
      </c>
      <c r="BZ62" s="14">
        <f>BY62*VLOOKUP('Données projet'!$B$12,Paramètres!$A$1:$I$89,3,0)*VLOOKUP('Données projet'!$B$12,Paramètres!$A$1:$I$89,5,0)</f>
        <v>134.28912900000014</v>
      </c>
      <c r="CA62" s="14">
        <f t="shared" si="39"/>
        <v>34.985570974360854</v>
      </c>
      <c r="CB62" s="22">
        <f t="shared" si="10"/>
        <v>294.82010245534542</v>
      </c>
      <c r="CC62" s="62">
        <f t="shared" si="11"/>
        <v>588.15343578867873</v>
      </c>
      <c r="CD62" s="62">
        <f ca="1">AVERAGE(OFFSET($CC$3,0,0,'Données projet'!$E$12+1,1))-AVERAGE(OFFSET($H$3,0,0,'Données projet'!$E$12+1,1))</f>
        <v>222.86701323374945</v>
      </c>
      <c r="CE62" s="62">
        <f t="shared" si="40"/>
        <v>149.63671045240511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8.2281684275181899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8.2281684275181899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5.8</v>
      </c>
      <c r="CT62" s="13">
        <f>IF('Données projet'!$A$140&gt;35,CT61+CS62-DB61,IF(A62&lt;'Données projet'!$A$140,$CQ$205^A62,IF(A62='Données projet'!$A$140,'Données projet'!$B$140,CT61+CS62-DB61)))</f>
        <v>223.20000000000013</v>
      </c>
      <c r="CU62" s="18">
        <f>CT62*VLOOKUP('Données projet'!$B$13,Paramètres!$A$1:$I$89,3,0)*VLOOKUP('Données projet'!$B$13,Paramètres!$A$1:$I$89,5,0)</f>
        <v>146.2406400000001</v>
      </c>
      <c r="CV62" s="14">
        <f t="shared" si="41"/>
        <v>37.722999642090628</v>
      </c>
      <c r="CW62" s="22">
        <f t="shared" si="13"/>
        <v>320.40333904330799</v>
      </c>
      <c r="CX62" s="62">
        <f t="shared" si="14"/>
        <v>613.73667237664131</v>
      </c>
      <c r="CY62" s="62">
        <f ca="1">AVERAGE(OFFSET($CX$3,0,0,'Données projet'!$E$13+1,1))-AVERAGE(OFFSET($H$3,0,0,'Données projet'!$E$13+1,1))</f>
        <v>173.15672762188746</v>
      </c>
      <c r="CZ62" s="62">
        <f t="shared" si="42"/>
        <v>208.54841796921414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10.297423784849308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10.297423784849308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14.12</v>
      </c>
      <c r="EJ62" s="13">
        <f>IF('Données projet'!$A$192&gt;35,EJ61+EI62-ER61,IF(A62&lt;'Données projet'!$A$192,$EG$205^A62,IF(A62='Données projet'!$A$192,'Données projet'!$B$192,EJ61+EI62-ER61)))</f>
        <v>426.82000000000022</v>
      </c>
      <c r="EK62" s="18">
        <f>EJ62*VLOOKUP('Données projet'!$B$15,Paramètres!$A$1:$I$89,3,0)*VLOOKUP('Données projet'!$B$15,Paramètres!$A$1:$I$89,5,0)</f>
        <v>255.23836000000014</v>
      </c>
      <c r="EL62" s="14">
        <f t="shared" si="45"/>
        <v>61.706299433596136</v>
      </c>
      <c r="EM62" s="22">
        <f t="shared" si="19"/>
        <v>552.0119485135134</v>
      </c>
      <c r="EN62" s="62">
        <f t="shared" si="20"/>
        <v>845.34528184684677</v>
      </c>
      <c r="EO62" s="62">
        <f ca="1">AVERAGE(OFFSET($EN$3,0,0,'Données projet'!$E$15+1,1))-AVERAGE(OFFSET($H$3,0,0,'Données projet'!$E$15+1,1))</f>
        <v>269.18638759204373</v>
      </c>
      <c r="EP62" s="62">
        <f t="shared" si="46"/>
        <v>197.07126167823969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36.435738095453225</v>
      </c>
      <c r="EW62" s="23">
        <f>EXP(-LN(2)/25)*EW61+(1-EXP(-LN(2)/25))/(LN(2)/25)*Calculateur!ER62*Calculateur!ET62*VLOOKUP('Données projet'!$B$15,Paramètres!$A$1:$I$89,3,0)*0.475*44/12</f>
        <v>13.661902712426292</v>
      </c>
      <c r="EX62" s="23">
        <f>EXP(-LN(2)/2)*EX61+(1-EXP(-LN(2)/2))/(LN(2)/2)*ER62*EU62*VLOOKUP('Données projet'!$B$15,Paramètres!$A$1:$I$89,3,0)*0.475*44/12</f>
        <v>0.29129249964451664</v>
      </c>
      <c r="EY62" s="24">
        <f t="shared" si="21"/>
        <v>50.388933307524034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1.1368683772161603E-13</v>
      </c>
      <c r="FF62" s="18">
        <f>FE62*VLOOKUP('Données projet'!$B$16,Paramètres!$A$1:$I$89,3,0)*VLOOKUP('Données projet'!$B$16,Paramètres!$A$1:$I$89,5,0)</f>
        <v>6.7984728957526396E-14</v>
      </c>
      <c r="FG62" s="14">
        <f t="shared" si="47"/>
        <v>1.0682447123141398E-12</v>
      </c>
      <c r="FH62" s="22">
        <f t="shared" si="22"/>
        <v>1.978932943548152E-12</v>
      </c>
      <c r="FI62" s="62">
        <f t="shared" si="23"/>
        <v>293.3333333333353</v>
      </c>
      <c r="FJ62" s="62">
        <f ca="1">AVERAGE(OFFSET($FI$3,0,0,'Données projet'!$E$16+1,1))-AVERAGE(OFFSET($H$3,0,0,'Données projet'!$E$16+1,1))</f>
        <v>330.48891719033065</v>
      </c>
      <c r="FK62" s="62">
        <f t="shared" si="48"/>
        <v>419.35494198427284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216.81831615446228</v>
      </c>
      <c r="FR62" s="23">
        <f>EXP(-LN(2)/25)*FR61+(1-EXP(-LN(2)/25))/(LN(2)/25)*Calculateur!FM62*Calculateur!FO62*VLOOKUP('Données projet'!$B$16,Paramètres!$A$1:$I$89,3,0)*0.475*44/12</f>
        <v>36.939153033482825</v>
      </c>
      <c r="FS62" s="23">
        <f>EXP(-LN(2)/2)*FS61+(1-EXP(-LN(2)/2))/(LN(2)/2)*FM62*FP62*VLOOKUP('Données projet'!$B$16,Paramètres!$A$1:$I$89,3,0)*0.475*44/12</f>
        <v>12.281926011074564</v>
      </c>
      <c r="FT62" s="24">
        <f t="shared" si="24"/>
        <v>266.03939519901968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>
        <f>FZ62*VLOOKUP('Données projet'!$B$17,Paramètres!$A$1:$I$89,3,0)*VLOOKUP('Données projet'!$B$17,Paramètres!$A$1:$I$89,5,0)</f>
        <v>0</v>
      </c>
      <c r="GB62" s="14" t="e">
        <f t="shared" si="49"/>
        <v>#NUM!</v>
      </c>
      <c r="GC62" s="22" t="e">
        <f t="shared" si="25"/>
        <v>#NUM!</v>
      </c>
      <c r="GD62" s="62" t="e">
        <f t="shared" si="26"/>
        <v>#NUM!</v>
      </c>
      <c r="GE62" s="62">
        <f ca="1">AVERAGE(OFFSET($GD$3,0,0,'Données projet'!$E$17+1,1))-AVERAGE(OFFSET($H$3,0,0,'Données projet'!$E$17+1,1))</f>
        <v>132.18258156780018</v>
      </c>
      <c r="GF62" s="62">
        <f t="shared" si="50"/>
        <v>315.58133946947294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24.424049299123286</v>
      </c>
      <c r="GM62" s="23">
        <f>EXP(-LN(2)/25)*GM61+(1-EXP(-LN(2)/25))/(LN(2)/25)*Calculateur!GH62*Calculateur!GJ62*VLOOKUP('Données projet'!$B$17,Paramètres!$A$1:$I$89,3,0)*0.475*44/12</f>
        <v>8.3033642734884889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32.727413572611773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9">
        <f t="shared" si="1"/>
        <v>376.54233002474325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9.2524999999999977</v>
      </c>
      <c r="N63" s="14">
        <f>IF('Données projet'!$A$36&gt;35,N62+M63-V62,IF(A63&lt;'Données projet'!$A$36,$K$205^A63,IF(A63='Données projet'!$A$36,'Données projet'!$B$36,N62+M63-V62)))</f>
        <v>209.44500000000019</v>
      </c>
      <c r="O63" s="14">
        <f>N63*VLOOKUP('Données projet'!$B$9,Paramètres!$A$1:$I$89,3,0)*VLOOKUP('Données projet'!$B$9,Paramètres!$A$1:$I$89,5,0)</f>
        <v>189.50583600000016</v>
      </c>
      <c r="P63" s="14">
        <f t="shared" si="33"/>
        <v>47.430683653447495</v>
      </c>
      <c r="Q63" s="22">
        <f t="shared" si="53"/>
        <v>412.6644383964213</v>
      </c>
      <c r="R63" s="62">
        <f t="shared" si="0"/>
        <v>705.99777172975462</v>
      </c>
      <c r="S63" s="62">
        <f ca="1">AVERAGE(OFFSET($R$3,0,0,'Données projet'!$E$9+1,1))-AVERAGE(OFFSET($H$3,0,0,'Données projet'!$E$9+1,1))</f>
        <v>401.86262166363821</v>
      </c>
      <c r="T63" s="62">
        <f t="shared" si="34"/>
        <v>208.60314230781432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8.8278397296947393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8.8278397296947393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9.2524999999999977</v>
      </c>
      <c r="AI63" s="14">
        <f>IF('Données projet'!$A$62&gt;35,AI62+AH63-AQ62,IF(A63&lt;'Données projet'!$A$62,$AF$205^A63,IF(A63='Données projet'!$A$62,'Données projet'!$B$62,AI62+AH63-AQ62)))</f>
        <v>209.44500000000019</v>
      </c>
      <c r="AJ63" s="14">
        <f>AI63*VLOOKUP('Données projet'!$B$10,Paramètres!$A$1:$I$89,3,0)*VLOOKUP('Données projet'!$B$10,Paramètres!$A$1:$I$89,5,0)</f>
        <v>225.44659800000019</v>
      </c>
      <c r="AK63" s="14">
        <f t="shared" si="35"/>
        <v>55.296986704716424</v>
      </c>
      <c r="AL63" s="22">
        <f t="shared" si="4"/>
        <v>488.96174336071476</v>
      </c>
      <c r="AM63" s="62">
        <f t="shared" si="5"/>
        <v>782.29507669404802</v>
      </c>
      <c r="AN63" s="62">
        <f ca="1">AVERAGE(OFFSET($AM$3,0,0,'Données projet'!$E$10+1,1))-AVERAGE(OFFSET($H$3,0,0,'Données projet'!$E$10+1,1))</f>
        <v>407.22515465568205</v>
      </c>
      <c r="AO63" s="62">
        <f t="shared" si="36"/>
        <v>251.6218558398258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10.502085195671329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10.502085195671329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9.2524999999999977</v>
      </c>
      <c r="BD63" s="13">
        <f>IF('Données projet'!$A$88&gt;35,BD62+BC63-BL62,IF(A63&lt;'Données projet'!$A$88,$BA$205^A63,IF(A63='Données projet'!$A$88,'Données projet'!$B$88,BD62+BC63-BL62)))</f>
        <v>209.44500000000019</v>
      </c>
      <c r="BE63" s="14">
        <f>BD63*VLOOKUP('Données projet'!$B$11,Paramètres!$A$1:$I$89,3,0)*VLOOKUP('Données projet'!$B$11,Paramètres!$A$1:$I$89,5,0)</f>
        <v>202.57520400000018</v>
      </c>
      <c r="BF63" s="14">
        <f t="shared" si="37"/>
        <v>50.309697523865829</v>
      </c>
      <c r="BG63" s="22">
        <f t="shared" si="7"/>
        <v>440.44120348739995</v>
      </c>
      <c r="BH63" s="62">
        <f t="shared" si="8"/>
        <v>733.77453682073326</v>
      </c>
      <c r="BI63" s="62">
        <f ca="1">AVERAGE(OFFSET($BH$3,0,0,'Données projet'!$E$11+1,1))-AVERAGE(OFFSET($H$3,0,0,'Données projet'!$E$11+1,1))</f>
        <v>357.76044008074308</v>
      </c>
      <c r="BJ63" s="62">
        <f t="shared" si="38"/>
        <v>224.26555772810445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9.4366562627771344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9.4366562627771344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9.2524999999999977</v>
      </c>
      <c r="BY63" s="13">
        <f>IF('Données projet'!$A$114&gt;35,BY62+BX63-CG62,IF(A63&lt;'Données projet'!$A$114,$BV$205^A63,IF(A63='Données projet'!$A$114,'Données projet'!$B$114,BY62+BX63-CG62)))</f>
        <v>209.44500000000019</v>
      </c>
      <c r="BZ63" s="14">
        <f>BY63*VLOOKUP('Données projet'!$B$12,Paramètres!$A$1:$I$89,3,0)*VLOOKUP('Données projet'!$B$12,Paramètres!$A$1:$I$89,5,0)</f>
        <v>140.49570600000013</v>
      </c>
      <c r="CA63" s="14">
        <f t="shared" si="39"/>
        <v>36.410541408056268</v>
      </c>
      <c r="CB63" s="22">
        <f t="shared" si="10"/>
        <v>308.11171423569823</v>
      </c>
      <c r="CC63" s="62">
        <f t="shared" si="11"/>
        <v>601.44504756903154</v>
      </c>
      <c r="CD63" s="62">
        <f ca="1">AVERAGE(OFFSET($CC$3,0,0,'Données projet'!$E$12+1,1))-AVERAGE(OFFSET($H$3,0,0,'Données projet'!$E$12+1,1))</f>
        <v>222.86701323374945</v>
      </c>
      <c r="CE63" s="62">
        <f t="shared" si="40"/>
        <v>149.63671045240511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8.0668190633417449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8.0668190633417449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229</v>
      </c>
      <c r="CR63" s="13">
        <f>VLOOKUP(A63,'Données projet'!$A$139:$I$159,9,0)</f>
        <v>5.8</v>
      </c>
      <c r="CS63" s="13">
        <f t="array" ref="CS63">INDEX(CR:CR,MIN(IF(ISNUMBER(CR63:CR259),ROW(CR63:CR259),"")))</f>
        <v>5.8</v>
      </c>
      <c r="CT63" s="13">
        <f>IF('Données projet'!$A$140&gt;35,CT62+CS63-DB62,IF(A63&lt;'Données projet'!$A$140,$CQ$205^A63,IF(A63='Données projet'!$A$140,'Données projet'!$B$140,CT62+CS63-DB62)))</f>
        <v>229.00000000000014</v>
      </c>
      <c r="CU63" s="18">
        <f>CT63*VLOOKUP('Données projet'!$B$13,Paramètres!$A$1:$I$89,3,0)*VLOOKUP('Données projet'!$B$13,Paramètres!$A$1:$I$89,5,0)</f>
        <v>150.04080000000008</v>
      </c>
      <c r="CV63" s="14">
        <f t="shared" si="41"/>
        <v>38.587857420495212</v>
      </c>
      <c r="CW63" s="22">
        <f t="shared" si="13"/>
        <v>328.52824500736261</v>
      </c>
      <c r="CX63" s="62">
        <f t="shared" si="14"/>
        <v>621.86157834069593</v>
      </c>
      <c r="CY63" s="62">
        <f ca="1">AVERAGE(OFFSET($CX$3,0,0,'Données projet'!$E$13+1,1))-AVERAGE(OFFSET($H$3,0,0,'Données projet'!$E$13+1,1))</f>
        <v>173.15672762188746</v>
      </c>
      <c r="CZ63" s="62">
        <f t="shared" si="42"/>
        <v>208.54841796921414</v>
      </c>
      <c r="DA63" s="16">
        <f>IF(ISNA(VLOOKUP(A63,'Données projet'!$A$139:$I$159,3,0)),0,VLOOKUP(A63,'Données projet'!$A$139:$I$159,3,0))</f>
        <v>11</v>
      </c>
      <c r="DB63" s="16">
        <f>IF(ISNA(VLOOKUP(A63,'Données projet'!$A$139:$I$159,4,0)),0,VLOOKUP(A63,'Données projet'!$A$139:$I$159,4,0))</f>
        <v>22</v>
      </c>
      <c r="DC63" s="17">
        <f>IF(ISNA(VLOOKUP(A63,'Données projet'!$A$139:$I$159,5,0)),0%,VLOOKUP(A63,'Données projet'!$A$139:$I$159,5,0)*VLOOKUP('Données projet'!$B$13,Paramètres!$A$1:$I$89,7,0))</f>
        <v>0.215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13.52145641656579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13.52145641656579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440.94</v>
      </c>
      <c r="EH63" s="13">
        <f>VLOOKUP(A63,'Données projet'!$A$191:$I$211,9,0)</f>
        <v>14.12</v>
      </c>
      <c r="EI63" s="13">
        <f t="array" ref="EI63">INDEX(EH:EH,MIN(IF(ISNUMBER(EH63:EH259),ROW(EH63:EH259),"")))</f>
        <v>14.12</v>
      </c>
      <c r="EJ63" s="13">
        <f>IF('Données projet'!$A$192&gt;35,EJ62+EI63-ER62,IF(A63&lt;'Données projet'!$A$192,$EG$205^A63,IF(A63='Données projet'!$A$192,'Données projet'!$B$192,EJ62+EI63-ER62)))</f>
        <v>440.94000000000023</v>
      </c>
      <c r="EK63" s="18">
        <f>EJ63*VLOOKUP('Données projet'!$B$15,Paramètres!$A$1:$I$89,3,0)*VLOOKUP('Données projet'!$B$15,Paramètres!$A$1:$I$89,5,0)</f>
        <v>263.68212000000017</v>
      </c>
      <c r="EL63" s="14">
        <f t="shared" si="45"/>
        <v>63.506613606650063</v>
      </c>
      <c r="EM63" s="22">
        <f t="shared" si="19"/>
        <v>569.85371103158241</v>
      </c>
      <c r="EN63" s="62">
        <f t="shared" si="20"/>
        <v>863.18704436491566</v>
      </c>
      <c r="EO63" s="62">
        <f ca="1">AVERAGE(OFFSET($EN$3,0,0,'Données projet'!$E$15+1,1))-AVERAGE(OFFSET($H$3,0,0,'Données projet'!$E$15+1,1))</f>
        <v>269.18638759204373</v>
      </c>
      <c r="EP63" s="62">
        <f t="shared" si="46"/>
        <v>197.07126167823969</v>
      </c>
      <c r="EQ63" s="16">
        <f>IF(ISNA(VLOOKUP(A63,'Données projet'!$A$191:$I$211,3,0)),0,VLOOKUP(A63,'Données projet'!$A$191:$I$211,3,0))</f>
        <v>6</v>
      </c>
      <c r="ER63" s="16">
        <f>IF(ISNA(VLOOKUP(A63,'Données projet'!$A$191:$I$211,4,0)),0,VLOOKUP(A63,'Données projet'!$A$191:$I$211,4,0))</f>
        <v>69.849999999999994</v>
      </c>
      <c r="ES63" s="17">
        <f>IF(ISNA(VLOOKUP(A63,'Données projet'!$A$191:$I$211,5,0)),0%,VLOOKUP(A63,'Données projet'!$A$191:$I$211,5,0)*VLOOKUP('Données projet'!$B$15,Paramètres!$A$1:$I$89,7,0))</f>
        <v>0.36000000000000004</v>
      </c>
      <c r="ET63" s="17">
        <f>IF(ISNA(VLOOKUP(A63,'Données projet'!$A$191:$I$211,6,0)),0%,VLOOKUP(A63,'Données projet'!$A$191:$I$211,6,0)*VLOOKUP('Données projet'!$B$15,Paramètres!$A$1:$I$89,7,0))</f>
        <v>4.9500000000000002E-2</v>
      </c>
      <c r="EU63" s="17">
        <f>IF(ISNA(VLOOKUP(A63,'Données projet'!$A$191:$I$211,7,0)),0%,VLOOKUP(A63,'Données projet'!$A$191:$I$211,7,0))</f>
        <v>0.09</v>
      </c>
      <c r="EV63" s="23">
        <f>EXP(-LN(2)/35)*EV62+(1-EXP(-LN(2)/35))/(LN(2)/35)*ER63*ES63*VLOOKUP('Données projet'!$B$15,Paramètres!$A$1:$I$89,3,0)*0.475*44/12</f>
        <v>55.669213793303868</v>
      </c>
      <c r="EW63" s="23">
        <f>EXP(-LN(2)/25)*EW62+(1-EXP(-LN(2)/25))/(LN(2)/25)*Calculateur!ER63*Calculateur!ET63*VLOOKUP('Données projet'!$B$15,Paramètres!$A$1:$I$89,3,0)*0.475*44/12</f>
        <v>16.020361907341638</v>
      </c>
      <c r="EX63" s="23">
        <f>EXP(-LN(2)/2)*EX62+(1-EXP(-LN(2)/2))/(LN(2)/2)*ER63*EU63*VLOOKUP('Données projet'!$B$15,Paramètres!$A$1:$I$89,3,0)*0.475*44/12</f>
        <v>4.4624063481706937</v>
      </c>
      <c r="EY63" s="24">
        <f t="shared" si="21"/>
        <v>76.151982048816194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1.1368683772161603E-13</v>
      </c>
      <c r="FF63" s="18">
        <f>FE63*VLOOKUP('Données projet'!$B$16,Paramètres!$A$1:$I$89,3,0)*VLOOKUP('Données projet'!$B$16,Paramètres!$A$1:$I$89,5,0)</f>
        <v>6.7984728957526396E-14</v>
      </c>
      <c r="FG63" s="14">
        <f t="shared" si="47"/>
        <v>1.0682447123141398E-12</v>
      </c>
      <c r="FH63" s="22">
        <f t="shared" si="22"/>
        <v>1.978932943548152E-12</v>
      </c>
      <c r="FI63" s="62">
        <f t="shared" si="23"/>
        <v>293.3333333333353</v>
      </c>
      <c r="FJ63" s="62">
        <f ca="1">AVERAGE(OFFSET($FI$3,0,0,'Données projet'!$E$16+1,1))-AVERAGE(OFFSET($H$3,0,0,'Données projet'!$E$16+1,1))</f>
        <v>330.48891719033065</v>
      </c>
      <c r="FK63" s="62">
        <f t="shared" si="48"/>
        <v>419.35494198427284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212.56664122078791</v>
      </c>
      <c r="FR63" s="23">
        <f>EXP(-LN(2)/25)*FR62+(1-EXP(-LN(2)/25))/(LN(2)/25)*Calculateur!FM63*Calculateur!FO63*VLOOKUP('Données projet'!$B$16,Paramètres!$A$1:$I$89,3,0)*0.475*44/12</f>
        <v>35.929049951236607</v>
      </c>
      <c r="FS63" s="23">
        <f>EXP(-LN(2)/2)*FS62+(1-EXP(-LN(2)/2))/(LN(2)/2)*FM63*FP63*VLOOKUP('Données projet'!$B$16,Paramètres!$A$1:$I$89,3,0)*0.475*44/12</f>
        <v>8.684633168462268</v>
      </c>
      <c r="FT63" s="24">
        <f t="shared" si="24"/>
        <v>257.18032434048678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>
        <f>FZ63*VLOOKUP('Données projet'!$B$17,Paramètres!$A$1:$I$89,3,0)*VLOOKUP('Données projet'!$B$17,Paramètres!$A$1:$I$89,5,0)</f>
        <v>0</v>
      </c>
      <c r="GB63" s="14" t="e">
        <f t="shared" si="49"/>
        <v>#NUM!</v>
      </c>
      <c r="GC63" s="22" t="e">
        <f t="shared" si="25"/>
        <v>#NUM!</v>
      </c>
      <c r="GD63" s="62" t="e">
        <f t="shared" si="26"/>
        <v>#NUM!</v>
      </c>
      <c r="GE63" s="62">
        <f ca="1">AVERAGE(OFFSET($GD$3,0,0,'Données projet'!$E$17+1,1))-AVERAGE(OFFSET($H$3,0,0,'Données projet'!$E$17+1,1))</f>
        <v>132.18258156780018</v>
      </c>
      <c r="GF63" s="62">
        <f t="shared" si="50"/>
        <v>315.58133946947294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23.945108589566576</v>
      </c>
      <c r="GM63" s="23">
        <f>EXP(-LN(2)/25)*GM62+(1-EXP(-LN(2)/25))/(LN(2)/25)*Calculateur!GH63*Calculateur!GJ63*VLOOKUP('Données projet'!$B$17,Paramètres!$A$1:$I$89,3,0)*0.475*44/12</f>
        <v>8.0763083407749967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32.021416930341573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9">
        <f t="shared" si="1"/>
        <v>378.48758380565391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9.2524999999999977</v>
      </c>
      <c r="N64" s="14">
        <f>IF('Données projet'!$A$36&gt;35,N63+M64-V63,IF(A64&lt;'Données projet'!$A$36,$K$205^A64,IF(A64='Données projet'!$A$36,'Données projet'!$B$36,N63+M64-V63)))</f>
        <v>218.69750000000019</v>
      </c>
      <c r="O64" s="14">
        <f>N64*VLOOKUP('Données projet'!$B$9,Paramètres!$A$1:$I$89,3,0)*VLOOKUP('Données projet'!$B$9,Paramètres!$A$1:$I$89,5,0)</f>
        <v>197.87749800000014</v>
      </c>
      <c r="P64" s="14">
        <f t="shared" si="33"/>
        <v>49.277416774103372</v>
      </c>
      <c r="Q64" s="22">
        <f t="shared" si="53"/>
        <v>430.46147656489694</v>
      </c>
      <c r="R64" s="62">
        <f t="shared" si="0"/>
        <v>723.79480989823026</v>
      </c>
      <c r="S64" s="62">
        <f ca="1">AVERAGE(OFFSET($R$3,0,0,'Données projet'!$E$9+1,1))-AVERAGE(OFFSET($H$3,0,0,'Données projet'!$E$9+1,1))</f>
        <v>401.86262166363821</v>
      </c>
      <c r="T64" s="62">
        <f t="shared" si="34"/>
        <v>208.60314230781432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8.6547311770459903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8.6547311770459903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9.2524999999999977</v>
      </c>
      <c r="AI64" s="14">
        <f>IF('Données projet'!$A$62&gt;35,AI63+AH64-AQ63,IF(A64&lt;'Données projet'!$A$62,$AF$205^A64,IF(A64='Données projet'!$A$62,'Données projet'!$B$62,AI63+AH64-AQ63)))</f>
        <v>218.69750000000019</v>
      </c>
      <c r="AJ64" s="14">
        <f>AI64*VLOOKUP('Données projet'!$B$10,Paramètres!$A$1:$I$89,3,0)*VLOOKUP('Données projet'!$B$10,Paramètres!$A$1:$I$89,5,0)</f>
        <v>235.40598900000018</v>
      </c>
      <c r="AK64" s="14">
        <f t="shared" si="35"/>
        <v>57.449997560857497</v>
      </c>
      <c r="AL64" s="22">
        <f t="shared" si="4"/>
        <v>510.05750992682715</v>
      </c>
      <c r="AM64" s="62">
        <f t="shared" si="5"/>
        <v>803.39084326016041</v>
      </c>
      <c r="AN64" s="62">
        <f ca="1">AVERAGE(OFFSET($AM$3,0,0,'Données projet'!$E$10+1,1))-AVERAGE(OFFSET($H$3,0,0,'Données projet'!$E$10+1,1))</f>
        <v>407.22515465568205</v>
      </c>
      <c r="AO64" s="62">
        <f t="shared" si="36"/>
        <v>251.6218558398258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10.29614571062368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10.29614571062368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9.2524999999999977</v>
      </c>
      <c r="BD64" s="13">
        <f>IF('Données projet'!$A$88&gt;35,BD63+BC64-BL63,IF(A64&lt;'Données projet'!$A$88,$BA$205^A64,IF(A64='Données projet'!$A$88,'Données projet'!$B$88,BD63+BC64-BL63)))</f>
        <v>218.69750000000019</v>
      </c>
      <c r="BE64" s="14">
        <f>BD64*VLOOKUP('Données projet'!$B$11,Paramètres!$A$1:$I$89,3,0)*VLOOKUP('Données projet'!$B$11,Paramètres!$A$1:$I$89,5,0)</f>
        <v>211.52422200000021</v>
      </c>
      <c r="BF64" s="14">
        <f t="shared" si="37"/>
        <v>52.268526230328021</v>
      </c>
      <c r="BG64" s="22">
        <f t="shared" si="7"/>
        <v>459.43903650115499</v>
      </c>
      <c r="BH64" s="62">
        <f t="shared" si="8"/>
        <v>752.77236983448825</v>
      </c>
      <c r="BI64" s="62">
        <f ca="1">AVERAGE(OFFSET($BH$3,0,0,'Données projet'!$E$11+1,1))-AVERAGE(OFFSET($H$3,0,0,'Données projet'!$E$11+1,1))</f>
        <v>357.76044008074308</v>
      </c>
      <c r="BJ64" s="62">
        <f t="shared" si="38"/>
        <v>224.26555772810445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9.2516091892560581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9.2516091892560581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9.2524999999999977</v>
      </c>
      <c r="BY64" s="13">
        <f>IF('Données projet'!$A$114&gt;35,BY63+BX64-CG63,IF(A64&lt;'Données projet'!$A$114,$BV$205^A64,IF(A64='Données projet'!$A$114,'Données projet'!$B$114,BY63+BX64-CG63)))</f>
        <v>218.69750000000019</v>
      </c>
      <c r="BZ64" s="14">
        <f>BY64*VLOOKUP('Données projet'!$B$12,Paramètres!$A$1:$I$89,3,0)*VLOOKUP('Données projet'!$B$12,Paramètres!$A$1:$I$89,5,0)</f>
        <v>146.70228300000014</v>
      </c>
      <c r="CA64" s="14">
        <f t="shared" si="39"/>
        <v>37.828200770728785</v>
      </c>
      <c r="CB64" s="22">
        <f t="shared" si="10"/>
        <v>321.39059256735288</v>
      </c>
      <c r="CC64" s="62">
        <f t="shared" si="11"/>
        <v>614.72392590068625</v>
      </c>
      <c r="CD64" s="62">
        <f ca="1">AVERAGE(OFFSET($CC$3,0,0,'Données projet'!$E$12+1,1))-AVERAGE(OFFSET($H$3,0,0,'Données projet'!$E$12+1,1))</f>
        <v>222.86701323374945</v>
      </c>
      <c r="CE64" s="62">
        <f t="shared" si="40"/>
        <v>149.63671045240511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7.908633661783405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7.908633661783405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</v>
      </c>
      <c r="CT64" s="13">
        <f>IF('Données projet'!$A$140&gt;35,CT63+CS64-DB63,IF(A64&lt;'Données projet'!$A$140,$CQ$205^A64,IF(A64='Données projet'!$A$140,'Données projet'!$B$140,CT63+CS64-DB63)))</f>
        <v>212.20000000000013</v>
      </c>
      <c r="CU64" s="18">
        <f>CT64*VLOOKUP('Données projet'!$B$13,Paramètres!$A$1:$I$89,3,0)*VLOOKUP('Données projet'!$B$13,Paramètres!$A$1:$I$89,5,0)</f>
        <v>139.0334400000001</v>
      </c>
      <c r="CV64" s="14">
        <f t="shared" si="41"/>
        <v>36.07549097093554</v>
      </c>
      <c r="CW64" s="22">
        <f t="shared" si="13"/>
        <v>304.98138810771292</v>
      </c>
      <c r="CX64" s="62">
        <f t="shared" si="14"/>
        <v>598.31472144104623</v>
      </c>
      <c r="CY64" s="62">
        <f ca="1">AVERAGE(OFFSET($CX$3,0,0,'Données projet'!$E$13+1,1))-AVERAGE(OFFSET($H$3,0,0,'Données projet'!$E$13+1,1))</f>
        <v>173.15672762188746</v>
      </c>
      <c r="CZ64" s="62">
        <f t="shared" si="42"/>
        <v>208.54841796921414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13.256308903510998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13.256308903510998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11.896999999999997</v>
      </c>
      <c r="EJ64" s="13">
        <f>IF('Données projet'!$A$192&gt;35,EJ63+EI64-ER63,IF(A64&lt;'Données projet'!$A$192,$EG$205^A64,IF(A64='Données projet'!$A$192,'Données projet'!$B$192,EJ63+EI64-ER63)))</f>
        <v>382.98700000000019</v>
      </c>
      <c r="EK64" s="18">
        <f>EJ64*VLOOKUP('Données projet'!$B$15,Paramètres!$A$1:$I$89,3,0)*VLOOKUP('Données projet'!$B$15,Paramètres!$A$1:$I$89,5,0)</f>
        <v>229.02622600000012</v>
      </c>
      <c r="EL64" s="14">
        <f t="shared" si="45"/>
        <v>56.072076861881605</v>
      </c>
      <c r="EM64" s="22">
        <f t="shared" si="19"/>
        <v>496.54621081777736</v>
      </c>
      <c r="EN64" s="62">
        <f t="shared" si="20"/>
        <v>789.87954415111062</v>
      </c>
      <c r="EO64" s="62">
        <f ca="1">AVERAGE(OFFSET($EN$3,0,0,'Données projet'!$E$15+1,1))-AVERAGE(OFFSET($H$3,0,0,'Données projet'!$E$15+1,1))</f>
        <v>269.18638759204373</v>
      </c>
      <c r="EP64" s="62">
        <f t="shared" si="46"/>
        <v>197.07126167823969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54.577574465684826</v>
      </c>
      <c r="EW64" s="23">
        <f>EXP(-LN(2)/25)*EW63+(1-EXP(-LN(2)/25))/(LN(2)/25)*Calculateur!ER64*Calculateur!ET64*VLOOKUP('Données projet'!$B$15,Paramètres!$A$1:$I$89,3,0)*0.475*44/12</f>
        <v>15.582284268511163</v>
      </c>
      <c r="EX64" s="23">
        <f>EXP(-LN(2)/2)*EX63+(1-EXP(-LN(2)/2))/(LN(2)/2)*ER64*EU64*VLOOKUP('Données projet'!$B$15,Paramètres!$A$1:$I$89,3,0)*0.475*44/12</f>
        <v>3.1553977892013956</v>
      </c>
      <c r="EY64" s="24">
        <f t="shared" si="21"/>
        <v>73.315256523397395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1.1368683772161603E-13</v>
      </c>
      <c r="FF64" s="18">
        <f>FE64*VLOOKUP('Données projet'!$B$16,Paramètres!$A$1:$I$89,3,0)*VLOOKUP('Données projet'!$B$16,Paramètres!$A$1:$I$89,5,0)</f>
        <v>6.7984728957526396E-14</v>
      </c>
      <c r="FG64" s="14">
        <f t="shared" si="47"/>
        <v>1.0682447123141398E-12</v>
      </c>
      <c r="FH64" s="22">
        <f t="shared" si="22"/>
        <v>1.978932943548152E-12</v>
      </c>
      <c r="FI64" s="62">
        <f t="shared" si="23"/>
        <v>293.3333333333353</v>
      </c>
      <c r="FJ64" s="62">
        <f ca="1">AVERAGE(OFFSET($FI$3,0,0,'Données projet'!$E$16+1,1))-AVERAGE(OFFSET($H$3,0,0,'Données projet'!$E$16+1,1))</f>
        <v>330.48891719033065</v>
      </c>
      <c r="FK64" s="62">
        <f t="shared" si="48"/>
        <v>419.35494198427284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208.39833903929724</v>
      </c>
      <c r="FR64" s="23">
        <f>EXP(-LN(2)/25)*FR63+(1-EXP(-LN(2)/25))/(LN(2)/25)*Calculateur!FM64*Calculateur!FO64*VLOOKUP('Données projet'!$B$16,Paramètres!$A$1:$I$89,3,0)*0.475*44/12</f>
        <v>34.946568190893423</v>
      </c>
      <c r="FS64" s="23">
        <f>EXP(-LN(2)/2)*FS63+(1-EXP(-LN(2)/2))/(LN(2)/2)*FM64*FP64*VLOOKUP('Données projet'!$B$16,Paramètres!$A$1:$I$89,3,0)*0.475*44/12</f>
        <v>6.1409630055372819</v>
      </c>
      <c r="FT64" s="24">
        <f t="shared" si="24"/>
        <v>249.48587023572796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>
        <f>FZ64*VLOOKUP('Données projet'!$B$17,Paramètres!$A$1:$I$89,3,0)*VLOOKUP('Données projet'!$B$17,Paramètres!$A$1:$I$89,5,0)</f>
        <v>0</v>
      </c>
      <c r="GB64" s="14" t="e">
        <f t="shared" si="49"/>
        <v>#NUM!</v>
      </c>
      <c r="GC64" s="22" t="e">
        <f t="shared" si="25"/>
        <v>#NUM!</v>
      </c>
      <c r="GD64" s="62" t="e">
        <f t="shared" si="26"/>
        <v>#NUM!</v>
      </c>
      <c r="GE64" s="62">
        <f ca="1">AVERAGE(OFFSET($GD$3,0,0,'Données projet'!$E$17+1,1))-AVERAGE(OFFSET($H$3,0,0,'Données projet'!$E$17+1,1))</f>
        <v>132.18258156780018</v>
      </c>
      <c r="GF64" s="62">
        <f t="shared" si="50"/>
        <v>315.58133946947294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23.475559615199284</v>
      </c>
      <c r="GM64" s="23">
        <f>EXP(-LN(2)/25)*GM63+(1-EXP(-LN(2)/25))/(LN(2)/25)*Calculateur!GH64*Calculateur!GJ64*VLOOKUP('Données projet'!$B$17,Paramètres!$A$1:$I$89,3,0)*0.475*44/12</f>
        <v>7.8554612644819075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31.331020879681191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9">
        <f t="shared" si="1"/>
        <v>380.43208155058352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9.2524999999999977</v>
      </c>
      <c r="N65" s="14">
        <f>IF('Données projet'!$A$36&gt;35,N64+M65-V64,IF(A65&lt;'Données projet'!$A$36,$K$205^A65,IF(A65='Données projet'!$A$36,'Données projet'!$B$36,N64+M65-V64)))</f>
        <v>227.95000000000019</v>
      </c>
      <c r="O65" s="14">
        <f>N65*VLOOKUP('Données projet'!$B$9,Paramètres!$A$1:$I$89,3,0)*VLOOKUP('Données projet'!$B$9,Paramètres!$A$1:$I$89,5,0)</f>
        <v>206.24916000000016</v>
      </c>
      <c r="P65" s="14">
        <f t="shared" si="33"/>
        <v>51.115075026737237</v>
      </c>
      <c r="Q65" s="22">
        <f t="shared" si="53"/>
        <v>448.24270933823431</v>
      </c>
      <c r="R65" s="62">
        <f t="shared" si="0"/>
        <v>741.57604267156762</v>
      </c>
      <c r="S65" s="62">
        <f ca="1">AVERAGE(OFFSET($R$3,0,0,'Données projet'!$E$9+1,1))-AVERAGE(OFFSET($H$3,0,0,'Données projet'!$E$9+1,1))</f>
        <v>401.86262166363821</v>
      </c>
      <c r="T65" s="62">
        <f t="shared" si="34"/>
        <v>208.60314230781432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8.4850171775288921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8.4850171775288921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9.2524999999999977</v>
      </c>
      <c r="AI65" s="14">
        <f>IF('Données projet'!$A$62&gt;35,AI64+AH65-AQ64,IF(A65&lt;'Données projet'!$A$62,$AF$205^A65,IF(A65='Données projet'!$A$62,'Données projet'!$B$62,AI64+AH65-AQ64)))</f>
        <v>227.95000000000019</v>
      </c>
      <c r="AJ65" s="14">
        <f>AI65*VLOOKUP('Données projet'!$B$10,Paramètres!$A$1:$I$89,3,0)*VLOOKUP('Données projet'!$B$10,Paramètres!$A$1:$I$89,5,0)</f>
        <v>245.36538000000021</v>
      </c>
      <c r="AK65" s="14">
        <f t="shared" si="35"/>
        <v>59.592428496624137</v>
      </c>
      <c r="AL65" s="22">
        <f t="shared" si="4"/>
        <v>531.13484979828741</v>
      </c>
      <c r="AM65" s="62">
        <f t="shared" si="5"/>
        <v>824.46818313162066</v>
      </c>
      <c r="AN65" s="62">
        <f ca="1">AVERAGE(OFFSET($AM$3,0,0,'Données projet'!$E$10+1,1))-AVERAGE(OFFSET($H$3,0,0,'Données projet'!$E$10+1,1))</f>
        <v>407.22515465568205</v>
      </c>
      <c r="AO65" s="62">
        <f t="shared" si="36"/>
        <v>251.6218558398258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10.094244573267131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10.094244573267131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9.2524999999999977</v>
      </c>
      <c r="BD65" s="13">
        <f>IF('Données projet'!$A$88&gt;35,BD64+BC65-BL64,IF(A65&lt;'Données projet'!$A$88,$BA$205^A65,IF(A65='Données projet'!$A$88,'Données projet'!$B$88,BD64+BC65-BL64)))</f>
        <v>227.95000000000019</v>
      </c>
      <c r="BE65" s="14">
        <f>BD65*VLOOKUP('Données projet'!$B$11,Paramètres!$A$1:$I$89,3,0)*VLOOKUP('Données projet'!$B$11,Paramètres!$A$1:$I$89,5,0)</f>
        <v>220.4732400000002</v>
      </c>
      <c r="BF65" s="14">
        <f t="shared" si="37"/>
        <v>54.2177292297565</v>
      </c>
      <c r="BG65" s="22">
        <f t="shared" si="7"/>
        <v>478.42010474182621</v>
      </c>
      <c r="BH65" s="62">
        <f t="shared" si="8"/>
        <v>771.75343807515947</v>
      </c>
      <c r="BI65" s="62">
        <f ca="1">AVERAGE(OFFSET($BH$3,0,0,'Données projet'!$E$11+1,1))-AVERAGE(OFFSET($H$3,0,0,'Données projet'!$E$11+1,1))</f>
        <v>357.76044008074308</v>
      </c>
      <c r="BJ65" s="62">
        <f t="shared" si="38"/>
        <v>224.26555772810445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9.0701907759791602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9.0701907759791602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9.2524999999999977</v>
      </c>
      <c r="BY65" s="13">
        <f>IF('Données projet'!$A$114&gt;35,BY64+BX65-CG64,IF(A65&lt;'Données projet'!$A$114,$BV$205^A65,IF(A65='Données projet'!$A$114,'Données projet'!$B$114,BY64+BX65-CG64)))</f>
        <v>227.95000000000019</v>
      </c>
      <c r="BZ65" s="14">
        <f>BY65*VLOOKUP('Données projet'!$B$12,Paramètres!$A$1:$I$89,3,0)*VLOOKUP('Données projet'!$B$12,Paramètres!$A$1:$I$89,5,0)</f>
        <v>152.90886000000012</v>
      </c>
      <c r="CA65" s="14">
        <f t="shared" si="39"/>
        <v>39.238893738813772</v>
      </c>
      <c r="CB65" s="22">
        <f t="shared" si="10"/>
        <v>334.65733776176751</v>
      </c>
      <c r="CC65" s="62">
        <f t="shared" si="11"/>
        <v>627.99067109510088</v>
      </c>
      <c r="CD65" s="62">
        <f ca="1">AVERAGE(OFFSET($CC$3,0,0,'Données projet'!$E$12+1,1))-AVERAGE(OFFSET($H$3,0,0,'Données projet'!$E$12+1,1))</f>
        <v>222.86701323374945</v>
      </c>
      <c r="CE65" s="62">
        <f t="shared" si="40"/>
        <v>149.63671045240511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7.753550179466056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7.753550179466056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</v>
      </c>
      <c r="CT65" s="13">
        <f>IF('Données projet'!$A$140&gt;35,CT64+CS65-DB64,IF(A65&lt;'Données projet'!$A$140,$CQ$205^A65,IF(A65='Données projet'!$A$140,'Données projet'!$B$140,CT64+CS65-DB64)))</f>
        <v>217.40000000000012</v>
      </c>
      <c r="CU65" s="18">
        <f>CT65*VLOOKUP('Données projet'!$B$13,Paramètres!$A$1:$I$89,3,0)*VLOOKUP('Données projet'!$B$13,Paramètres!$A$1:$I$89,5,0)</f>
        <v>142.44048000000009</v>
      </c>
      <c r="CV65" s="14">
        <f t="shared" si="41"/>
        <v>36.855521628538284</v>
      </c>
      <c r="CW65" s="22">
        <f t="shared" si="13"/>
        <v>312.27386950303764</v>
      </c>
      <c r="CX65" s="62">
        <f t="shared" si="14"/>
        <v>605.60720283637102</v>
      </c>
      <c r="CY65" s="62">
        <f ca="1">AVERAGE(OFFSET($CX$3,0,0,'Données projet'!$E$13+1,1))-AVERAGE(OFFSET($H$3,0,0,'Données projet'!$E$13+1,1))</f>
        <v>173.15672762188746</v>
      </c>
      <c r="CZ65" s="62">
        <f t="shared" si="42"/>
        <v>208.54841796921414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12.996360771463197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12.996360771463197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11.896999999999997</v>
      </c>
      <c r="EJ65" s="13">
        <f>IF('Données projet'!$A$192&gt;35,EJ64+EI65-ER64,IF(A65&lt;'Données projet'!$A$192,$EG$205^A65,IF(A65='Données projet'!$A$192,'Données projet'!$B$192,EJ64+EI65-ER64)))</f>
        <v>394.88400000000019</v>
      </c>
      <c r="EK65" s="18">
        <f>EJ65*VLOOKUP('Données projet'!$B$15,Paramètres!$A$1:$I$89,3,0)*VLOOKUP('Données projet'!$B$15,Paramètres!$A$1:$I$89,5,0)</f>
        <v>236.14063200000015</v>
      </c>
      <c r="EL65" s="14">
        <f t="shared" si="45"/>
        <v>57.608386833134347</v>
      </c>
      <c r="EM65" s="22">
        <f t="shared" si="19"/>
        <v>511.61287446770933</v>
      </c>
      <c r="EN65" s="62">
        <f t="shared" si="20"/>
        <v>804.94620780104265</v>
      </c>
      <c r="EO65" s="62">
        <f ca="1">AVERAGE(OFFSET($EN$3,0,0,'Données projet'!$E$15+1,1))-AVERAGE(OFFSET($H$3,0,0,'Données projet'!$E$15+1,1))</f>
        <v>269.18638759204373</v>
      </c>
      <c r="EP65" s="62">
        <f t="shared" si="46"/>
        <v>197.07126167823969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53.50734151944615</v>
      </c>
      <c r="EW65" s="23">
        <f>EXP(-LN(2)/25)*EW64+(1-EXP(-LN(2)/25))/(LN(2)/25)*Calculateur!ER65*Calculateur!ET65*VLOOKUP('Données projet'!$B$15,Paramètres!$A$1:$I$89,3,0)*0.475*44/12</f>
        <v>15.156185885752009</v>
      </c>
      <c r="EX65" s="23">
        <f>EXP(-LN(2)/2)*EX64+(1-EXP(-LN(2)/2))/(LN(2)/2)*ER65*EU65*VLOOKUP('Données projet'!$B$15,Paramètres!$A$1:$I$89,3,0)*0.475*44/12</f>
        <v>2.2312031740853473</v>
      </c>
      <c r="EY65" s="24">
        <f t="shared" si="21"/>
        <v>70.894730579283504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1.1368683772161603E-13</v>
      </c>
      <c r="FF65" s="18">
        <f>FE65*VLOOKUP('Données projet'!$B$16,Paramètres!$A$1:$I$89,3,0)*VLOOKUP('Données projet'!$B$16,Paramètres!$A$1:$I$89,5,0)</f>
        <v>6.7984728957526396E-14</v>
      </c>
      <c r="FG65" s="14">
        <f t="shared" si="47"/>
        <v>1.0682447123141398E-12</v>
      </c>
      <c r="FH65" s="22">
        <f t="shared" si="22"/>
        <v>1.978932943548152E-12</v>
      </c>
      <c r="FI65" s="62">
        <f t="shared" si="23"/>
        <v>293.3333333333353</v>
      </c>
      <c r="FJ65" s="62">
        <f ca="1">AVERAGE(OFFSET($FI$3,0,0,'Données projet'!$E$16+1,1))-AVERAGE(OFFSET($H$3,0,0,'Données projet'!$E$16+1,1))</f>
        <v>330.48891719033065</v>
      </c>
      <c r="FK65" s="62">
        <f t="shared" si="48"/>
        <v>419.35494198427284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204.31177472117233</v>
      </c>
      <c r="FR65" s="23">
        <f>EXP(-LN(2)/25)*FR64+(1-EXP(-LN(2)/25))/(LN(2)/25)*Calculateur!FM65*Calculateur!FO65*VLOOKUP('Données projet'!$B$16,Paramètres!$A$1:$I$89,3,0)*0.475*44/12</f>
        <v>33.99095244595329</v>
      </c>
      <c r="FS65" s="23">
        <f>EXP(-LN(2)/2)*FS64+(1-EXP(-LN(2)/2))/(LN(2)/2)*FM65*FP65*VLOOKUP('Données projet'!$B$16,Paramètres!$A$1:$I$89,3,0)*0.475*44/12</f>
        <v>4.342316584231134</v>
      </c>
      <c r="FT65" s="24">
        <f t="shared" si="24"/>
        <v>242.64504375135675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>
        <f>FZ65*VLOOKUP('Données projet'!$B$17,Paramètres!$A$1:$I$89,3,0)*VLOOKUP('Données projet'!$B$17,Paramètres!$A$1:$I$89,5,0)</f>
        <v>0</v>
      </c>
      <c r="GB65" s="14" t="e">
        <f t="shared" si="49"/>
        <v>#NUM!</v>
      </c>
      <c r="GC65" s="22" t="e">
        <f t="shared" si="25"/>
        <v>#NUM!</v>
      </c>
      <c r="GD65" s="62" t="e">
        <f t="shared" si="26"/>
        <v>#NUM!</v>
      </c>
      <c r="GE65" s="62">
        <f ca="1">AVERAGE(OFFSET($GD$3,0,0,'Données projet'!$E$17+1,1))-AVERAGE(OFFSET($H$3,0,0,'Données projet'!$E$17+1,1))</f>
        <v>132.18258156780018</v>
      </c>
      <c r="GF65" s="62">
        <f t="shared" si="50"/>
        <v>315.58133946947294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23.015218209822738</v>
      </c>
      <c r="GM65" s="23">
        <f>EXP(-LN(2)/25)*GM64+(1-EXP(-LN(2)/25))/(LN(2)/25)*Calculateur!GH65*Calculateur!GJ65*VLOOKUP('Données projet'!$B$17,Paramètres!$A$1:$I$89,3,0)*0.475*44/12</f>
        <v>7.6406532631038955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30.655871472926634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9">
        <f t="shared" si="1"/>
        <v>382.37583686147428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9.2524999999999977</v>
      </c>
      <c r="N66" s="14">
        <f>IF('Données projet'!$A$36&gt;35,N65+M66-V65,IF(A66&lt;'Données projet'!$A$36,$K$205^A66,IF(A66='Données projet'!$A$36,'Données projet'!$B$36,N65+M66-V65)))</f>
        <v>237.20250000000019</v>
      </c>
      <c r="O66" s="14">
        <f>N66*VLOOKUP('Données projet'!$B$9,Paramètres!$A$1:$I$89,3,0)*VLOOKUP('Données projet'!$B$9,Paramètres!$A$1:$I$89,5,0)</f>
        <v>214.62082200000015</v>
      </c>
      <c r="P66" s="14">
        <f t="shared" si="33"/>
        <v>52.944068896315315</v>
      </c>
      <c r="Q66" s="22">
        <f t="shared" si="53"/>
        <v>466.0088516444161</v>
      </c>
      <c r="R66" s="62">
        <f t="shared" si="0"/>
        <v>759.34218497774941</v>
      </c>
      <c r="S66" s="62">
        <f ca="1">AVERAGE(OFFSET($R$3,0,0,'Données projet'!$E$9+1,1))-AVERAGE(OFFSET($H$3,0,0,'Données projet'!$E$9+1,1))</f>
        <v>401.86262166363821</v>
      </c>
      <c r="T66" s="62">
        <f t="shared" si="34"/>
        <v>208.60314230781432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8.3186311660270054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8.3186311660270054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9.2524999999999977</v>
      </c>
      <c r="AI66" s="14">
        <f>IF('Données projet'!$A$62&gt;35,AI65+AH66-AQ65,IF(A66&lt;'Données projet'!$A$62,$AF$205^A66,IF(A66='Données projet'!$A$62,'Données projet'!$B$62,AI65+AH66-AQ65)))</f>
        <v>237.20250000000019</v>
      </c>
      <c r="AJ66" s="14">
        <f>AI66*VLOOKUP('Données projet'!$B$10,Paramètres!$A$1:$I$89,3,0)*VLOOKUP('Données projet'!$B$10,Paramètres!$A$1:$I$89,5,0)</f>
        <v>255.3247710000002</v>
      </c>
      <c r="AK66" s="14">
        <f t="shared" si="35"/>
        <v>61.724758075257945</v>
      </c>
      <c r="AL66" s="22">
        <f t="shared" si="4"/>
        <v>552.19459647274118</v>
      </c>
      <c r="AM66" s="62">
        <f t="shared" si="5"/>
        <v>845.52792980607455</v>
      </c>
      <c r="AN66" s="62">
        <f ca="1">AVERAGE(OFFSET($AM$3,0,0,'Données projet'!$E$10+1,1))-AVERAGE(OFFSET($H$3,0,0,'Données projet'!$E$10+1,1))</f>
        <v>407.22515465568205</v>
      </c>
      <c r="AO66" s="62">
        <f t="shared" si="36"/>
        <v>251.6218558398258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9.8963025940666114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9.8963025940666114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9.2524999999999977</v>
      </c>
      <c r="BD66" s="13">
        <f>IF('Données projet'!$A$88&gt;35,BD65+BC66-BL65,IF(A66&lt;'Données projet'!$A$88,$BA$205^A66,IF(A66='Données projet'!$A$88,'Données projet'!$B$88,BD65+BC66-BL65)))</f>
        <v>237.20250000000019</v>
      </c>
      <c r="BE66" s="14">
        <f>BD66*VLOOKUP('Données projet'!$B$11,Paramètres!$A$1:$I$89,3,0)*VLOOKUP('Données projet'!$B$11,Paramètres!$A$1:$I$89,5,0)</f>
        <v>229.4222580000002</v>
      </c>
      <c r="BF66" s="14">
        <f t="shared" si="37"/>
        <v>56.157741923307334</v>
      </c>
      <c r="BG66" s="22">
        <f t="shared" si="7"/>
        <v>497.38516653309392</v>
      </c>
      <c r="BH66" s="62">
        <f t="shared" si="8"/>
        <v>790.71849986642724</v>
      </c>
      <c r="BI66" s="62">
        <f ca="1">AVERAGE(OFFSET($BH$3,0,0,'Données projet'!$E$11+1,1))-AVERAGE(OFFSET($H$3,0,0,'Données projet'!$E$11+1,1))</f>
        <v>357.76044008074308</v>
      </c>
      <c r="BJ66" s="62">
        <f t="shared" si="38"/>
        <v>224.26555772810445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8.8923298671323163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8.8923298671323163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9.2524999999999977</v>
      </c>
      <c r="BY66" s="13">
        <f>IF('Données projet'!$A$114&gt;35,BY65+BX66-CG65,IF(A66&lt;'Données projet'!$A$114,$BV$205^A66,IF(A66='Données projet'!$A$114,'Données projet'!$B$114,BY65+BX66-CG65)))</f>
        <v>237.20250000000019</v>
      </c>
      <c r="BZ66" s="14">
        <f>BY66*VLOOKUP('Données projet'!$B$12,Paramètres!$A$1:$I$89,3,0)*VLOOKUP('Données projet'!$B$12,Paramètres!$A$1:$I$89,5,0)</f>
        <v>159.11543700000013</v>
      </c>
      <c r="CA66" s="14">
        <f t="shared" si="39"/>
        <v>40.642935424359166</v>
      </c>
      <c r="CB66" s="22">
        <f t="shared" si="10"/>
        <v>347.91249863909246</v>
      </c>
      <c r="CC66" s="62">
        <f t="shared" si="11"/>
        <v>641.24583197242578</v>
      </c>
      <c r="CD66" s="62">
        <f ca="1">AVERAGE(OFFSET($CC$3,0,0,'Données projet'!$E$12+1,1))-AVERAGE(OFFSET($H$3,0,0,'Données projet'!$E$12+1,1))</f>
        <v>222.86701323374945</v>
      </c>
      <c r="CE66" s="62">
        <f t="shared" si="40"/>
        <v>149.63671045240511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7.6015077896453667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7.6015077896453667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</v>
      </c>
      <c r="CT66" s="13">
        <f>IF('Données projet'!$A$140&gt;35,CT65+CS66-DB65,IF(A66&lt;'Données projet'!$A$140,$CQ$205^A66,IF(A66='Données projet'!$A$140,'Données projet'!$B$140,CT65+CS66-DB65)))</f>
        <v>222.60000000000011</v>
      </c>
      <c r="CU66" s="18">
        <f>CT66*VLOOKUP('Données projet'!$B$13,Paramètres!$A$1:$I$89,3,0)*VLOOKUP('Données projet'!$B$13,Paramètres!$A$1:$I$89,5,0)</f>
        <v>145.84752000000009</v>
      </c>
      <c r="CV66" s="14">
        <f t="shared" si="41"/>
        <v>37.633383344887093</v>
      </c>
      <c r="CW66" s="22">
        <f t="shared" si="13"/>
        <v>319.56257332567844</v>
      </c>
      <c r="CX66" s="62">
        <f t="shared" si="14"/>
        <v>612.89590665901176</v>
      </c>
      <c r="CY66" s="62">
        <f ca="1">AVERAGE(OFFSET($CX$3,0,0,'Données projet'!$E$13+1,1))-AVERAGE(OFFSET($H$3,0,0,'Données projet'!$E$13+1,1))</f>
        <v>173.15672762188746</v>
      </c>
      <c r="CZ66" s="62">
        <f t="shared" si="42"/>
        <v>208.54841796921414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12.741510063732148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12.741510063732148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11.896999999999997</v>
      </c>
      <c r="EJ66" s="13">
        <f>IF('Données projet'!$A$192&gt;35,EJ65+EI66-ER65,IF(A66&lt;'Données projet'!$A$192,$EG$205^A66,IF(A66='Données projet'!$A$192,'Données projet'!$B$192,EJ65+EI66-ER65)))</f>
        <v>406.78100000000018</v>
      </c>
      <c r="EK66" s="18">
        <f>EJ66*VLOOKUP('Données projet'!$B$15,Paramètres!$A$1:$I$89,3,0)*VLOOKUP('Données projet'!$B$15,Paramètres!$A$1:$I$89,5,0)</f>
        <v>243.25503800000013</v>
      </c>
      <c r="EL66" s="14">
        <f t="shared" si="45"/>
        <v>59.139317725784991</v>
      </c>
      <c r="EM66" s="22">
        <f t="shared" si="19"/>
        <v>526.6701695557424</v>
      </c>
      <c r="EN66" s="62">
        <f t="shared" si="20"/>
        <v>820.00350288907566</v>
      </c>
      <c r="EO66" s="62">
        <f ca="1">AVERAGE(OFFSET($EN$3,0,0,'Données projet'!$E$15+1,1))-AVERAGE(OFFSET($H$3,0,0,'Données projet'!$E$15+1,1))</f>
        <v>269.18638759204373</v>
      </c>
      <c r="EP66" s="62">
        <f t="shared" si="46"/>
        <v>197.07126167823969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52.458095188505574</v>
      </c>
      <c r="EW66" s="23">
        <f>EXP(-LN(2)/25)*EW65+(1-EXP(-LN(2)/25))/(LN(2)/25)*Calculateur!ER66*Calculateur!ET66*VLOOKUP('Données projet'!$B$15,Paramètres!$A$1:$I$89,3,0)*0.475*44/12</f>
        <v>14.741739185676945</v>
      </c>
      <c r="EX66" s="23">
        <f>EXP(-LN(2)/2)*EX65+(1-EXP(-LN(2)/2))/(LN(2)/2)*ER66*EU66*VLOOKUP('Données projet'!$B$15,Paramètres!$A$1:$I$89,3,0)*0.475*44/12</f>
        <v>1.577698894600698</v>
      </c>
      <c r="EY66" s="24">
        <f t="shared" si="21"/>
        <v>68.777533268783216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1.1368683772161603E-13</v>
      </c>
      <c r="FF66" s="18">
        <f>FE66*VLOOKUP('Données projet'!$B$16,Paramètres!$A$1:$I$89,3,0)*VLOOKUP('Données projet'!$B$16,Paramètres!$A$1:$I$89,5,0)</f>
        <v>6.7984728957526396E-14</v>
      </c>
      <c r="FG66" s="14">
        <f t="shared" si="47"/>
        <v>1.0682447123141398E-12</v>
      </c>
      <c r="FH66" s="22">
        <f t="shared" si="22"/>
        <v>1.978932943548152E-12</v>
      </c>
      <c r="FI66" s="62">
        <f t="shared" si="23"/>
        <v>293.3333333333353</v>
      </c>
      <c r="FJ66" s="62">
        <f ca="1">AVERAGE(OFFSET($FI$3,0,0,'Données projet'!$E$16+1,1))-AVERAGE(OFFSET($H$3,0,0,'Données projet'!$E$16+1,1))</f>
        <v>330.48891719033065</v>
      </c>
      <c r="FK66" s="62">
        <f t="shared" si="48"/>
        <v>419.35494198427284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200.30534543676774</v>
      </c>
      <c r="FR66" s="23">
        <f>EXP(-LN(2)/25)*FR65+(1-EXP(-LN(2)/25))/(LN(2)/25)*Calculateur!FM66*Calculateur!FO66*VLOOKUP('Données projet'!$B$16,Paramètres!$A$1:$I$89,3,0)*0.475*44/12</f>
        <v>33.061468063812192</v>
      </c>
      <c r="FS66" s="23">
        <f>EXP(-LN(2)/2)*FS65+(1-EXP(-LN(2)/2))/(LN(2)/2)*FM66*FP66*VLOOKUP('Données projet'!$B$16,Paramètres!$A$1:$I$89,3,0)*0.475*44/12</f>
        <v>3.070481502768641</v>
      </c>
      <c r="FT66" s="24">
        <f t="shared" si="24"/>
        <v>236.43729500334857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>
        <f>FZ66*VLOOKUP('Données projet'!$B$17,Paramètres!$A$1:$I$89,3,0)*VLOOKUP('Données projet'!$B$17,Paramètres!$A$1:$I$89,5,0)</f>
        <v>0</v>
      </c>
      <c r="GB66" s="14" t="e">
        <f t="shared" si="49"/>
        <v>#NUM!</v>
      </c>
      <c r="GC66" s="22" t="e">
        <f t="shared" si="25"/>
        <v>#NUM!</v>
      </c>
      <c r="GD66" s="62" t="e">
        <f t="shared" si="26"/>
        <v>#NUM!</v>
      </c>
      <c r="GE66" s="62">
        <f ca="1">AVERAGE(OFFSET($GD$3,0,0,'Données projet'!$E$17+1,1))-AVERAGE(OFFSET($H$3,0,0,'Données projet'!$E$17+1,1))</f>
        <v>132.18258156780018</v>
      </c>
      <c r="GF66" s="62">
        <f t="shared" si="50"/>
        <v>315.58133946947294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22.563903818625096</v>
      </c>
      <c r="GM66" s="23">
        <f>EXP(-LN(2)/25)*GM65+(1-EXP(-LN(2)/25))/(LN(2)/25)*Calculateur!GH66*Calculateur!GJ66*VLOOKUP('Données projet'!$B$17,Paramètres!$A$1:$I$89,3,0)*0.475*44/12</f>
        <v>7.4317191978198274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29.995623016444924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9">
        <f t="shared" si="1"/>
        <v>384.31886288369424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9.2524999999999977</v>
      </c>
      <c r="N67" s="14">
        <f>IF('Données projet'!$A$36&gt;35,N66+M67-V66,IF(A67&lt;'Données projet'!$A$36,$K$205^A67,IF(A67='Données projet'!$A$36,'Données projet'!$B$36,N66+M67-V66)))</f>
        <v>246.45500000000018</v>
      </c>
      <c r="O67" s="14">
        <f>N67*VLOOKUP('Données projet'!$B$9,Paramètres!$A$1:$I$89,3,0)*VLOOKUP('Données projet'!$B$9,Paramètres!$A$1:$I$89,5,0)</f>
        <v>222.99248400000016</v>
      </c>
      <c r="P67" s="14">
        <f t="shared" si="33"/>
        <v>54.764775031234961</v>
      </c>
      <c r="Q67" s="22">
        <f t="shared" ref="Q67:Q98" si="54">(O67+P67)*0.475*44/12</f>
        <v>483.76055947940108</v>
      </c>
      <c r="R67" s="62">
        <f t="shared" ref="R67:R130" si="55">Q67+(I67+J67)*44/12</f>
        <v>777.09389281273434</v>
      </c>
      <c r="S67" s="62">
        <f ca="1">AVERAGE(OFFSET($R$3,0,0,'Données projet'!$E$9+1,1))-AVERAGE(OFFSET($H$3,0,0,'Données projet'!$E$9+1,1))</f>
        <v>401.86262166363821</v>
      </c>
      <c r="T67" s="62">
        <f t="shared" si="34"/>
        <v>208.60314230781432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8.1555078827252245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8.1555078827252245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9.2524999999999977</v>
      </c>
      <c r="AI67" s="14">
        <f>IF('Données projet'!$A$62&gt;35,AI66+AH67-AQ66,IF(A67&lt;'Données projet'!$A$62,$AF$205^A67,IF(A67='Données projet'!$A$62,'Données projet'!$B$62,AI66+AH67-AQ66)))</f>
        <v>246.45500000000018</v>
      </c>
      <c r="AJ67" s="14">
        <f>AI67*VLOOKUP('Données projet'!$B$10,Paramètres!$A$1:$I$89,3,0)*VLOOKUP('Données projet'!$B$10,Paramètres!$A$1:$I$89,5,0)</f>
        <v>265.28416200000015</v>
      </c>
      <c r="AK67" s="14">
        <f t="shared" si="35"/>
        <v>63.847425411690686</v>
      </c>
      <c r="AL67" s="22">
        <f t="shared" si="4"/>
        <v>573.23751474202811</v>
      </c>
      <c r="AM67" s="62">
        <f t="shared" si="5"/>
        <v>866.57084807536148</v>
      </c>
      <c r="AN67" s="62">
        <f ca="1">AVERAGE(OFFSET($AM$3,0,0,'Données projet'!$E$10+1,1))-AVERAGE(OFFSET($H$3,0,0,'Données projet'!$E$10+1,1))</f>
        <v>407.22515465568205</v>
      </c>
      <c r="AO67" s="62">
        <f t="shared" si="36"/>
        <v>251.6218558398258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9.7022421363455269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9.7022421363455269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9.2524999999999977</v>
      </c>
      <c r="BD67" s="13">
        <f>IF('Données projet'!$A$88&gt;35,BD66+BC67-BL66,IF(A67&lt;'Données projet'!$A$88,$BA$205^A67,IF(A67='Données projet'!$A$88,'Données projet'!$B$88,BD66+BC67-BL66)))</f>
        <v>246.45500000000018</v>
      </c>
      <c r="BE67" s="14">
        <f>BD67*VLOOKUP('Données projet'!$B$11,Paramètres!$A$1:$I$89,3,0)*VLOOKUP('Données projet'!$B$11,Paramètres!$A$1:$I$89,5,0)</f>
        <v>238.37127600000017</v>
      </c>
      <c r="BF67" s="14">
        <f t="shared" si="37"/>
        <v>58.088963821708049</v>
      </c>
      <c r="BG67" s="22">
        <f t="shared" si="7"/>
        <v>516.33491768947522</v>
      </c>
      <c r="BH67" s="62">
        <f t="shared" si="8"/>
        <v>809.66825102280859</v>
      </c>
      <c r="BI67" s="62">
        <f ca="1">AVERAGE(OFFSET($BH$3,0,0,'Données projet'!$E$11+1,1))-AVERAGE(OFFSET($H$3,0,0,'Données projet'!$E$11+1,1))</f>
        <v>357.76044008074308</v>
      </c>
      <c r="BJ67" s="62">
        <f t="shared" si="38"/>
        <v>224.26555772810445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8.7179567022235158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8.7179567022235158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9.2524999999999977</v>
      </c>
      <c r="BY67" s="13">
        <f>IF('Données projet'!$A$114&gt;35,BY66+BX67-CG66,IF(A67&lt;'Données projet'!$A$114,$BV$205^A67,IF(A67='Données projet'!$A$114,'Données projet'!$B$114,BY66+BX67-CG66)))</f>
        <v>246.45500000000018</v>
      </c>
      <c r="BZ67" s="14">
        <f>BY67*VLOOKUP('Données projet'!$B$12,Paramètres!$A$1:$I$89,3,0)*VLOOKUP('Données projet'!$B$12,Paramètres!$A$1:$I$89,5,0)</f>
        <v>165.32201400000011</v>
      </c>
      <c r="CA67" s="14">
        <f t="shared" si="39"/>
        <v>42.040614964501643</v>
      </c>
      <c r="CB67" s="22">
        <f t="shared" si="10"/>
        <v>361.15657877984057</v>
      </c>
      <c r="CC67" s="62">
        <f t="shared" si="11"/>
        <v>654.48991211317389</v>
      </c>
      <c r="CD67" s="62">
        <f ca="1">AVERAGE(OFFSET($CC$3,0,0,'Données projet'!$E$12+1,1))-AVERAGE(OFFSET($H$3,0,0,'Données projet'!$E$12+1,1))</f>
        <v>222.86701323374945</v>
      </c>
      <c r="CE67" s="62">
        <f t="shared" si="40"/>
        <v>149.63671045240511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7.45244685835236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7.45244685835236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</v>
      </c>
      <c r="CT67" s="13">
        <f>IF('Données projet'!$A$140&gt;35,CT66+CS67-DB66,IF(A67&lt;'Données projet'!$A$140,$CQ$205^A67,IF(A67='Données projet'!$A$140,'Données projet'!$B$140,CT66+CS67-DB66)))</f>
        <v>227.8000000000001</v>
      </c>
      <c r="CU67" s="18">
        <f>CT67*VLOOKUP('Données projet'!$B$13,Paramètres!$A$1:$I$89,3,0)*VLOOKUP('Données projet'!$B$13,Paramètres!$A$1:$I$89,5,0)</f>
        <v>149.25456000000005</v>
      </c>
      <c r="CV67" s="14">
        <f t="shared" si="41"/>
        <v>38.409132618275962</v>
      </c>
      <c r="CW67" s="22">
        <f t="shared" si="13"/>
        <v>326.84759797683068</v>
      </c>
      <c r="CX67" s="62">
        <f t="shared" si="14"/>
        <v>620.18093131016394</v>
      </c>
      <c r="CY67" s="62">
        <f ca="1">AVERAGE(OFFSET($CX$3,0,0,'Données projet'!$E$13+1,1))-AVERAGE(OFFSET($H$3,0,0,'Données projet'!$E$13+1,1))</f>
        <v>173.15672762188746</v>
      </c>
      <c r="CZ67" s="62">
        <f t="shared" si="42"/>
        <v>208.54841796921414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12.491656822936122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12.491656822936122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11.896999999999997</v>
      </c>
      <c r="EJ67" s="13">
        <f>IF('Données projet'!$A$192&gt;35,EJ66+EI67-ER66,IF(A67&lt;'Données projet'!$A$192,$EG$205^A67,IF(A67='Données projet'!$A$192,'Données projet'!$B$192,EJ66+EI67-ER66)))</f>
        <v>418.67800000000017</v>
      </c>
      <c r="EK67" s="18">
        <f>EJ67*VLOOKUP('Données projet'!$B$15,Paramètres!$A$1:$I$89,3,0)*VLOOKUP('Données projet'!$B$15,Paramètres!$A$1:$I$89,5,0)</f>
        <v>250.36944400000013</v>
      </c>
      <c r="EL67" s="14">
        <f t="shared" si="45"/>
        <v>60.665044924256527</v>
      </c>
      <c r="EM67" s="22">
        <f t="shared" si="19"/>
        <v>541.71840154308029</v>
      </c>
      <c r="EN67" s="62">
        <f t="shared" si="20"/>
        <v>835.05173487641355</v>
      </c>
      <c r="EO67" s="62">
        <f ca="1">AVERAGE(OFFSET($EN$3,0,0,'Données projet'!$E$15+1,1))-AVERAGE(OFFSET($H$3,0,0,'Données projet'!$E$15+1,1))</f>
        <v>269.18638759204373</v>
      </c>
      <c r="EP67" s="62">
        <f t="shared" si="46"/>
        <v>197.07126167823969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51.429423938137674</v>
      </c>
      <c r="EW67" s="23">
        <f>EXP(-LN(2)/25)*EW66+(1-EXP(-LN(2)/25))/(LN(2)/25)*Calculateur!ER67*Calculateur!ET67*VLOOKUP('Données projet'!$B$15,Paramètres!$A$1:$I$89,3,0)*0.475*44/12</f>
        <v>14.338625552410237</v>
      </c>
      <c r="EX67" s="23">
        <f>EXP(-LN(2)/2)*EX66+(1-EXP(-LN(2)/2))/(LN(2)/2)*ER67*EU67*VLOOKUP('Données projet'!$B$15,Paramètres!$A$1:$I$89,3,0)*0.475*44/12</f>
        <v>1.1156015870426736</v>
      </c>
      <c r="EY67" s="24">
        <f t="shared" si="21"/>
        <v>66.883651077590585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1.1368683772161603E-13</v>
      </c>
      <c r="FF67" s="18">
        <f>FE67*VLOOKUP('Données projet'!$B$16,Paramètres!$A$1:$I$89,3,0)*VLOOKUP('Données projet'!$B$16,Paramètres!$A$1:$I$89,5,0)</f>
        <v>6.7984728957526396E-14</v>
      </c>
      <c r="FG67" s="14">
        <f t="shared" si="47"/>
        <v>1.0682447123141398E-12</v>
      </c>
      <c r="FH67" s="22">
        <f t="shared" si="22"/>
        <v>1.978932943548152E-12</v>
      </c>
      <c r="FI67" s="62">
        <f t="shared" si="23"/>
        <v>293.3333333333353</v>
      </c>
      <c r="FJ67" s="62">
        <f ca="1">AVERAGE(OFFSET($FI$3,0,0,'Données projet'!$E$16+1,1))-AVERAGE(OFFSET($H$3,0,0,'Données projet'!$E$16+1,1))</f>
        <v>330.48891719033065</v>
      </c>
      <c r="FK67" s="62">
        <f t="shared" si="48"/>
        <v>419.35494198427284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196.37747978694975</v>
      </c>
      <c r="FR67" s="23">
        <f>EXP(-LN(2)/25)*FR66+(1-EXP(-LN(2)/25))/(LN(2)/25)*Calculateur!FM67*Calculateur!FO67*VLOOKUP('Données projet'!$B$16,Paramètres!$A$1:$I$89,3,0)*0.475*44/12</f>
        <v>32.157400480980208</v>
      </c>
      <c r="FS67" s="23">
        <f>EXP(-LN(2)/2)*FS66+(1-EXP(-LN(2)/2))/(LN(2)/2)*FM67*FP67*VLOOKUP('Données projet'!$B$16,Paramètres!$A$1:$I$89,3,0)*0.475*44/12</f>
        <v>2.171158292115567</v>
      </c>
      <c r="FT67" s="24">
        <f t="shared" si="24"/>
        <v>230.70603856004553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>
        <f>FZ67*VLOOKUP('Données projet'!$B$17,Paramètres!$A$1:$I$89,3,0)*VLOOKUP('Données projet'!$B$17,Paramètres!$A$1:$I$89,5,0)</f>
        <v>0</v>
      </c>
      <c r="GB67" s="14" t="e">
        <f t="shared" si="49"/>
        <v>#NUM!</v>
      </c>
      <c r="GC67" s="22" t="e">
        <f t="shared" si="25"/>
        <v>#NUM!</v>
      </c>
      <c r="GD67" s="62" t="e">
        <f t="shared" si="26"/>
        <v>#NUM!</v>
      </c>
      <c r="GE67" s="62">
        <f ca="1">AVERAGE(OFFSET($GD$3,0,0,'Données projet'!$E$17+1,1))-AVERAGE(OFFSET($H$3,0,0,'Données projet'!$E$17+1,1))</f>
        <v>132.18258156780018</v>
      </c>
      <c r="GF67" s="62">
        <f t="shared" si="50"/>
        <v>315.58133946947294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22.121439427364241</v>
      </c>
      <c r="GM67" s="23">
        <f>EXP(-LN(2)/25)*GM66+(1-EXP(-LN(2)/25))/(LN(2)/25)*Calculateur!GH67*Calculateur!GJ67*VLOOKUP('Données projet'!$B$17,Paramètres!$A$1:$I$89,3,0)*0.475*44/12</f>
        <v>7.2284984455383174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29.349937872902558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9">
        <f t="shared" ref="H68:H131" si="56">(B68+E68+F68)*44/12+(C68+D68)*0.475*44/12</f>
        <v>386.26117232825266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9.2524999999999977</v>
      </c>
      <c r="N68" s="14">
        <f>IF('Données projet'!$A$36&gt;35,N67+M68-V67,IF(A68&lt;'Données projet'!$A$36,$K$205^A68,IF(A68='Données projet'!$A$36,'Données projet'!$B$36,N67+M68-V67)))</f>
        <v>255.70750000000018</v>
      </c>
      <c r="O68" s="14">
        <f>N68*VLOOKUP('Données projet'!$B$9,Paramètres!$A$1:$I$89,3,0)*VLOOKUP('Données projet'!$B$9,Paramètres!$A$1:$I$89,5,0)</f>
        <v>231.36414600000015</v>
      </c>
      <c r="P68" s="14">
        <f t="shared" si="33"/>
        <v>56.57754019728695</v>
      </c>
      <c r="Q68" s="22">
        <f t="shared" si="54"/>
        <v>501.49843679360833</v>
      </c>
      <c r="R68" s="62">
        <f t="shared" si="55"/>
        <v>794.83177012694159</v>
      </c>
      <c r="S68" s="62">
        <f ca="1">AVERAGE(OFFSET($R$3,0,0,'Données projet'!$E$9+1,1))-AVERAGE(OFFSET($H$3,0,0,'Données projet'!$E$9+1,1))</f>
        <v>401.86262166363821</v>
      </c>
      <c r="T68" s="62">
        <f t="shared" si="34"/>
        <v>208.60314230781432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7.9955833475136133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7.9955833475136133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9.2524999999999977</v>
      </c>
      <c r="AI68" s="14">
        <f>IF('Données projet'!$A$62&gt;35,AI67+AH68-AQ67,IF(A68&lt;'Données projet'!$A$62,$AF$205^A68,IF(A68='Données projet'!$A$62,'Données projet'!$B$62,AI67+AH68-AQ67)))</f>
        <v>255.70750000000018</v>
      </c>
      <c r="AJ68" s="14">
        <f>AI68*VLOOKUP('Données projet'!$B$10,Paramètres!$A$1:$I$89,3,0)*VLOOKUP('Données projet'!$B$10,Paramètres!$A$1:$I$89,5,0)</f>
        <v>275.24355300000019</v>
      </c>
      <c r="AK68" s="14">
        <f t="shared" si="35"/>
        <v>65.960834782265181</v>
      </c>
      <c r="AL68" s="22">
        <f t="shared" ref="AL68:AL131" si="58">(AJ68+AK68)*0.475*44/12</f>
        <v>594.26430872077879</v>
      </c>
      <c r="AM68" s="62">
        <f t="shared" ref="AM68:AM131" si="59">AL68+(AD68+AE68)*44/12</f>
        <v>887.59764205411216</v>
      </c>
      <c r="AN68" s="62">
        <f ca="1">AVERAGE(OFFSET($AM$3,0,0,'Données projet'!$E$10+1,1))-AVERAGE(OFFSET($H$3,0,0,'Données projet'!$E$10+1,1))</f>
        <v>407.22515465568205</v>
      </c>
      <c r="AO68" s="62">
        <f t="shared" si="36"/>
        <v>251.6218558398258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9.5119870858351625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9.5119870858351625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9.2524999999999977</v>
      </c>
      <c r="BD68" s="13">
        <f>IF('Données projet'!$A$88&gt;35,BD67+BC68-BL67,IF(A68&lt;'Données projet'!$A$88,$BA$205^A68,IF(A68='Données projet'!$A$88,'Données projet'!$B$88,BD67+BC68-BL67)))</f>
        <v>255.70750000000018</v>
      </c>
      <c r="BE68" s="14">
        <f>BD68*VLOOKUP('Données projet'!$B$11,Paramètres!$A$1:$I$89,3,0)*VLOOKUP('Données projet'!$B$11,Paramètres!$A$1:$I$89,5,0)</f>
        <v>247.32029400000016</v>
      </c>
      <c r="BF68" s="14">
        <f t="shared" si="37"/>
        <v>60.011762739223698</v>
      </c>
      <c r="BG68" s="22">
        <f t="shared" ref="BG68:BG131" si="61">(BE68+BF68)*0.475*44/12</f>
        <v>535.26999882081486</v>
      </c>
      <c r="BH68" s="62">
        <f t="shared" ref="BH68:BH131" si="62">BG68+(AY68+AZ68)*44/12</f>
        <v>828.60333215414812</v>
      </c>
      <c r="BI68" s="62">
        <f ca="1">AVERAGE(OFFSET($BH$3,0,0,'Données projet'!$E$11+1,1))-AVERAGE(OFFSET($H$3,0,0,'Données projet'!$E$11+1,1))</f>
        <v>357.76044008074308</v>
      </c>
      <c r="BJ68" s="62">
        <f t="shared" si="38"/>
        <v>224.26555772810445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8.5470028887214493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8.5470028887214493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9.2524999999999977</v>
      </c>
      <c r="BY68" s="13">
        <f>IF('Données projet'!$A$114&gt;35,BY67+BX68-CG67,IF(A68&lt;'Données projet'!$A$114,$BV$205^A68,IF(A68='Données projet'!$A$114,'Données projet'!$B$114,BY67+BX68-CG67)))</f>
        <v>255.70750000000018</v>
      </c>
      <c r="BZ68" s="14">
        <f>BY68*VLOOKUP('Données projet'!$B$12,Paramètres!$A$1:$I$89,3,0)*VLOOKUP('Données projet'!$B$12,Paramètres!$A$1:$I$89,5,0)</f>
        <v>171.52859100000012</v>
      </c>
      <c r="CA68" s="14">
        <f t="shared" si="39"/>
        <v>43.43219855675752</v>
      </c>
      <c r="CB68" s="22">
        <f t="shared" ref="CB68:CB131" si="64">(BZ68+CA68)*0.475*44/12</f>
        <v>374.39004181135289</v>
      </c>
      <c r="CC68" s="62">
        <f t="shared" ref="CC68:CC131" si="65">CB68+(BT68+BU68)*44/12</f>
        <v>667.7233751446862</v>
      </c>
      <c r="CD68" s="62">
        <f ca="1">AVERAGE(OFFSET($CC$3,0,0,'Données projet'!$E$12+1,1))-AVERAGE(OFFSET($H$3,0,0,'Données projet'!$E$12+1,1))</f>
        <v>222.86701323374945</v>
      </c>
      <c r="CE68" s="62">
        <f t="shared" si="40"/>
        <v>149.63671045240511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7.3063089210038186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7.3063089210038186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233</v>
      </c>
      <c r="CR68" s="13">
        <f>VLOOKUP(A68,'Données projet'!$A$139:$I$159,9,0)</f>
        <v>5.2</v>
      </c>
      <c r="CS68" s="13">
        <f t="array" ref="CS68">INDEX(CR:CR,MIN(IF(ISNUMBER(CR68:CR264),ROW(CR68:CR264),"")))</f>
        <v>5.2</v>
      </c>
      <c r="CT68" s="13">
        <f>IF('Données projet'!$A$140&gt;35,CT67+CS68-DB67,IF(A68&lt;'Données projet'!$A$140,$CQ$205^A68,IF(A68='Données projet'!$A$140,'Données projet'!$B$140,CT67+CS68-DB67)))</f>
        <v>233.00000000000009</v>
      </c>
      <c r="CU68" s="18">
        <f>CT68*VLOOKUP('Données projet'!$B$13,Paramètres!$A$1:$I$89,3,0)*VLOOKUP('Données projet'!$B$13,Paramètres!$A$1:$I$89,5,0)</f>
        <v>152.66160000000005</v>
      </c>
      <c r="CV68" s="14">
        <f t="shared" si="41"/>
        <v>39.182823220412118</v>
      </c>
      <c r="CW68" s="22">
        <f t="shared" ref="CW68:CW131" si="67">(CU68+CV68)*0.475*44/12</f>
        <v>334.12903710888457</v>
      </c>
      <c r="CX68" s="62">
        <f t="shared" ref="CX68:CX131" si="68">CW68+(CO68+CP68)*44/12</f>
        <v>627.46237044221789</v>
      </c>
      <c r="CY68" s="62">
        <f ca="1">AVERAGE(OFFSET($CX$3,0,0,'Données projet'!$E$13+1,1))-AVERAGE(OFFSET($H$3,0,0,'Données projet'!$E$13+1,1))</f>
        <v>173.15672762188746</v>
      </c>
      <c r="CZ68" s="62">
        <f t="shared" si="42"/>
        <v>208.54841796921414</v>
      </c>
      <c r="DA68" s="16">
        <f>IF(ISNA(VLOOKUP(A68,'Données projet'!$A$139:$I$159,3,0)),0,VLOOKUP(A68,'Données projet'!$A$139:$I$159,3,0))</f>
        <v>12</v>
      </c>
      <c r="DB68" s="16">
        <f>IF(ISNA(VLOOKUP(A68,'Données projet'!$A$139:$I$159,4,0)),0,VLOOKUP(A68,'Données projet'!$A$139:$I$159,4,0))</f>
        <v>20</v>
      </c>
      <c r="DC68" s="17">
        <f>IF(ISNA(VLOOKUP(A68,'Données projet'!$A$139:$I$159,5,0)),0%,VLOOKUP(A68,'Données projet'!$A$139:$I$159,5,0)*VLOOKUP('Données projet'!$B$13,Paramètres!$A$1:$I$89,7,0))</f>
        <v>0.215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15.361211080277629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15.361211080277629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11.896999999999997</v>
      </c>
      <c r="EJ68" s="13">
        <f>IF('Données projet'!$A$192&gt;35,EJ67+EI68-ER67,IF(A68&lt;'Données projet'!$A$192,$EG$205^A68,IF(A68='Données projet'!$A$192,'Données projet'!$B$192,EJ67+EI68-ER67)))</f>
        <v>430.57500000000016</v>
      </c>
      <c r="EK68" s="18">
        <f>EJ68*VLOOKUP('Données projet'!$B$15,Paramètres!$A$1:$I$89,3,0)*VLOOKUP('Données projet'!$B$15,Paramètres!$A$1:$I$89,5,0)</f>
        <v>257.48385000000013</v>
      </c>
      <c r="EL68" s="14">
        <f t="shared" si="45"/>
        <v>62.185733278690435</v>
      </c>
      <c r="EM68" s="22">
        <f t="shared" ref="EM68:EM131" si="73">(EK68+EL68)*0.475*44/12</f>
        <v>556.7578575437193</v>
      </c>
      <c r="EN68" s="62">
        <f t="shared" ref="EN68:EN131" si="74">EM68+(EE68+EF68)*44/12</f>
        <v>850.09119087705267</v>
      </c>
      <c r="EO68" s="62">
        <f ca="1">AVERAGE(OFFSET($EN$3,0,0,'Données projet'!$E$15+1,1))-AVERAGE(OFFSET($H$3,0,0,'Données projet'!$E$15+1,1))</f>
        <v>269.18638759204373</v>
      </c>
      <c r="EP68" s="62">
        <f t="shared" si="46"/>
        <v>197.07126167823969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50.420924303561982</v>
      </c>
      <c r="EW68" s="23">
        <f>EXP(-LN(2)/25)*EW67+(1-EXP(-LN(2)/25))/(LN(2)/25)*Calculateur!ER68*Calculateur!ET68*VLOOKUP('Données projet'!$B$15,Paramètres!$A$1:$I$89,3,0)*0.475*44/12</f>
        <v>13.946535082644033</v>
      </c>
      <c r="EX68" s="23">
        <f>EXP(-LN(2)/2)*EX67+(1-EXP(-LN(2)/2))/(LN(2)/2)*ER68*EU68*VLOOKUP('Données projet'!$B$15,Paramètres!$A$1:$I$89,3,0)*0.475*44/12</f>
        <v>0.788849447300349</v>
      </c>
      <c r="EY68" s="24">
        <f t="shared" ref="EY68:EY131" si="75">SUM(EV68:EX68)</f>
        <v>65.156308833506358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1.1368683772161603E-13</v>
      </c>
      <c r="FF68" s="18">
        <f>FE68*VLOOKUP('Données projet'!$B$16,Paramètres!$A$1:$I$89,3,0)*VLOOKUP('Données projet'!$B$16,Paramètres!$A$1:$I$89,5,0)</f>
        <v>6.7984728957526396E-14</v>
      </c>
      <c r="FG68" s="14">
        <f t="shared" si="47"/>
        <v>1.0682447123141398E-12</v>
      </c>
      <c r="FH68" s="22">
        <f t="shared" ref="FH68:FH131" si="76">(FF68+FG68)*0.475*44/12</f>
        <v>1.978932943548152E-12</v>
      </c>
      <c r="FI68" s="62">
        <f t="shared" ref="FI68:FI131" si="77">FH68+(EZ68+FA68)*44/12</f>
        <v>293.3333333333353</v>
      </c>
      <c r="FJ68" s="62">
        <f ca="1">AVERAGE(OFFSET($FI$3,0,0,'Données projet'!$E$16+1,1))-AVERAGE(OFFSET($H$3,0,0,'Données projet'!$E$16+1,1))</f>
        <v>330.48891719033065</v>
      </c>
      <c r="FK68" s="62">
        <f t="shared" si="48"/>
        <v>419.35494198427284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192.5266371867632</v>
      </c>
      <c r="FR68" s="23">
        <f>EXP(-LN(2)/25)*FR67+(1-EXP(-LN(2)/25))/(LN(2)/25)*Calculateur!FM68*Calculateur!FO68*VLOOKUP('Données projet'!$B$16,Paramètres!$A$1:$I$89,3,0)*0.475*44/12</f>
        <v>31.278054673743608</v>
      </c>
      <c r="FS68" s="23">
        <f>EXP(-LN(2)/2)*FS67+(1-EXP(-LN(2)/2))/(LN(2)/2)*FM68*FP68*VLOOKUP('Données projet'!$B$16,Paramètres!$A$1:$I$89,3,0)*0.475*44/12</f>
        <v>1.5352407513843205</v>
      </c>
      <c r="FT68" s="24">
        <f t="shared" ref="FT68:FT131" si="78">SUM(FQ68:FS68)</f>
        <v>225.33993261189113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>
        <f>FZ68*VLOOKUP('Données projet'!$B$17,Paramètres!$A$1:$I$89,3,0)*VLOOKUP('Données projet'!$B$17,Paramètres!$A$1:$I$89,5,0)</f>
        <v>0</v>
      </c>
      <c r="GB68" s="14" t="e">
        <f t="shared" si="49"/>
        <v>#NUM!</v>
      </c>
      <c r="GC68" s="22" t="e">
        <f t="shared" ref="GC68:GC131" si="79">(GA68+GB68)*0.475*44/12</f>
        <v>#NUM!</v>
      </c>
      <c r="GD68" s="62" t="e">
        <f t="shared" ref="GD68:GD131" si="80">GC68+(FU68+FV68)*44/12</f>
        <v>#NUM!</v>
      </c>
      <c r="GE68" s="62">
        <f ca="1">AVERAGE(OFFSET($GD$3,0,0,'Données projet'!$E$17+1,1))-AVERAGE(OFFSET($H$3,0,0,'Données projet'!$E$17+1,1))</f>
        <v>132.18258156780018</v>
      </c>
      <c r="GF68" s="62">
        <f t="shared" si="50"/>
        <v>315.58133946947294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21.687651492939381</v>
      </c>
      <c r="GM68" s="23">
        <f>EXP(-LN(2)/25)*GM67+(1-EXP(-LN(2)/25))/(LN(2)/25)*Calculateur!GH68*Calculateur!GJ68*VLOOKUP('Données projet'!$B$17,Paramètres!$A$1:$I$89,3,0)*0.475*44/12</f>
        <v>7.0308347754148599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28.718486268354241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9">
        <f t="shared" si="56"/>
        <v>388.20277749261015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264.95999999999998</v>
      </c>
      <c r="L69" s="13">
        <f>VLOOKUP(A69,'Données projet'!$A$35:$I$55,9,0)</f>
        <v>9.2524999999999977</v>
      </c>
      <c r="M69" s="13">
        <f t="array" ref="M69">INDEX(L:L,MIN(IF(ISNUMBER(L69:L265),ROW(L69:L265),"")))</f>
        <v>9.2524999999999977</v>
      </c>
      <c r="N69" s="14">
        <f>IF('Données projet'!$A$36&gt;35,N68+M69-V68,IF(A69&lt;'Données projet'!$A$36,$K$205^A69,IF(A69='Données projet'!$A$36,'Données projet'!$B$36,N68+M69-V68)))</f>
        <v>264.96000000000015</v>
      </c>
      <c r="O69" s="14">
        <f>N69*VLOOKUP('Données projet'!$B$9,Paramètres!$A$1:$I$89,3,0)*VLOOKUP('Données projet'!$B$9,Paramètres!$A$1:$I$89,5,0)</f>
        <v>239.73580800000011</v>
      </c>
      <c r="P69" s="14">
        <f t="shared" ref="P69:P132" si="87">EXP(-1.0587+0.8836*LN(O69)+0.284)</f>
        <v>58.38268464325516</v>
      </c>
      <c r="Q69" s="22">
        <f t="shared" si="54"/>
        <v>519.22304135366949</v>
      </c>
      <c r="R69" s="62">
        <f t="shared" si="55"/>
        <v>812.55637468700274</v>
      </c>
      <c r="S69" s="62">
        <f ca="1">AVERAGE(OFFSET($R$3,0,0,'Données projet'!$E$9+1,1))-AVERAGE(OFFSET($H$3,0,0,'Données projet'!$E$9+1,1))</f>
        <v>401.86262166363821</v>
      </c>
      <c r="T69" s="62">
        <f t="shared" ref="T69:T132" si="88">$T$3</f>
        <v>208.60314230781432</v>
      </c>
      <c r="U69" s="16">
        <f>IF(ISNA(VLOOKUP(A69,'Données projet'!$A$35:$I$55,3,0)),0,VLOOKUP(A69,'Données projet'!$A$35:$I$55,3,0))</f>
        <v>4</v>
      </c>
      <c r="V69" s="16">
        <f>IF(ISNA(VLOOKUP(A69,'Données projet'!$A$35:$I$55,4,0)),0,VLOOKUP(A69,'Données projet'!$A$35:$I$55,4,0))</f>
        <v>49.91</v>
      </c>
      <c r="W69" s="17">
        <f>IF(ISNA(VLOOKUP(A69,'Données projet'!$A$35:$I$55,5,0)),0%,VLOOKUP(A69,'Données projet'!$A$35:$I$55,5,0)*VLOOKUP('Données projet'!$B$9,Paramètres!$A$1:$I$89,7,0))</f>
        <v>0.129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14.278663085383233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14.278663085383233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264.95999999999998</v>
      </c>
      <c r="AG69" s="13">
        <f>VLOOKUP(A69,'Données projet'!$A$61:$I$81,9,0)</f>
        <v>9.2524999999999977</v>
      </c>
      <c r="AH69" s="13">
        <f t="array" ref="AH69">INDEX(AG:AG,MIN(IF(ISNUMBER(AG69:AG265),ROW(AG69:AG265),"")))</f>
        <v>9.2524999999999977</v>
      </c>
      <c r="AI69" s="14">
        <f>IF('Données projet'!$A$62&gt;35,AI68+AH69-AQ68,IF(A69&lt;'Données projet'!$A$62,$AF$205^A69,IF(A69='Données projet'!$A$62,'Données projet'!$B$62,AI68+AH69-AQ68)))</f>
        <v>264.96000000000015</v>
      </c>
      <c r="AJ69" s="14">
        <f>AI69*VLOOKUP('Données projet'!$B$10,Paramètres!$A$1:$I$89,3,0)*VLOOKUP('Données projet'!$B$10,Paramètres!$A$1:$I$89,5,0)</f>
        <v>285.20294400000017</v>
      </c>
      <c r="AK69" s="14">
        <f t="shared" ref="AK69:AK132" si="89">EXP(-1.0587+0.8836*LN(AJ69)+0.284)</f>
        <v>68.06535954851401</v>
      </c>
      <c r="AL69" s="22">
        <f t="shared" si="58"/>
        <v>615.27562868032874</v>
      </c>
      <c r="AM69" s="62">
        <f t="shared" si="59"/>
        <v>908.60896201366199</v>
      </c>
      <c r="AN69" s="62">
        <f ca="1">AVERAGE(OFFSET($AM$3,0,0,'Données projet'!$E$10+1,1))-AVERAGE(OFFSET($H$3,0,0,'Données projet'!$E$10+1,1))</f>
        <v>407.22515465568205</v>
      </c>
      <c r="AO69" s="62">
        <f t="shared" ref="AO69:AO132" si="90">$AO$3</f>
        <v>251.6218558398258</v>
      </c>
      <c r="AP69" s="16">
        <f>IF(ISNA(VLOOKUP(A69,'Données projet'!$A$61:$I$81,3,0)),0,VLOOKUP(A69,'Données projet'!$A$61:$I$81,3,0))</f>
        <v>4</v>
      </c>
      <c r="AQ69" s="16">
        <f>IF(ISNA(VLOOKUP(A69,'Données projet'!$A$61:$I$81,4,0)),0,VLOOKUP(A69,'Données projet'!$A$61:$I$81,4,0))</f>
        <v>49.91</v>
      </c>
      <c r="AR69" s="17">
        <f>IF(ISNA(VLOOKUP(A69,'Données projet'!$A$61:$I$81,5,0)),0%,VLOOKUP(A69,'Données projet'!$A$61:$I$81,5,0)*VLOOKUP('Données projet'!$B$10,Paramètres!$A$1:$I$89,7,0))</f>
        <v>0.129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16.986685394680055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16.986685394680055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264.95999999999998</v>
      </c>
      <c r="BB69" s="13">
        <f>VLOOKUP(A69,'Données projet'!$A$87:$I$107,9,0)</f>
        <v>9.2524999999999977</v>
      </c>
      <c r="BC69" s="13">
        <f t="array" ref="BC69">INDEX(BB:BB,MIN(IF(ISNUMBER(BB69:BB265),ROW(BB69:BB265),"")))</f>
        <v>9.2524999999999977</v>
      </c>
      <c r="BD69" s="13">
        <f>IF('Données projet'!$A$88&gt;35,BD68+BC69-BL68,IF(A69&lt;'Données projet'!$A$88,$BA$205^A69,IF(A69='Données projet'!$A$88,'Données projet'!$B$88,BD68+BC69-BL68)))</f>
        <v>264.96000000000015</v>
      </c>
      <c r="BE69" s="14">
        <f>BD69*VLOOKUP('Données projet'!$B$11,Paramètres!$A$1:$I$89,3,0)*VLOOKUP('Données projet'!$B$11,Paramètres!$A$1:$I$89,5,0)</f>
        <v>256.26931200000018</v>
      </c>
      <c r="BF69" s="14">
        <f t="shared" ref="BF69:BF132" si="91">EXP(-1.0587+0.8836*LN(BE69)+0.284)</f>
        <v>61.926478363546003</v>
      </c>
      <c r="BG69" s="22">
        <f t="shared" si="61"/>
        <v>554.19100154984289</v>
      </c>
      <c r="BH69" s="62">
        <f t="shared" si="62"/>
        <v>847.52433488317615</v>
      </c>
      <c r="BI69" s="62">
        <f ca="1">AVERAGE(OFFSET($BH$3,0,0,'Données projet'!$E$11+1,1))-AVERAGE(OFFSET($H$3,0,0,'Données projet'!$E$11+1,1))</f>
        <v>357.76044008074308</v>
      </c>
      <c r="BJ69" s="62">
        <f t="shared" ref="BJ69:BJ132" si="92">$BJ$3</f>
        <v>224.26555772810445</v>
      </c>
      <c r="BK69" s="16">
        <f>IF(ISNA(VLOOKUP(A69,'Données projet'!$A$87:$I$107,3,0)),0,VLOOKUP(A69,'Données projet'!$A$87:$I$107,3,0))</f>
        <v>4</v>
      </c>
      <c r="BL69" s="16">
        <f>IF(ISNA(VLOOKUP(A69,'Données projet'!$A$87:$I$107,4,0)),0,VLOOKUP(A69,'Données projet'!$A$87:$I$107,4,0))</f>
        <v>49.91</v>
      </c>
      <c r="BM69" s="17">
        <f>IF(ISNA(VLOOKUP(A69,'Données projet'!$A$87:$I$107,5,0)),0%,VLOOKUP(A69,'Données projet'!$A$87:$I$107,5,0)*VLOOKUP('Données projet'!$B$11,Paramètres!$A$1:$I$89,7,0))</f>
        <v>0.129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15.263398470582075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15.263398470582075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>
        <f>VLOOKUP(A69,'Données projet'!$A$113:$I$133,2,0)</f>
        <v>264.95999999999998</v>
      </c>
      <c r="BW69" s="13">
        <f>VLOOKUP(A69,'Données projet'!$A$113:$I$133,9,0)</f>
        <v>9.2524999999999977</v>
      </c>
      <c r="BX69" s="13">
        <f t="array" ref="BX69">INDEX(BW:BW,MIN(IF(ISNUMBER(BW69:BW265),ROW(BW69:BW265),"")))</f>
        <v>9.2524999999999977</v>
      </c>
      <c r="BY69" s="13">
        <f>IF('Données projet'!$A$114&gt;35,BY68+BX69-CG68,IF(A69&lt;'Données projet'!$A$114,$BV$205^A69,IF(A69='Données projet'!$A$114,'Données projet'!$B$114,BY68+BX69-CG68)))</f>
        <v>264.96000000000015</v>
      </c>
      <c r="BZ69" s="14">
        <f>BY69*VLOOKUP('Données projet'!$B$12,Paramètres!$A$1:$I$89,3,0)*VLOOKUP('Données projet'!$B$12,Paramètres!$A$1:$I$89,5,0)</f>
        <v>177.7351680000001</v>
      </c>
      <c r="CA69" s="14">
        <f t="shared" ref="CA69:CA132" si="93">EXP(-1.0587+0.8836*LN(BZ69)+0.284)</f>
        <v>44.817932042651918</v>
      </c>
      <c r="CB69" s="22">
        <f t="shared" si="64"/>
        <v>387.61331590761893</v>
      </c>
      <c r="CC69" s="62">
        <f t="shared" si="65"/>
        <v>680.94664924095218</v>
      </c>
      <c r="CD69" s="62">
        <f ca="1">AVERAGE(OFFSET($CC$3,0,0,'Données projet'!$E$12+1,1))-AVERAGE(OFFSET($H$3,0,0,'Données projet'!$E$12+1,1))</f>
        <v>222.86701323374945</v>
      </c>
      <c r="CE69" s="62">
        <f t="shared" ref="CE69:CE132" si="94">$CE$3</f>
        <v>149.63671045240511</v>
      </c>
      <c r="CF69" s="16">
        <f>IF(ISNA(VLOOKUP(A69,'Données projet'!$A$113:$I$133,3,0)),0,VLOOKUP(A69,'Données projet'!$A$113:$I$133,3,0))</f>
        <v>4</v>
      </c>
      <c r="CG69" s="16">
        <f>IF(ISNA(VLOOKUP(A69,'Données projet'!$A$113:$I$133,4,0)),0,VLOOKUP(A69,'Données projet'!$A$113:$I$133,4,0))</f>
        <v>49.91</v>
      </c>
      <c r="CH69" s="17">
        <f>IF(ISNA(VLOOKUP(A69,'Données projet'!$A$113:$I$133,5,0)),0%,VLOOKUP(A69,'Données projet'!$A$113:$I$133,5,0)*VLOOKUP('Données projet'!$B$12,Paramètres!$A$1:$I$89,7,0))</f>
        <v>0.159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13.047743853884676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13.047743853884676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4.8</v>
      </c>
      <c r="CT69" s="13">
        <f>IF('Données projet'!$A$140&gt;35,CT68+CS69-DB68,IF(A69&lt;'Données projet'!$A$140,$CQ$205^A69,IF(A69='Données projet'!$A$140,'Données projet'!$B$140,CT68+CS69-DB68)))</f>
        <v>217.8000000000001</v>
      </c>
      <c r="CU69" s="18">
        <f>CT69*VLOOKUP('Données projet'!$B$13,Paramètres!$A$1:$I$89,3,0)*VLOOKUP('Données projet'!$B$13,Paramètres!$A$1:$I$89,5,0)</f>
        <v>142.70256000000006</v>
      </c>
      <c r="CV69" s="14">
        <f t="shared" ref="CV69:CV132" si="95">EXP(-1.0587+0.8836*LN(CU69)+0.284)</f>
        <v>36.91543341153259</v>
      </c>
      <c r="CW69" s="22">
        <f t="shared" si="67"/>
        <v>312.83467185841943</v>
      </c>
      <c r="CX69" s="62">
        <f t="shared" si="68"/>
        <v>606.16800519175274</v>
      </c>
      <c r="CY69" s="62">
        <f ca="1">AVERAGE(OFFSET($CX$3,0,0,'Données projet'!$E$13+1,1))-AVERAGE(OFFSET($H$3,0,0,'Données projet'!$E$13+1,1))</f>
        <v>173.15672762188746</v>
      </c>
      <c r="CZ69" s="62">
        <f t="shared" ref="CZ69:CZ132" si="96">$CZ$3</f>
        <v>208.54841796921414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15.059987100406991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15.059987100406991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11.896999999999997</v>
      </c>
      <c r="EJ69" s="13">
        <f>IF('Données projet'!$A$192&gt;35,EJ68+EI69-ER68,IF(A69&lt;'Données projet'!$A$192,$EG$205^A69,IF(A69='Données projet'!$A$192,'Données projet'!$B$192,EJ68+EI69-ER68)))</f>
        <v>442.47200000000015</v>
      </c>
      <c r="EK69" s="18">
        <f>EJ69*VLOOKUP('Données projet'!$B$15,Paramètres!$A$1:$I$89,3,0)*VLOOKUP('Données projet'!$B$15,Paramètres!$A$1:$I$89,5,0)</f>
        <v>264.59825600000011</v>
      </c>
      <c r="EL69" s="14">
        <f t="shared" ref="EL69:EL132" si="99">EXP(-1.0587+0.8836*LN(EK69)+0.284)</f>
        <v>63.701538011039567</v>
      </c>
      <c r="EM69" s="22">
        <f t="shared" si="73"/>
        <v>571.78880790256073</v>
      </c>
      <c r="EN69" s="62">
        <f t="shared" si="74"/>
        <v>865.12214123589411</v>
      </c>
      <c r="EO69" s="62">
        <f ca="1">AVERAGE(OFFSET($EN$3,0,0,'Données projet'!$E$15+1,1))-AVERAGE(OFFSET($H$3,0,0,'Données projet'!$E$15+1,1))</f>
        <v>269.18638759204373</v>
      </c>
      <c r="EP69" s="62">
        <f t="shared" ref="EP69:EP132" si="100">$EP$3</f>
        <v>197.07126167823969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49.432200731696277</v>
      </c>
      <c r="EW69" s="23">
        <f>EXP(-LN(2)/25)*EW68+(1-EXP(-LN(2)/25))/(LN(2)/25)*Calculateur!ER69*Calculateur!ET69*VLOOKUP('Données projet'!$B$15,Paramètres!$A$1:$I$89,3,0)*0.475*44/12</f>
        <v>13.565166347392728</v>
      </c>
      <c r="EX69" s="23">
        <f>EXP(-LN(2)/2)*EX68+(1-EXP(-LN(2)/2))/(LN(2)/2)*ER69*EU69*VLOOKUP('Données projet'!$B$15,Paramètres!$A$1:$I$89,3,0)*0.475*44/12</f>
        <v>0.55780079352133682</v>
      </c>
      <c r="EY69" s="24">
        <f t="shared" si="75"/>
        <v>63.55516787261034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1.1368683772161603E-13</v>
      </c>
      <c r="FF69" s="18">
        <f>FE69*VLOOKUP('Données projet'!$B$16,Paramètres!$A$1:$I$89,3,0)*VLOOKUP('Données projet'!$B$16,Paramètres!$A$1:$I$89,5,0)</f>
        <v>6.7984728957526396E-14</v>
      </c>
      <c r="FG69" s="14">
        <f t="shared" ref="FG69:FG132" si="101">EXP(-1.0587+0.8836*LN(FF69)+0.284)</f>
        <v>1.0682447123141398E-12</v>
      </c>
      <c r="FH69" s="22">
        <f t="shared" si="76"/>
        <v>1.978932943548152E-12</v>
      </c>
      <c r="FI69" s="62">
        <f t="shared" si="77"/>
        <v>293.3333333333353</v>
      </c>
      <c r="FJ69" s="62">
        <f ca="1">AVERAGE(OFFSET($FI$3,0,0,'Données projet'!$E$16+1,1))-AVERAGE(OFFSET($H$3,0,0,'Données projet'!$E$16+1,1))</f>
        <v>330.48891719033065</v>
      </c>
      <c r="FK69" s="62">
        <f t="shared" ref="FK69:FK132" si="102">$FK$3</f>
        <v>419.35494198427284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188.75130726118425</v>
      </c>
      <c r="FR69" s="23">
        <f>EXP(-LN(2)/25)*FR68+(1-EXP(-LN(2)/25))/(LN(2)/25)*Calculateur!FM69*Calculateur!FO69*VLOOKUP('Données projet'!$B$16,Paramètres!$A$1:$I$89,3,0)*0.475*44/12</f>
        <v>30.422754623848679</v>
      </c>
      <c r="FS69" s="23">
        <f>EXP(-LN(2)/2)*FS68+(1-EXP(-LN(2)/2))/(LN(2)/2)*FM69*FP69*VLOOKUP('Données projet'!$B$16,Paramètres!$A$1:$I$89,3,0)*0.475*44/12</f>
        <v>1.0855791460577835</v>
      </c>
      <c r="FT69" s="24">
        <f t="shared" si="78"/>
        <v>220.25964103109072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>
        <f>FZ69*VLOOKUP('Données projet'!$B$17,Paramètres!$A$1:$I$89,3,0)*VLOOKUP('Données projet'!$B$17,Paramètres!$A$1:$I$89,5,0)</f>
        <v>0</v>
      </c>
      <c r="GB69" s="14" t="e">
        <f t="shared" ref="GB69:GB132" si="103">EXP(-1.0587+0.8836*LN(GA69)+0.284)</f>
        <v>#NUM!</v>
      </c>
      <c r="GC69" s="22" t="e">
        <f t="shared" si="79"/>
        <v>#NUM!</v>
      </c>
      <c r="GD69" s="62" t="e">
        <f t="shared" si="80"/>
        <v>#NUM!</v>
      </c>
      <c r="GE69" s="62">
        <f ca="1">AVERAGE(OFFSET($GD$3,0,0,'Données projet'!$E$17+1,1))-AVERAGE(OFFSET($H$3,0,0,'Données projet'!$E$17+1,1))</f>
        <v>132.18258156780018</v>
      </c>
      <c r="GF69" s="62">
        <f t="shared" ref="GF69:GF132" si="104">$GF$3</f>
        <v>315.58133946947294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21.262369875324076</v>
      </c>
      <c r="GM69" s="23">
        <f>EXP(-LN(2)/25)*GM68+(1-EXP(-LN(2)/25))/(LN(2)/25)*Calculateur!GH69*Calculateur!GJ69*VLOOKUP('Données projet'!$B$17,Paramètres!$A$1:$I$89,3,0)*0.475*44/12</f>
        <v>6.8385762287456089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28.100946104069685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9">
        <f t="shared" si="56"/>
        <v>390.14369028019127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8.8662500000000044</v>
      </c>
      <c r="N70" s="14">
        <f>IF('Données projet'!$A$36&gt;35,N69+M70-V69,IF(A70&lt;'Données projet'!$A$36,$K$205^A70,IF(A70='Données projet'!$A$36,'Données projet'!$B$36,N69+M70-V69)))</f>
        <v>223.91625000000013</v>
      </c>
      <c r="O70" s="14">
        <f>N70*VLOOKUP('Données projet'!$B$9,Paramètres!$A$1:$I$89,3,0)*VLOOKUP('Données projet'!$B$9,Paramètres!$A$1:$I$89,5,0)</f>
        <v>202.59942300000012</v>
      </c>
      <c r="P70" s="14">
        <f t="shared" si="87"/>
        <v>50.315012169520465</v>
      </c>
      <c r="Q70" s="22">
        <f t="shared" si="54"/>
        <v>440.49264125358167</v>
      </c>
      <c r="R70" s="62">
        <f t="shared" si="55"/>
        <v>733.82597458691498</v>
      </c>
      <c r="S70" s="62">
        <f ca="1">AVERAGE(OFFSET($R$3,0,0,'Données projet'!$E$9+1,1))-AVERAGE(OFFSET($H$3,0,0,'Données projet'!$E$9+1,1))</f>
        <v>401.86262166363821</v>
      </c>
      <c r="T70" s="62">
        <f t="shared" si="88"/>
        <v>208.60314230781432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13.998667211403395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13.998667211403395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8.8662500000000044</v>
      </c>
      <c r="AI70" s="14">
        <f>IF('Données projet'!$A$62&gt;35,AI69+AH70-AQ69,IF(A70&lt;'Données projet'!$A$62,$AF$205^A70,IF(A70='Données projet'!$A$62,'Données projet'!$B$62,AI69+AH70-AQ69)))</f>
        <v>223.91625000000013</v>
      </c>
      <c r="AJ70" s="14">
        <f>AI70*VLOOKUP('Données projet'!$B$10,Paramètres!$A$1:$I$89,3,0)*VLOOKUP('Données projet'!$B$10,Paramètres!$A$1:$I$89,5,0)</f>
        <v>241.02345150000011</v>
      </c>
      <c r="AK70" s="14">
        <f t="shared" si="89"/>
        <v>58.659676493686526</v>
      </c>
      <c r="AL70" s="22">
        <f t="shared" si="58"/>
        <v>521.94811458900415</v>
      </c>
      <c r="AM70" s="62">
        <f t="shared" si="59"/>
        <v>815.28144792233752</v>
      </c>
      <c r="AN70" s="62">
        <f ca="1">AVERAGE(OFFSET($AM$3,0,0,'Données projet'!$E$10+1,1))-AVERAGE(OFFSET($H$3,0,0,'Données projet'!$E$10+1,1))</f>
        <v>407.22515465568205</v>
      </c>
      <c r="AO70" s="62">
        <f t="shared" si="90"/>
        <v>251.6218558398258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16.65358685494542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16.65358685494542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8.8662500000000044</v>
      </c>
      <c r="BD70" s="13">
        <f>IF('Données projet'!$A$88&gt;35,BD69+BC70-BL69,IF(A70&lt;'Données projet'!$A$88,$BA$205^A70,IF(A70='Données projet'!$A$88,'Données projet'!$B$88,BD69+BC70-BL69)))</f>
        <v>223.91625000000013</v>
      </c>
      <c r="BE70" s="14">
        <f>BD70*VLOOKUP('Données projet'!$B$11,Paramètres!$A$1:$I$89,3,0)*VLOOKUP('Données projet'!$B$11,Paramètres!$A$1:$I$89,5,0)</f>
        <v>216.57179700000012</v>
      </c>
      <c r="BF70" s="14">
        <f t="shared" si="91"/>
        <v>53.369103039994094</v>
      </c>
      <c r="BG70" s="22">
        <f t="shared" si="61"/>
        <v>470.14706756965666</v>
      </c>
      <c r="BH70" s="62">
        <f t="shared" si="62"/>
        <v>763.48040090298991</v>
      </c>
      <c r="BI70" s="62">
        <f ca="1">AVERAGE(OFFSET($BH$3,0,0,'Données projet'!$E$11+1,1))-AVERAGE(OFFSET($H$3,0,0,'Données projet'!$E$11+1,1))</f>
        <v>357.76044008074308</v>
      </c>
      <c r="BJ70" s="62">
        <f t="shared" si="92"/>
        <v>224.26555772810445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14.964092536327765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14.964092536327765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8.8662500000000044</v>
      </c>
      <c r="BY70" s="13">
        <f>IF('Données projet'!$A$114&gt;35,BY69+BX70-CG69,IF(A70&lt;'Données projet'!$A$114,$BV$205^A70,IF(A70='Données projet'!$A$114,'Données projet'!$B$114,BY69+BX70-CG69)))</f>
        <v>223.91625000000013</v>
      </c>
      <c r="BZ70" s="14">
        <f>BY70*VLOOKUP('Données projet'!$B$12,Paramètres!$A$1:$I$89,3,0)*VLOOKUP('Données projet'!$B$12,Paramètres!$A$1:$I$89,5,0)</f>
        <v>150.20302050000009</v>
      </c>
      <c r="CA70" s="14">
        <f t="shared" si="93"/>
        <v>38.624719125506878</v>
      </c>
      <c r="CB70" s="22">
        <f t="shared" si="64"/>
        <v>328.87497984775797</v>
      </c>
      <c r="CC70" s="62">
        <f t="shared" si="65"/>
        <v>622.20831318109128</v>
      </c>
      <c r="CD70" s="62">
        <f ca="1">AVERAGE(OFFSET($CC$3,0,0,'Données projet'!$E$12+1,1))-AVERAGE(OFFSET($H$3,0,0,'Données projet'!$E$12+1,1))</f>
        <v>222.86701323374945</v>
      </c>
      <c r="CE70" s="62">
        <f t="shared" si="94"/>
        <v>149.63671045240511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12.791885555247926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12.791885555247926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4.8</v>
      </c>
      <c r="CT70" s="13">
        <f>IF('Données projet'!$A$140&gt;35,CT69+CS70-DB69,IF(A70&lt;'Données projet'!$A$140,$CQ$205^A70,IF(A70='Données projet'!$A$140,'Données projet'!$B$140,CT69+CS70-DB69)))</f>
        <v>222.60000000000011</v>
      </c>
      <c r="CU70" s="18">
        <f>CT70*VLOOKUP('Données projet'!$B$13,Paramètres!$A$1:$I$89,3,0)*VLOOKUP('Données projet'!$B$13,Paramètres!$A$1:$I$89,5,0)</f>
        <v>145.84752000000009</v>
      </c>
      <c r="CV70" s="14">
        <f t="shared" si="95"/>
        <v>37.633383344887093</v>
      </c>
      <c r="CW70" s="22">
        <f t="shared" si="67"/>
        <v>319.56257332567844</v>
      </c>
      <c r="CX70" s="62">
        <f t="shared" si="68"/>
        <v>612.89590665901176</v>
      </c>
      <c r="CY70" s="62">
        <f ca="1">AVERAGE(OFFSET($CX$3,0,0,'Données projet'!$E$13+1,1))-AVERAGE(OFFSET($H$3,0,0,'Données projet'!$E$13+1,1))</f>
        <v>173.15672762188746</v>
      </c>
      <c r="CZ70" s="62">
        <f t="shared" si="96"/>
        <v>208.54841796921414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14.76466993905313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14.76466993905313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11.896999999999997</v>
      </c>
      <c r="EJ70" s="13">
        <f>IF('Données projet'!$A$192&gt;35,EJ69+EI70-ER69,IF(A70&lt;'Données projet'!$A$192,$EG$205^A70,IF(A70='Données projet'!$A$192,'Données projet'!$B$192,EJ69+EI70-ER69)))</f>
        <v>454.36900000000014</v>
      </c>
      <c r="EK70" s="18">
        <f>EJ70*VLOOKUP('Données projet'!$B$15,Paramètres!$A$1:$I$89,3,0)*VLOOKUP('Données projet'!$B$15,Paramètres!$A$1:$I$89,5,0)</f>
        <v>271.71266200000014</v>
      </c>
      <c r="EL70" s="14">
        <f t="shared" si="99"/>
        <v>65.212605520968935</v>
      </c>
      <c r="EM70" s="22">
        <f t="shared" si="73"/>
        <v>586.81150759902118</v>
      </c>
      <c r="EN70" s="62">
        <f t="shared" si="74"/>
        <v>880.14484093235455</v>
      </c>
      <c r="EO70" s="62">
        <f ca="1">AVERAGE(OFFSET($EN$3,0,0,'Données projet'!$E$15+1,1))-AVERAGE(OFFSET($H$3,0,0,'Données projet'!$E$15+1,1))</f>
        <v>269.18638759204373</v>
      </c>
      <c r="EP70" s="62">
        <f t="shared" si="100"/>
        <v>197.07126167823969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48.462865426013025</v>
      </c>
      <c r="EW70" s="23">
        <f>EXP(-LN(2)/25)*EW69+(1-EXP(-LN(2)/25))/(LN(2)/25)*Calculateur!ER70*Calculateur!ET70*VLOOKUP('Données projet'!$B$15,Paramètres!$A$1:$I$89,3,0)*0.475*44/12</f>
        <v>13.194226160262179</v>
      </c>
      <c r="EX70" s="23">
        <f>EXP(-LN(2)/2)*EX69+(1-EXP(-LN(2)/2))/(LN(2)/2)*ER70*EU70*VLOOKUP('Données projet'!$B$15,Paramètres!$A$1:$I$89,3,0)*0.475*44/12</f>
        <v>0.3944247236501745</v>
      </c>
      <c r="EY70" s="24">
        <f t="shared" si="75"/>
        <v>62.051516309925375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1.1368683772161603E-13</v>
      </c>
      <c r="FF70" s="18">
        <f>FE70*VLOOKUP('Données projet'!$B$16,Paramètres!$A$1:$I$89,3,0)*VLOOKUP('Données projet'!$B$16,Paramètres!$A$1:$I$89,5,0)</f>
        <v>6.7984728957526396E-14</v>
      </c>
      <c r="FG70" s="14">
        <f t="shared" si="101"/>
        <v>1.0682447123141398E-12</v>
      </c>
      <c r="FH70" s="22">
        <f t="shared" si="76"/>
        <v>1.978932943548152E-12</v>
      </c>
      <c r="FI70" s="62">
        <f t="shared" si="77"/>
        <v>293.3333333333353</v>
      </c>
      <c r="FJ70" s="62">
        <f ca="1">AVERAGE(OFFSET($FI$3,0,0,'Données projet'!$E$16+1,1))-AVERAGE(OFFSET($H$3,0,0,'Données projet'!$E$16+1,1))</f>
        <v>330.48891719033065</v>
      </c>
      <c r="FK70" s="62">
        <f t="shared" si="102"/>
        <v>419.35494198427284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185.05000925272202</v>
      </c>
      <c r="FR70" s="23">
        <f>EXP(-LN(2)/25)*FR69+(1-EXP(-LN(2)/25))/(LN(2)/25)*Calculateur!FM70*Calculateur!FO70*VLOOKUP('Données projet'!$B$16,Paramètres!$A$1:$I$89,3,0)*0.475*44/12</f>
        <v>29.590842798796402</v>
      </c>
      <c r="FS70" s="23">
        <f>EXP(-LN(2)/2)*FS69+(1-EXP(-LN(2)/2))/(LN(2)/2)*FM70*FP70*VLOOKUP('Données projet'!$B$16,Paramètres!$A$1:$I$89,3,0)*0.475*44/12</f>
        <v>0.76762037569216024</v>
      </c>
      <c r="FT70" s="24">
        <f t="shared" si="78"/>
        <v>215.4084724272106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>
        <f>FZ70*VLOOKUP('Données projet'!$B$17,Paramètres!$A$1:$I$89,3,0)*VLOOKUP('Données projet'!$B$17,Paramètres!$A$1:$I$89,5,0)</f>
        <v>0</v>
      </c>
      <c r="GB70" s="14" t="e">
        <f t="shared" si="103"/>
        <v>#NUM!</v>
      </c>
      <c r="GC70" s="22" t="e">
        <f t="shared" si="79"/>
        <v>#NUM!</v>
      </c>
      <c r="GD70" s="62" t="e">
        <f t="shared" si="80"/>
        <v>#NUM!</v>
      </c>
      <c r="GE70" s="62">
        <f ca="1">AVERAGE(OFFSET($GD$3,0,0,'Données projet'!$E$17+1,1))-AVERAGE(OFFSET($H$3,0,0,'Données projet'!$E$17+1,1))</f>
        <v>132.18258156780018</v>
      </c>
      <c r="GF70" s="62">
        <f t="shared" si="104"/>
        <v>315.58133946947294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20.845427770834036</v>
      </c>
      <c r="GM70" s="23">
        <f>EXP(-LN(2)/25)*GM69+(1-EXP(-LN(2)/25))/(LN(2)/25)*Calculateur!GH70*Calculateur!GJ70*VLOOKUP('Données projet'!$B$17,Paramètres!$A$1:$I$89,3,0)*0.475*44/12</f>
        <v>6.6515750021454663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27.497002772979503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9">
        <f t="shared" si="56"/>
        <v>392.08392221869906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8.8662500000000044</v>
      </c>
      <c r="N71" s="14">
        <f>IF('Données projet'!$A$36&gt;35,N70+M71-V70,IF(A71&lt;'Données projet'!$A$36,$K$205^A71,IF(A71='Données projet'!$A$36,'Données projet'!$B$36,N70+M71-V70)))</f>
        <v>232.78250000000014</v>
      </c>
      <c r="O71" s="14">
        <f>N71*VLOOKUP('Données projet'!$B$9,Paramètres!$A$1:$I$89,3,0)*VLOOKUP('Données projet'!$B$9,Paramètres!$A$1:$I$89,5,0)</f>
        <v>210.62160600000013</v>
      </c>
      <c r="P71" s="14">
        <f t="shared" si="87"/>
        <v>52.071398873356536</v>
      </c>
      <c r="Q71" s="22">
        <f t="shared" si="54"/>
        <v>457.5236501544295</v>
      </c>
      <c r="R71" s="62">
        <f t="shared" si="55"/>
        <v>750.85698348776282</v>
      </c>
      <c r="S71" s="62">
        <f ca="1">AVERAGE(OFFSET($R$3,0,0,'Données projet'!$E$9+1,1))-AVERAGE(OFFSET($H$3,0,0,'Données projet'!$E$9+1,1))</f>
        <v>401.86262166363821</v>
      </c>
      <c r="T71" s="62">
        <f t="shared" si="88"/>
        <v>208.60314230781432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13.724161885731682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13.724161885731682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8.8662500000000044</v>
      </c>
      <c r="AI71" s="14">
        <f>IF('Données projet'!$A$62&gt;35,AI70+AH71-AQ70,IF(A71&lt;'Données projet'!$A$62,$AF$205^A71,IF(A71='Données projet'!$A$62,'Données projet'!$B$62,AI70+AH71-AQ70)))</f>
        <v>232.78250000000014</v>
      </c>
      <c r="AJ71" s="14">
        <f>AI71*VLOOKUP('Données projet'!$B$10,Paramètres!$A$1:$I$89,3,0)*VLOOKUP('Données projet'!$B$10,Paramètres!$A$1:$I$89,5,0)</f>
        <v>250.56708300000014</v>
      </c>
      <c r="AK71" s="14">
        <f t="shared" si="89"/>
        <v>60.707357124225084</v>
      </c>
      <c r="AL71" s="22">
        <f t="shared" si="58"/>
        <v>542.13631654969231</v>
      </c>
      <c r="AM71" s="62">
        <f t="shared" si="59"/>
        <v>835.46964988302557</v>
      </c>
      <c r="AN71" s="62">
        <f ca="1">AVERAGE(OFFSET($AM$3,0,0,'Données projet'!$E$10+1,1))-AVERAGE(OFFSET($H$3,0,0,'Données projet'!$E$10+1,1))</f>
        <v>407.22515465568205</v>
      </c>
      <c r="AO71" s="62">
        <f t="shared" si="90"/>
        <v>251.6218558398258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16.327020174404932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16.327020174404932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8.8662500000000044</v>
      </c>
      <c r="BD71" s="13">
        <f>IF('Données projet'!$A$88&gt;35,BD70+BC71-BL70,IF(A71&lt;'Données projet'!$A$88,$BA$205^A71,IF(A71='Données projet'!$A$88,'Données projet'!$B$88,BD70+BC71-BL70)))</f>
        <v>232.78250000000014</v>
      </c>
      <c r="BE71" s="14">
        <f>BD71*VLOOKUP('Données projet'!$B$11,Paramètres!$A$1:$I$89,3,0)*VLOOKUP('Données projet'!$B$11,Paramètres!$A$1:$I$89,5,0)</f>
        <v>225.14723400000014</v>
      </c>
      <c r="BF71" s="14">
        <f t="shared" si="91"/>
        <v>55.232101356665147</v>
      </c>
      <c r="BG71" s="22">
        <f t="shared" si="61"/>
        <v>488.32734241285874</v>
      </c>
      <c r="BH71" s="62">
        <f t="shared" si="62"/>
        <v>781.66067574619206</v>
      </c>
      <c r="BI71" s="62">
        <f ca="1">AVERAGE(OFFSET($BH$3,0,0,'Données projet'!$E$11+1,1))-AVERAGE(OFFSET($H$3,0,0,'Données projet'!$E$11+1,1))</f>
        <v>357.76044008074308</v>
      </c>
      <c r="BJ71" s="62">
        <f t="shared" si="92"/>
        <v>224.26555772810445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14.67065580888559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14.67065580888559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8.8662500000000044</v>
      </c>
      <c r="BY71" s="13">
        <f>IF('Données projet'!$A$114&gt;35,BY70+BX71-CG70,IF(A71&lt;'Données projet'!$A$114,$BV$205^A71,IF(A71='Données projet'!$A$114,'Données projet'!$B$114,BY70+BX71-CG70)))</f>
        <v>232.78250000000014</v>
      </c>
      <c r="BZ71" s="14">
        <f>BY71*VLOOKUP('Données projet'!$B$12,Paramètres!$A$1:$I$89,3,0)*VLOOKUP('Données projet'!$B$12,Paramètres!$A$1:$I$89,5,0)</f>
        <v>156.15050100000011</v>
      </c>
      <c r="CA71" s="14">
        <f t="shared" si="93"/>
        <v>39.973023343001209</v>
      </c>
      <c r="CB71" s="22">
        <f t="shared" si="64"/>
        <v>341.58180489739397</v>
      </c>
      <c r="CC71" s="62">
        <f t="shared" si="65"/>
        <v>634.91513823072728</v>
      </c>
      <c r="CD71" s="62">
        <f ca="1">AVERAGE(OFFSET($CC$3,0,0,'Données projet'!$E$12+1,1))-AVERAGE(OFFSET($H$3,0,0,'Données projet'!$E$12+1,1))</f>
        <v>222.86701323374945</v>
      </c>
      <c r="CE71" s="62">
        <f t="shared" si="94"/>
        <v>149.63671045240511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12.541044481789292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12.541044481789292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4.8</v>
      </c>
      <c r="CT71" s="13">
        <f>IF('Données projet'!$A$140&gt;35,CT70+CS71-DB70,IF(A71&lt;'Données projet'!$A$140,$CQ$205^A71,IF(A71='Données projet'!$A$140,'Données projet'!$B$140,CT70+CS71-DB70)))</f>
        <v>227.40000000000012</v>
      </c>
      <c r="CU71" s="18">
        <f>CT71*VLOOKUP('Données projet'!$B$13,Paramètres!$A$1:$I$89,3,0)*VLOOKUP('Données projet'!$B$13,Paramètres!$A$1:$I$89,5,0)</f>
        <v>148.99248000000009</v>
      </c>
      <c r="CV71" s="14">
        <f t="shared" si="95"/>
        <v>38.349533355462334</v>
      </c>
      <c r="CW71" s="22">
        <f t="shared" si="67"/>
        <v>326.28733992743042</v>
      </c>
      <c r="CX71" s="62">
        <f t="shared" si="68"/>
        <v>619.62067326076374</v>
      </c>
      <c r="CY71" s="62">
        <f ca="1">AVERAGE(OFFSET($CX$3,0,0,'Données projet'!$E$13+1,1))-AVERAGE(OFFSET($H$3,0,0,'Données projet'!$E$13+1,1))</f>
        <v>173.15672762188746</v>
      </c>
      <c r="CZ71" s="62">
        <f t="shared" si="96"/>
        <v>208.54841796921414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14.475143767107737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14.475143767107737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11.896999999999997</v>
      </c>
      <c r="EJ71" s="13">
        <f>IF('Données projet'!$A$192&gt;35,EJ70+EI71-ER70,IF(A71&lt;'Données projet'!$A$192,$EG$205^A71,IF(A71='Données projet'!$A$192,'Données projet'!$B$192,EJ70+EI71-ER70)))</f>
        <v>466.26600000000013</v>
      </c>
      <c r="EK71" s="18">
        <f>EJ71*VLOOKUP('Données projet'!$B$15,Paramètres!$A$1:$I$89,3,0)*VLOOKUP('Données projet'!$B$15,Paramètres!$A$1:$I$89,5,0)</f>
        <v>278.82706800000011</v>
      </c>
      <c r="EL71" s="14">
        <f t="shared" si="99"/>
        <v>66.719074104976841</v>
      </c>
      <c r="EM71" s="22">
        <f t="shared" si="73"/>
        <v>601.82619749950163</v>
      </c>
      <c r="EN71" s="62">
        <f t="shared" si="74"/>
        <v>895.15953083283489</v>
      </c>
      <c r="EO71" s="62">
        <f ca="1">AVERAGE(OFFSET($EN$3,0,0,'Données projet'!$E$15+1,1))-AVERAGE(OFFSET($H$3,0,0,'Données projet'!$E$15+1,1))</f>
        <v>269.18638759204373</v>
      </c>
      <c r="EP71" s="62">
        <f t="shared" si="100"/>
        <v>197.07126167823969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47.512538194438065</v>
      </c>
      <c r="EW71" s="23">
        <f>EXP(-LN(2)/25)*EW70+(1-EXP(-LN(2)/25))/(LN(2)/25)*Calculateur!ER71*Calculateur!ET71*VLOOKUP('Données projet'!$B$15,Paramètres!$A$1:$I$89,3,0)*0.475*44/12</f>
        <v>12.833429352055612</v>
      </c>
      <c r="EX71" s="23">
        <f>EXP(-LN(2)/2)*EX70+(1-EXP(-LN(2)/2))/(LN(2)/2)*ER71*EU71*VLOOKUP('Données projet'!$B$15,Paramètres!$A$1:$I$89,3,0)*0.475*44/12</f>
        <v>0.27890039676066841</v>
      </c>
      <c r="EY71" s="24">
        <f t="shared" si="75"/>
        <v>60.624867943254344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1.1368683772161603E-13</v>
      </c>
      <c r="FF71" s="18">
        <f>FE71*VLOOKUP('Données projet'!$B$16,Paramètres!$A$1:$I$89,3,0)*VLOOKUP('Données projet'!$B$16,Paramètres!$A$1:$I$89,5,0)</f>
        <v>6.7984728957526396E-14</v>
      </c>
      <c r="FG71" s="14">
        <f t="shared" si="101"/>
        <v>1.0682447123141398E-12</v>
      </c>
      <c r="FH71" s="22">
        <f t="shared" si="76"/>
        <v>1.978932943548152E-12</v>
      </c>
      <c r="FI71" s="62">
        <f t="shared" si="77"/>
        <v>293.3333333333353</v>
      </c>
      <c r="FJ71" s="62">
        <f ca="1">AVERAGE(OFFSET($FI$3,0,0,'Données projet'!$E$16+1,1))-AVERAGE(OFFSET($H$3,0,0,'Données projet'!$E$16+1,1))</f>
        <v>330.48891719033065</v>
      </c>
      <c r="FK71" s="62">
        <f t="shared" si="102"/>
        <v>419.35494198427284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181.42129144063685</v>
      </c>
      <c r="FR71" s="23">
        <f>EXP(-LN(2)/25)*FR70+(1-EXP(-LN(2)/25))/(LN(2)/25)*Calculateur!FM71*Calculateur!FO71*VLOOKUP('Données projet'!$B$16,Paramètres!$A$1:$I$89,3,0)*0.475*44/12</f>
        <v>28.781679646348522</v>
      </c>
      <c r="FS71" s="23">
        <f>EXP(-LN(2)/2)*FS70+(1-EXP(-LN(2)/2))/(LN(2)/2)*FM71*FP71*VLOOKUP('Données projet'!$B$16,Paramètres!$A$1:$I$89,3,0)*0.475*44/12</f>
        <v>0.54278957302889175</v>
      </c>
      <c r="FT71" s="24">
        <f t="shared" si="78"/>
        <v>210.74576066001427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>
        <f>FZ71*VLOOKUP('Données projet'!$B$17,Paramètres!$A$1:$I$89,3,0)*VLOOKUP('Données projet'!$B$17,Paramètres!$A$1:$I$89,5,0)</f>
        <v>0</v>
      </c>
      <c r="GB71" s="14" t="e">
        <f t="shared" si="103"/>
        <v>#NUM!</v>
      </c>
      <c r="GC71" s="22" t="e">
        <f t="shared" si="79"/>
        <v>#NUM!</v>
      </c>
      <c r="GD71" s="62" t="e">
        <f t="shared" si="80"/>
        <v>#NUM!</v>
      </c>
      <c r="GE71" s="62">
        <f ca="1">AVERAGE(OFFSET($GD$3,0,0,'Données projet'!$E$17+1,1))-AVERAGE(OFFSET($H$3,0,0,'Données projet'!$E$17+1,1))</f>
        <v>132.18258156780018</v>
      </c>
      <c r="GF71" s="62">
        <f t="shared" si="104"/>
        <v>315.58133946947294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20.436661646703474</v>
      </c>
      <c r="GM71" s="23">
        <f>EXP(-LN(2)/25)*GM70+(1-EXP(-LN(2)/25))/(LN(2)/25)*Calculateur!GH71*Calculateur!GJ71*VLOOKUP('Données projet'!$B$17,Paramètres!$A$1:$I$89,3,0)*0.475*44/12</f>
        <v>6.4696873339206711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26.906348980624145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9">
        <f t="shared" si="56"/>
        <v>394.02348447732243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8.8662500000000044</v>
      </c>
      <c r="N72" s="14">
        <f>IF('Données projet'!$A$36&gt;35,N71+M72-V71,IF(A72&lt;'Données projet'!$A$36,$K$205^A72,IF(A72='Données projet'!$A$36,'Données projet'!$B$36,N71+M72-V71)))</f>
        <v>241.64875000000015</v>
      </c>
      <c r="O72" s="14">
        <f>N72*VLOOKUP('Données projet'!$B$9,Paramètres!$A$1:$I$89,3,0)*VLOOKUP('Données projet'!$B$9,Paramètres!$A$1:$I$89,5,0)</f>
        <v>218.64378900000014</v>
      </c>
      <c r="P72" s="14">
        <f t="shared" si="87"/>
        <v>53.820013961218514</v>
      </c>
      <c r="Q72" s="22">
        <f t="shared" si="54"/>
        <v>474.54112349078923</v>
      </c>
      <c r="R72" s="62">
        <f t="shared" si="55"/>
        <v>767.87445682412249</v>
      </c>
      <c r="S72" s="62">
        <f ca="1">AVERAGE(OFFSET($R$3,0,0,'Données projet'!$E$9+1,1))-AVERAGE(OFFSET($H$3,0,0,'Données projet'!$E$9+1,1))</f>
        <v>401.86262166363821</v>
      </c>
      <c r="T72" s="62">
        <f t="shared" si="88"/>
        <v>208.60314230781432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13.455039442064676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13.455039442064676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8.8662500000000044</v>
      </c>
      <c r="AI72" s="14">
        <f>IF('Données projet'!$A$62&gt;35,AI71+AH72-AQ71,IF(A72&lt;'Données projet'!$A$62,$AF$205^A72,IF(A72='Données projet'!$A$62,'Données projet'!$B$62,AI71+AH72-AQ71)))</f>
        <v>241.64875000000015</v>
      </c>
      <c r="AJ72" s="14">
        <f>AI72*VLOOKUP('Données projet'!$B$10,Paramètres!$A$1:$I$89,3,0)*VLOOKUP('Données projet'!$B$10,Paramètres!$A$1:$I$89,5,0)</f>
        <v>260.11071450000014</v>
      </c>
      <c r="AK72" s="14">
        <f t="shared" si="89"/>
        <v>62.745977228705485</v>
      </c>
      <c r="AL72" s="22">
        <f t="shared" si="58"/>
        <v>562.30873809416232</v>
      </c>
      <c r="AM72" s="62">
        <f t="shared" si="59"/>
        <v>855.64207142749569</v>
      </c>
      <c r="AN72" s="62">
        <f ca="1">AVERAGE(OFFSET($AM$3,0,0,'Données projet'!$E$10+1,1))-AVERAGE(OFFSET($H$3,0,0,'Données projet'!$E$10+1,1))</f>
        <v>407.22515465568205</v>
      </c>
      <c r="AO72" s="62">
        <f t="shared" si="90"/>
        <v>251.6218558398258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16.006857267283838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16.006857267283838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8.8662500000000044</v>
      </c>
      <c r="BD72" s="13">
        <f>IF('Données projet'!$A$88&gt;35,BD71+BC72-BL71,IF(A72&lt;'Données projet'!$A$88,$BA$205^A72,IF(A72='Données projet'!$A$88,'Données projet'!$B$88,BD71+BC72-BL71)))</f>
        <v>241.64875000000015</v>
      </c>
      <c r="BE72" s="14">
        <f>BD72*VLOOKUP('Données projet'!$B$11,Paramètres!$A$1:$I$89,3,0)*VLOOKUP('Données projet'!$B$11,Paramètres!$A$1:$I$89,5,0)</f>
        <v>233.72267100000013</v>
      </c>
      <c r="BF72" s="14">
        <f t="shared" si="91"/>
        <v>57.086856324963186</v>
      </c>
      <c r="BG72" s="22">
        <f t="shared" si="61"/>
        <v>506.49326009097769</v>
      </c>
      <c r="BH72" s="62">
        <f t="shared" si="62"/>
        <v>799.826593424311</v>
      </c>
      <c r="BI72" s="62">
        <f ca="1">AVERAGE(OFFSET($BH$3,0,0,'Données projet'!$E$11+1,1))-AVERAGE(OFFSET($H$3,0,0,'Données projet'!$E$11+1,1))</f>
        <v>357.76044008074308</v>
      </c>
      <c r="BJ72" s="62">
        <f t="shared" si="92"/>
        <v>224.26555772810445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14.382973196689823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14.382973196689823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8.8662500000000044</v>
      </c>
      <c r="BY72" s="13">
        <f>IF('Données projet'!$A$114&gt;35,BY71+BX72-CG71,IF(A72&lt;'Données projet'!$A$114,$BV$205^A72,IF(A72='Données projet'!$A$114,'Données projet'!$B$114,BY71+BX72-CG71)))</f>
        <v>241.64875000000015</v>
      </c>
      <c r="BZ72" s="14">
        <f>BY72*VLOOKUP('Données projet'!$B$12,Paramètres!$A$1:$I$89,3,0)*VLOOKUP('Données projet'!$B$12,Paramètres!$A$1:$I$89,5,0)</f>
        <v>162.09798150000009</v>
      </c>
      <c r="CA72" s="14">
        <f t="shared" si="93"/>
        <v>41.31536161770417</v>
      </c>
      <c r="CB72" s="22">
        <f t="shared" si="64"/>
        <v>354.27823926333485</v>
      </c>
      <c r="CC72" s="62">
        <f t="shared" si="65"/>
        <v>647.61157259666811</v>
      </c>
      <c r="CD72" s="62">
        <f ca="1">AVERAGE(OFFSET($CC$3,0,0,'Données projet'!$E$12+1,1))-AVERAGE(OFFSET($H$3,0,0,'Données projet'!$E$12+1,1))</f>
        <v>222.86701323374945</v>
      </c>
      <c r="CE72" s="62">
        <f t="shared" si="94"/>
        <v>149.63671045240511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12.295122248783235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12.295122248783235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4.8</v>
      </c>
      <c r="CT72" s="13">
        <f>IF('Données projet'!$A$140&gt;35,CT71+CS72-DB71,IF(A72&lt;'Données projet'!$A$140,$CQ$205^A72,IF(A72='Données projet'!$A$140,'Données projet'!$B$140,CT71+CS72-DB71)))</f>
        <v>232.20000000000013</v>
      </c>
      <c r="CU72" s="18">
        <f>CT72*VLOOKUP('Données projet'!$B$13,Paramètres!$A$1:$I$89,3,0)*VLOOKUP('Données projet'!$B$13,Paramètres!$A$1:$I$89,5,0)</f>
        <v>152.13744000000008</v>
      </c>
      <c r="CV72" s="14">
        <f t="shared" si="95"/>
        <v>39.063925813036128</v>
      </c>
      <c r="CW72" s="22">
        <f t="shared" si="67"/>
        <v>333.0090454577047</v>
      </c>
      <c r="CX72" s="62">
        <f t="shared" si="68"/>
        <v>626.34237879103807</v>
      </c>
      <c r="CY72" s="62">
        <f ca="1">AVERAGE(OFFSET($CX$3,0,0,'Données projet'!$E$13+1,1))-AVERAGE(OFFSET($H$3,0,0,'Données projet'!$E$13+1,1))</f>
        <v>173.15672762188746</v>
      </c>
      <c r="CZ72" s="62">
        <f t="shared" si="96"/>
        <v>208.54841796921414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14.191295026800663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14.191295026800663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11.896999999999997</v>
      </c>
      <c r="EJ72" s="13">
        <f>IF('Données projet'!$A$192&gt;35,EJ71+EI72-ER71,IF(A72&lt;'Données projet'!$A$192,$EG$205^A72,IF(A72='Données projet'!$A$192,'Données projet'!$B$192,EJ71+EI72-ER71)))</f>
        <v>478.16300000000012</v>
      </c>
      <c r="EK72" s="18">
        <f>EJ72*VLOOKUP('Données projet'!$B$15,Paramètres!$A$1:$I$89,3,0)*VLOOKUP('Données projet'!$B$15,Paramètres!$A$1:$I$89,5,0)</f>
        <v>285.94147400000008</v>
      </c>
      <c r="EL72" s="14">
        <f t="shared" si="99"/>
        <v>68.221074600056156</v>
      </c>
      <c r="EM72" s="22">
        <f t="shared" si="73"/>
        <v>616.83310547843132</v>
      </c>
      <c r="EN72" s="62">
        <f t="shared" si="74"/>
        <v>910.16643881176469</v>
      </c>
      <c r="EO72" s="62">
        <f ca="1">AVERAGE(OFFSET($EN$3,0,0,'Données projet'!$E$15+1,1))-AVERAGE(OFFSET($H$3,0,0,'Données projet'!$E$15+1,1))</f>
        <v>269.18638759204373</v>
      </c>
      <c r="EP72" s="62">
        <f t="shared" si="100"/>
        <v>197.07126167823969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46.580846300231919</v>
      </c>
      <c r="EW72" s="23">
        <f>EXP(-LN(2)/25)*EW71+(1-EXP(-LN(2)/25))/(LN(2)/25)*Calculateur!ER72*Calculateur!ET72*VLOOKUP('Données projet'!$B$15,Paramètres!$A$1:$I$89,3,0)*0.475*44/12</f>
        <v>12.482498551542934</v>
      </c>
      <c r="EX72" s="23">
        <f>EXP(-LN(2)/2)*EX71+(1-EXP(-LN(2)/2))/(LN(2)/2)*ER72*EU72*VLOOKUP('Données projet'!$B$15,Paramètres!$A$1:$I$89,3,0)*0.475*44/12</f>
        <v>0.19721236182508725</v>
      </c>
      <c r="EY72" s="24">
        <f t="shared" si="75"/>
        <v>59.260557213599938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1.1368683772161603E-13</v>
      </c>
      <c r="FF72" s="18">
        <f>FE72*VLOOKUP('Données projet'!$B$16,Paramètres!$A$1:$I$89,3,0)*VLOOKUP('Données projet'!$B$16,Paramètres!$A$1:$I$89,5,0)</f>
        <v>6.7984728957526396E-14</v>
      </c>
      <c r="FG72" s="14">
        <f t="shared" si="101"/>
        <v>1.0682447123141398E-12</v>
      </c>
      <c r="FH72" s="22">
        <f t="shared" si="76"/>
        <v>1.978932943548152E-12</v>
      </c>
      <c r="FI72" s="62">
        <f t="shared" si="77"/>
        <v>293.3333333333353</v>
      </c>
      <c r="FJ72" s="62">
        <f ca="1">AVERAGE(OFFSET($FI$3,0,0,'Données projet'!$E$16+1,1))-AVERAGE(OFFSET($H$3,0,0,'Données projet'!$E$16+1,1))</f>
        <v>330.48891719033065</v>
      </c>
      <c r="FK72" s="62">
        <f t="shared" si="102"/>
        <v>419.35494198427284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177.86373057154736</v>
      </c>
      <c r="FR72" s="23">
        <f>EXP(-LN(2)/25)*FR71+(1-EXP(-LN(2)/25))/(LN(2)/25)*Calculateur!FM72*Calculateur!FO72*VLOOKUP('Données projet'!$B$16,Paramètres!$A$1:$I$89,3,0)*0.475*44/12</f>
        <v>27.994643102856369</v>
      </c>
      <c r="FS72" s="23">
        <f>EXP(-LN(2)/2)*FS71+(1-EXP(-LN(2)/2))/(LN(2)/2)*FM72*FP72*VLOOKUP('Données projet'!$B$16,Paramètres!$A$1:$I$89,3,0)*0.475*44/12</f>
        <v>0.38381018784608012</v>
      </c>
      <c r="FT72" s="24">
        <f t="shared" si="78"/>
        <v>206.24218386224982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>
        <f>FZ72*VLOOKUP('Données projet'!$B$17,Paramètres!$A$1:$I$89,3,0)*VLOOKUP('Données projet'!$B$17,Paramètres!$A$1:$I$89,5,0)</f>
        <v>0</v>
      </c>
      <c r="GB72" s="14" t="e">
        <f t="shared" si="103"/>
        <v>#NUM!</v>
      </c>
      <c r="GC72" s="22" t="e">
        <f t="shared" si="79"/>
        <v>#NUM!</v>
      </c>
      <c r="GD72" s="62" t="e">
        <f t="shared" si="80"/>
        <v>#NUM!</v>
      </c>
      <c r="GE72" s="62">
        <f ca="1">AVERAGE(OFFSET($GD$3,0,0,'Données projet'!$E$17+1,1))-AVERAGE(OFFSET($H$3,0,0,'Données projet'!$E$17+1,1))</f>
        <v>132.18258156780018</v>
      </c>
      <c r="GF72" s="62">
        <f t="shared" si="104"/>
        <v>315.58133946947294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20.035911176944392</v>
      </c>
      <c r="GM72" s="23">
        <f>EXP(-LN(2)/25)*GM71+(1-EXP(-LN(2)/25))/(LN(2)/25)*Calculateur!GH72*Calculateur!GJ72*VLOOKUP('Données projet'!$B$17,Paramètres!$A$1:$I$89,3,0)*0.475*44/12</f>
        <v>6.2927733935485399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26.328684570492932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9">
        <f t="shared" si="56"/>
        <v>395.96238788291669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8.8662500000000044</v>
      </c>
      <c r="N73" s="14">
        <f>IF('Données projet'!$A$36&gt;35,N72+M73-V72,IF(A73&lt;'Données projet'!$A$36,$K$205^A73,IF(A73='Données projet'!$A$36,'Données projet'!$B$36,N72+M73-V72)))</f>
        <v>250.51500000000016</v>
      </c>
      <c r="O73" s="14">
        <f>N73*VLOOKUP('Données projet'!$B$9,Paramètres!$A$1:$I$89,3,0)*VLOOKUP('Données projet'!$B$9,Paramètres!$A$1:$I$89,5,0)</f>
        <v>226.66597200000012</v>
      </c>
      <c r="P73" s="14">
        <f t="shared" si="87"/>
        <v>55.561175235972904</v>
      </c>
      <c r="Q73" s="22">
        <f t="shared" si="54"/>
        <v>491.54561476931968</v>
      </c>
      <c r="R73" s="62">
        <f t="shared" si="55"/>
        <v>784.878948102653</v>
      </c>
      <c r="S73" s="62">
        <f ca="1">AVERAGE(OFFSET($R$3,0,0,'Données projet'!$E$9+1,1))-AVERAGE(OFFSET($H$3,0,0,'Données projet'!$E$9+1,1))</f>
        <v>401.86262166363821</v>
      </c>
      <c r="T73" s="62">
        <f t="shared" si="88"/>
        <v>208.60314230781432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13.191194325369496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13.191194325369496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8.8662500000000044</v>
      </c>
      <c r="AI73" s="14">
        <f>IF('Données projet'!$A$62&gt;35,AI72+AH73-AQ72,IF(A73&lt;'Données projet'!$A$62,$AF$205^A73,IF(A73='Données projet'!$A$62,'Données projet'!$B$62,AI72+AH73-AQ72)))</f>
        <v>250.51500000000016</v>
      </c>
      <c r="AJ73" s="14">
        <f>AI73*VLOOKUP('Données projet'!$B$10,Paramètres!$A$1:$I$89,3,0)*VLOOKUP('Données projet'!$B$10,Paramètres!$A$1:$I$89,5,0)</f>
        <v>269.65434600000015</v>
      </c>
      <c r="AK73" s="14">
        <f t="shared" si="89"/>
        <v>64.775907317091679</v>
      </c>
      <c r="AL73" s="22">
        <f t="shared" si="58"/>
        <v>582.46602452726813</v>
      </c>
      <c r="AM73" s="62">
        <f t="shared" si="59"/>
        <v>875.7993578606015</v>
      </c>
      <c r="AN73" s="62">
        <f ca="1">AVERAGE(OFFSET($AM$3,0,0,'Données projet'!$E$10+1,1))-AVERAGE(OFFSET($H$3,0,0,'Données projet'!$E$10+1,1))</f>
        <v>407.22515465568205</v>
      </c>
      <c r="AO73" s="62">
        <f t="shared" si="90"/>
        <v>251.6218558398258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15.692972559491297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15.692972559491297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8.8662500000000044</v>
      </c>
      <c r="BD73" s="13">
        <f>IF('Données projet'!$A$88&gt;35,BD72+BC73-BL72,IF(A73&lt;'Données projet'!$A$88,$BA$205^A73,IF(A73='Données projet'!$A$88,'Données projet'!$B$88,BD72+BC73-BL72)))</f>
        <v>250.51500000000016</v>
      </c>
      <c r="BE73" s="14">
        <f>BD73*VLOOKUP('Données projet'!$B$11,Paramètres!$A$1:$I$89,3,0)*VLOOKUP('Données projet'!$B$11,Paramètres!$A$1:$I$89,5,0)</f>
        <v>242.29810800000013</v>
      </c>
      <c r="BF73" s="14">
        <f t="shared" si="91"/>
        <v>58.933705038196834</v>
      </c>
      <c r="BG73" s="22">
        <f t="shared" si="61"/>
        <v>524.64540770819303</v>
      </c>
      <c r="BH73" s="62">
        <f t="shared" si="62"/>
        <v>817.97874104152629</v>
      </c>
      <c r="BI73" s="62">
        <f ca="1">AVERAGE(OFFSET($BH$3,0,0,'Données projet'!$E$11+1,1))-AVERAGE(OFFSET($H$3,0,0,'Données projet'!$E$11+1,1))</f>
        <v>357.76044008074308</v>
      </c>
      <c r="BJ73" s="62">
        <f t="shared" si="92"/>
        <v>224.26555772810445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14.10093186505015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14.10093186505015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8.8662500000000044</v>
      </c>
      <c r="BY73" s="13">
        <f>IF('Données projet'!$A$114&gt;35,BY72+BX73-CG72,IF(A73&lt;'Données projet'!$A$114,$BV$205^A73,IF(A73='Données projet'!$A$114,'Données projet'!$B$114,BY72+BX73-CG72)))</f>
        <v>250.51500000000016</v>
      </c>
      <c r="BZ73" s="14">
        <f>BY73*VLOOKUP('Données projet'!$B$12,Paramètres!$A$1:$I$89,3,0)*VLOOKUP('Données projet'!$B$12,Paramètres!$A$1:$I$89,5,0)</f>
        <v>168.0454620000001</v>
      </c>
      <c r="CA73" s="14">
        <f t="shared" si="93"/>
        <v>42.651977913512944</v>
      </c>
      <c r="CB73" s="22">
        <f t="shared" si="64"/>
        <v>366.96470784936855</v>
      </c>
      <c r="CC73" s="62">
        <f t="shared" si="65"/>
        <v>660.29804118270181</v>
      </c>
      <c r="CD73" s="62">
        <f ca="1">AVERAGE(OFFSET($CC$3,0,0,'Données projet'!$E$12+1,1))-AVERAGE(OFFSET($H$3,0,0,'Données projet'!$E$12+1,1))</f>
        <v>222.86701323374945</v>
      </c>
      <c r="CE73" s="62">
        <f t="shared" si="94"/>
        <v>149.63671045240511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12.054022400768675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12.054022400768675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237</v>
      </c>
      <c r="CR73" s="13">
        <f>VLOOKUP(A73,'Données projet'!$A$139:$I$159,9,0)</f>
        <v>4.8</v>
      </c>
      <c r="CS73" s="13">
        <f t="array" ref="CS73">INDEX(CR:CR,MIN(IF(ISNUMBER(CR73:CR269),ROW(CR73:CR269),"")))</f>
        <v>4.8</v>
      </c>
      <c r="CT73" s="13">
        <f>IF('Données projet'!$A$140&gt;35,CT72+CS73-DB72,IF(A73&lt;'Données projet'!$A$140,$CQ$205^A73,IF(A73='Données projet'!$A$140,'Données projet'!$B$140,CT72+CS73-DB72)))</f>
        <v>237.00000000000014</v>
      </c>
      <c r="CU73" s="18">
        <f>CT73*VLOOKUP('Données projet'!$B$13,Paramètres!$A$1:$I$89,3,0)*VLOOKUP('Données projet'!$B$13,Paramètres!$A$1:$I$89,5,0)</f>
        <v>155.28240000000011</v>
      </c>
      <c r="CV73" s="14">
        <f t="shared" si="95"/>
        <v>39.776601235546444</v>
      </c>
      <c r="CW73" s="22">
        <f t="shared" si="67"/>
        <v>339.72776048524355</v>
      </c>
      <c r="CX73" s="62">
        <f t="shared" si="68"/>
        <v>633.06109381857686</v>
      </c>
      <c r="CY73" s="62">
        <f ca="1">AVERAGE(OFFSET($CX$3,0,0,'Données projet'!$E$13+1,1))-AVERAGE(OFFSET($H$3,0,0,'Données projet'!$E$13+1,1))</f>
        <v>173.15672762188746</v>
      </c>
      <c r="CZ73" s="62">
        <f t="shared" si="96"/>
        <v>208.54841796921414</v>
      </c>
      <c r="DA73" s="16">
        <f>IF(ISNA(VLOOKUP(A73,'Données projet'!$A$139:$I$159,3,0)),0,VLOOKUP(A73,'Données projet'!$A$139:$I$159,3,0))</f>
        <v>13</v>
      </c>
      <c r="DB73" s="16">
        <f>IF(ISNA(VLOOKUP(A73,'Données projet'!$A$139:$I$159,4,0)),0,VLOOKUP(A73,'Données projet'!$A$139:$I$159,4,0))</f>
        <v>19</v>
      </c>
      <c r="DC73" s="17">
        <f>IF(ISNA(VLOOKUP(A73,'Données projet'!$A$139:$I$159,5,0)),0%,VLOOKUP(A73,'Données projet'!$A$139:$I$159,5,0)*VLOOKUP('Données projet'!$B$13,Paramètres!$A$1:$I$89,7,0))</f>
        <v>0.25800000000000001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17.463551539628661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17.463551539628661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490.06</v>
      </c>
      <c r="EH73" s="13">
        <f>VLOOKUP(A73,'Données projet'!$A$191:$I$211,9,0)</f>
        <v>11.896999999999997</v>
      </c>
      <c r="EI73" s="13">
        <f t="array" ref="EI73">INDEX(EH:EH,MIN(IF(ISNUMBER(EH73:EH269),ROW(EH73:EH269),"")))</f>
        <v>11.896999999999997</v>
      </c>
      <c r="EJ73" s="13">
        <f>IF('Données projet'!$A$192&gt;35,EJ72+EI73-ER72,IF(A73&lt;'Données projet'!$A$192,$EG$205^A73,IF(A73='Données projet'!$A$192,'Données projet'!$B$192,EJ72+EI73-ER72)))</f>
        <v>490.06000000000012</v>
      </c>
      <c r="EK73" s="18">
        <f>EJ73*VLOOKUP('Données projet'!$B$15,Paramètres!$A$1:$I$89,3,0)*VLOOKUP('Données projet'!$B$15,Paramètres!$A$1:$I$89,5,0)</f>
        <v>293.05588000000012</v>
      </c>
      <c r="EL73" s="14">
        <f t="shared" si="99"/>
        <v>69.718730961493122</v>
      </c>
      <c r="EM73" s="22">
        <f t="shared" si="73"/>
        <v>631.83244742460067</v>
      </c>
      <c r="EN73" s="62">
        <f t="shared" si="74"/>
        <v>925.16578075793404</v>
      </c>
      <c r="EO73" s="62">
        <f ca="1">AVERAGE(OFFSET($EN$3,0,0,'Données projet'!$E$15+1,1))-AVERAGE(OFFSET($H$3,0,0,'Données projet'!$E$15+1,1))</f>
        <v>269.18638759204373</v>
      </c>
      <c r="EP73" s="62">
        <f t="shared" si="100"/>
        <v>197.07126167823969</v>
      </c>
      <c r="EQ73" s="16">
        <f>IF(ISNA(VLOOKUP(A73,'Données projet'!$A$191:$I$211,3,0)),0,VLOOKUP(A73,'Données projet'!$A$191:$I$211,3,0))</f>
        <v>7</v>
      </c>
      <c r="ER73" s="16">
        <f>IF(ISNA(VLOOKUP(A73,'Données projet'!$A$191:$I$211,4,0)),0,VLOOKUP(A73,'Données projet'!$A$191:$I$211,4,0))</f>
        <v>67.88</v>
      </c>
      <c r="ES73" s="17">
        <f>IF(ISNA(VLOOKUP(A73,'Données projet'!$A$191:$I$211,5,0)),0%,VLOOKUP(A73,'Données projet'!$A$191:$I$211,5,0)*VLOOKUP('Données projet'!$B$15,Paramètres!$A$1:$I$89,7,0))</f>
        <v>0.36000000000000004</v>
      </c>
      <c r="ET73" s="17">
        <f>IF(ISNA(VLOOKUP(A73,'Données projet'!$A$191:$I$211,6,0)),0%,VLOOKUP(A73,'Données projet'!$A$191:$I$211,6,0)*VLOOKUP('Données projet'!$B$15,Paramètres!$A$1:$I$89,7,0))</f>
        <v>4.9500000000000002E-2</v>
      </c>
      <c r="EU73" s="17">
        <f>IF(ISNA(VLOOKUP(A73,'Données projet'!$A$191:$I$211,7,0)),0%,VLOOKUP(A73,'Données projet'!$A$191:$I$211,7,0))</f>
        <v>0.09</v>
      </c>
      <c r="EV73" s="23">
        <f>EXP(-LN(2)/35)*EV72+(1-EXP(-LN(2)/35))/(LN(2)/35)*ER73*ES73*VLOOKUP('Données projet'!$B$15,Paramètres!$A$1:$I$89,3,0)*0.475*44/12</f>
        <v>65.052784506036815</v>
      </c>
      <c r="EW73" s="23">
        <f>EXP(-LN(2)/25)*EW72+(1-EXP(-LN(2)/25))/(LN(2)/25)*Calculateur!ER73*Calculateur!ET73*VLOOKUP('Données projet'!$B$15,Paramètres!$A$1:$I$89,3,0)*0.475*44/12</f>
        <v>14.796155960330976</v>
      </c>
      <c r="EX73" s="23">
        <f>EXP(-LN(2)/2)*EX72+(1-EXP(-LN(2)/2))/(LN(2)/2)*ER73*EU73*VLOOKUP('Données projet'!$B$15,Paramètres!$A$1:$I$89,3,0)*0.475*44/12</f>
        <v>4.2758362625054476</v>
      </c>
      <c r="EY73" s="24">
        <f t="shared" si="75"/>
        <v>84.124776728873243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1.1368683772161603E-13</v>
      </c>
      <c r="FF73" s="18">
        <f>FE73*VLOOKUP('Données projet'!$B$16,Paramètres!$A$1:$I$89,3,0)*VLOOKUP('Données projet'!$B$16,Paramètres!$A$1:$I$89,5,0)</f>
        <v>6.7984728957526396E-14</v>
      </c>
      <c r="FG73" s="14">
        <f t="shared" si="101"/>
        <v>1.0682447123141398E-12</v>
      </c>
      <c r="FH73" s="22">
        <f t="shared" si="76"/>
        <v>1.978932943548152E-12</v>
      </c>
      <c r="FI73" s="62">
        <f t="shared" si="77"/>
        <v>293.3333333333353</v>
      </c>
      <c r="FJ73" s="62">
        <f ca="1">AVERAGE(OFFSET($FI$3,0,0,'Données projet'!$E$16+1,1))-AVERAGE(OFFSET($H$3,0,0,'Données projet'!$E$16+1,1))</f>
        <v>330.48891719033065</v>
      </c>
      <c r="FK73" s="62">
        <f t="shared" si="102"/>
        <v>419.35494198427284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174.37593130120285</v>
      </c>
      <c r="FR73" s="23">
        <f>EXP(-LN(2)/25)*FR72+(1-EXP(-LN(2)/25))/(LN(2)/25)*Calculateur!FM73*Calculateur!FO73*VLOOKUP('Données projet'!$B$16,Paramètres!$A$1:$I$89,3,0)*0.475*44/12</f>
        <v>27.229128115034463</v>
      </c>
      <c r="FS73" s="23">
        <f>EXP(-LN(2)/2)*FS72+(1-EXP(-LN(2)/2))/(LN(2)/2)*FM73*FP73*VLOOKUP('Données projet'!$B$16,Paramètres!$A$1:$I$89,3,0)*0.475*44/12</f>
        <v>0.27139478651444587</v>
      </c>
      <c r="FT73" s="24">
        <f t="shared" si="78"/>
        <v>201.87645420275175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>
        <f>FZ73*VLOOKUP('Données projet'!$B$17,Paramètres!$A$1:$I$89,3,0)*VLOOKUP('Données projet'!$B$17,Paramètres!$A$1:$I$89,5,0)</f>
        <v>0</v>
      </c>
      <c r="GB73" s="14" t="e">
        <f t="shared" si="103"/>
        <v>#NUM!</v>
      </c>
      <c r="GC73" s="22" t="e">
        <f t="shared" si="79"/>
        <v>#NUM!</v>
      </c>
      <c r="GD73" s="62" t="e">
        <f t="shared" si="80"/>
        <v>#NUM!</v>
      </c>
      <c r="GE73" s="62">
        <f ca="1">AVERAGE(OFFSET($GD$3,0,0,'Données projet'!$E$17+1,1))-AVERAGE(OFFSET($H$3,0,0,'Données projet'!$E$17+1,1))</f>
        <v>132.18258156780018</v>
      </c>
      <c r="GF73" s="62">
        <f t="shared" si="104"/>
        <v>315.58133946947294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19.643019179463636</v>
      </c>
      <c r="GM73" s="23">
        <f>EXP(-LN(2)/25)*GM72+(1-EXP(-LN(2)/25))/(LN(2)/25)*Calculateur!GH73*Calculateur!GJ73*VLOOKUP('Données projet'!$B$17,Paramètres!$A$1:$I$89,3,0)*0.475*44/12</f>
        <v>6.1206971741793845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25.763716353643019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9">
        <f t="shared" si="56"/>
        <v>397.90064293523346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8.8662500000000044</v>
      </c>
      <c r="N74" s="14">
        <f>IF('Données projet'!$A$36&gt;35,N73+M74-V73,IF(A74&lt;'Données projet'!$A$36,$K$205^A74,IF(A74='Données projet'!$A$36,'Données projet'!$B$36,N73+M74-V73)))</f>
        <v>259.38125000000014</v>
      </c>
      <c r="O74" s="14">
        <f>N74*VLOOKUP('Données projet'!$B$9,Paramètres!$A$1:$I$89,3,0)*VLOOKUP('Données projet'!$B$9,Paramètres!$A$1:$I$89,5,0)</f>
        <v>234.68815500000011</v>
      </c>
      <c r="P74" s="14">
        <f t="shared" si="87"/>
        <v>57.295176729679312</v>
      </c>
      <c r="Q74" s="22">
        <f t="shared" si="54"/>
        <v>508.53763609585832</v>
      </c>
      <c r="R74" s="62">
        <f t="shared" si="55"/>
        <v>801.87096942919163</v>
      </c>
      <c r="S74" s="62">
        <f ca="1">AVERAGE(OFFSET($R$3,0,0,'Données projet'!$E$9+1,1))-AVERAGE(OFFSET($H$3,0,0,'Données projet'!$E$9+1,1))</f>
        <v>401.86262166363821</v>
      </c>
      <c r="T74" s="62">
        <f t="shared" si="88"/>
        <v>208.60314230781432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12.932523050483079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12.932523050483079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8.8662500000000044</v>
      </c>
      <c r="AI74" s="14">
        <f>IF('Données projet'!$A$62&gt;35,AI73+AH74-AQ73,IF(A74&lt;'Données projet'!$A$62,$AF$205^A74,IF(A74='Données projet'!$A$62,'Données projet'!$B$62,AI73+AH74-AQ73)))</f>
        <v>259.38125000000014</v>
      </c>
      <c r="AJ74" s="14">
        <f>AI74*VLOOKUP('Données projet'!$B$10,Paramètres!$A$1:$I$89,3,0)*VLOOKUP('Données projet'!$B$10,Paramètres!$A$1:$I$89,5,0)</f>
        <v>279.19797750000015</v>
      </c>
      <c r="AK74" s="14">
        <f t="shared" si="89"/>
        <v>66.797490186190217</v>
      </c>
      <c r="AL74" s="22">
        <f t="shared" si="58"/>
        <v>602.60877288678148</v>
      </c>
      <c r="AM74" s="62">
        <f t="shared" si="59"/>
        <v>895.94210622011474</v>
      </c>
      <c r="AN74" s="62">
        <f ca="1">AVERAGE(OFFSET($AM$3,0,0,'Données projet'!$E$10+1,1))-AVERAGE(OFFSET($H$3,0,0,'Données projet'!$E$10+1,1))</f>
        <v>407.22515465568205</v>
      </c>
      <c r="AO74" s="62">
        <f t="shared" si="90"/>
        <v>251.6218558398258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15.385242939367801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15.385242939367801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8.8662500000000044</v>
      </c>
      <c r="BD74" s="13">
        <f>IF('Données projet'!$A$88&gt;35,BD73+BC74-BL73,IF(A74&lt;'Données projet'!$A$88,$BA$205^A74,IF(A74='Données projet'!$A$88,'Données projet'!$B$88,BD73+BC74-BL73)))</f>
        <v>259.38125000000014</v>
      </c>
      <c r="BE74" s="14">
        <f>BD74*VLOOKUP('Données projet'!$B$11,Paramètres!$A$1:$I$89,3,0)*VLOOKUP('Données projet'!$B$11,Paramètres!$A$1:$I$89,5,0)</f>
        <v>250.87354500000012</v>
      </c>
      <c r="BF74" s="14">
        <f t="shared" si="91"/>
        <v>60.772959375994262</v>
      </c>
      <c r="BG74" s="22">
        <f t="shared" si="61"/>
        <v>542.78432845485679</v>
      </c>
      <c r="BH74" s="62">
        <f t="shared" si="62"/>
        <v>836.11766178819016</v>
      </c>
      <c r="BI74" s="62">
        <f ca="1">AVERAGE(OFFSET($BH$3,0,0,'Données projet'!$E$11+1,1))-AVERAGE(OFFSET($H$3,0,0,'Données projet'!$E$11+1,1))</f>
        <v>357.76044008074308</v>
      </c>
      <c r="BJ74" s="62">
        <f t="shared" si="92"/>
        <v>224.26555772810445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13.824421191895704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13.824421191895704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8.8662500000000044</v>
      </c>
      <c r="BY74" s="13">
        <f>IF('Données projet'!$A$114&gt;35,BY73+BX74-CG73,IF(A74&lt;'Données projet'!$A$114,$BV$205^A74,IF(A74='Données projet'!$A$114,'Données projet'!$B$114,BY73+BX74-CG73)))</f>
        <v>259.38125000000014</v>
      </c>
      <c r="BZ74" s="14">
        <f>BY74*VLOOKUP('Données projet'!$B$12,Paramètres!$A$1:$I$89,3,0)*VLOOKUP('Données projet'!$B$12,Paramètres!$A$1:$I$89,5,0)</f>
        <v>173.99294250000008</v>
      </c>
      <c r="CA74" s="14">
        <f t="shared" si="93"/>
        <v>43.983097946475816</v>
      </c>
      <c r="CB74" s="22">
        <f t="shared" si="64"/>
        <v>379.64160377761226</v>
      </c>
      <c r="CC74" s="62">
        <f t="shared" si="65"/>
        <v>672.97493711094558</v>
      </c>
      <c r="CD74" s="62">
        <f ca="1">AVERAGE(OFFSET($CC$3,0,0,'Données projet'!$E$12+1,1))-AVERAGE(OFFSET($H$3,0,0,'Données projet'!$E$12+1,1))</f>
        <v>222.86701323374945</v>
      </c>
      <c r="CE74" s="62">
        <f t="shared" si="94"/>
        <v>149.63671045240511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11.817650373717294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11.817650373717294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4.5999999999999996</v>
      </c>
      <c r="CT74" s="13">
        <f>IF('Données projet'!$A$140&gt;35,CT73+CS74-DB73,IF(A74&lt;'Données projet'!$A$140,$CQ$205^A74,IF(A74='Données projet'!$A$140,'Données projet'!$B$140,CT73+CS74-DB73)))</f>
        <v>222.60000000000014</v>
      </c>
      <c r="CU74" s="18">
        <f>CT74*VLOOKUP('Données projet'!$B$13,Paramètres!$A$1:$I$89,3,0)*VLOOKUP('Données projet'!$B$13,Paramètres!$A$1:$I$89,5,0)</f>
        <v>145.84752000000009</v>
      </c>
      <c r="CV74" s="14">
        <f t="shared" si="95"/>
        <v>37.633383344887093</v>
      </c>
      <c r="CW74" s="22">
        <f t="shared" si="67"/>
        <v>319.56257332567844</v>
      </c>
      <c r="CX74" s="62">
        <f t="shared" si="68"/>
        <v>612.89590665901176</v>
      </c>
      <c r="CY74" s="62">
        <f ca="1">AVERAGE(OFFSET($CX$3,0,0,'Données projet'!$E$13+1,1))-AVERAGE(OFFSET($H$3,0,0,'Données projet'!$E$13+1,1))</f>
        <v>173.15672762188746</v>
      </c>
      <c r="CZ74" s="62">
        <f t="shared" si="96"/>
        <v>208.54841796921414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17.121101945651212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17.121101945651212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9.782</v>
      </c>
      <c r="EJ74" s="13">
        <f>IF('Données projet'!$A$192&gt;35,EJ73+EI74-ER73,IF(A74&lt;'Données projet'!$A$192,$EG$205^A74,IF(A74='Données projet'!$A$192,'Données projet'!$B$192,EJ73+EI74-ER73)))</f>
        <v>431.9620000000001</v>
      </c>
      <c r="EK74" s="18">
        <f>EJ74*VLOOKUP('Données projet'!$B$15,Paramètres!$A$1:$I$89,3,0)*VLOOKUP('Données projet'!$B$15,Paramètres!$A$1:$I$89,5,0)</f>
        <v>258.31327600000009</v>
      </c>
      <c r="EL74" s="14">
        <f t="shared" si="99"/>
        <v>62.362700481716175</v>
      </c>
      <c r="EM74" s="22">
        <f t="shared" si="73"/>
        <v>558.51065903898916</v>
      </c>
      <c r="EN74" s="62">
        <f t="shared" si="74"/>
        <v>851.84399237232242</v>
      </c>
      <c r="EO74" s="62">
        <f ca="1">AVERAGE(OFFSET($EN$3,0,0,'Données projet'!$E$15+1,1))-AVERAGE(OFFSET($H$3,0,0,'Données projet'!$E$15+1,1))</f>
        <v>269.18638759204373</v>
      </c>
      <c r="EP74" s="62">
        <f t="shared" si="100"/>
        <v>197.07126167823969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63.777139080154079</v>
      </c>
      <c r="EW74" s="23">
        <f>EXP(-LN(2)/25)*EW73+(1-EXP(-LN(2)/25))/(LN(2)/25)*Calculateur!ER74*Calculateur!ET74*VLOOKUP('Données projet'!$B$15,Paramètres!$A$1:$I$89,3,0)*0.475*44/12</f>
        <v>14.391554297499701</v>
      </c>
      <c r="EX74" s="23">
        <f>EXP(-LN(2)/2)*EX73+(1-EXP(-LN(2)/2))/(LN(2)/2)*ER74*EU74*VLOOKUP('Données projet'!$B$15,Paramètres!$A$1:$I$89,3,0)*0.475*44/12</f>
        <v>3.023472816460945</v>
      </c>
      <c r="EY74" s="24">
        <f t="shared" si="75"/>
        <v>81.192166194114719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1.1368683772161603E-13</v>
      </c>
      <c r="FF74" s="18">
        <f>FE74*VLOOKUP('Données projet'!$B$16,Paramètres!$A$1:$I$89,3,0)*VLOOKUP('Données projet'!$B$16,Paramètres!$A$1:$I$89,5,0)</f>
        <v>6.7984728957526396E-14</v>
      </c>
      <c r="FG74" s="14">
        <f t="shared" si="101"/>
        <v>1.0682447123141398E-12</v>
      </c>
      <c r="FH74" s="22">
        <f t="shared" si="76"/>
        <v>1.978932943548152E-12</v>
      </c>
      <c r="FI74" s="62">
        <f t="shared" si="77"/>
        <v>293.3333333333353</v>
      </c>
      <c r="FJ74" s="62">
        <f ca="1">AVERAGE(OFFSET($FI$3,0,0,'Données projet'!$E$16+1,1))-AVERAGE(OFFSET($H$3,0,0,'Données projet'!$E$16+1,1))</f>
        <v>330.48891719033065</v>
      </c>
      <c r="FK74" s="62">
        <f t="shared" si="102"/>
        <v>419.35494198427284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170.95652564720231</v>
      </c>
      <c r="FR74" s="23">
        <f>EXP(-LN(2)/25)*FR73+(1-EXP(-LN(2)/25))/(LN(2)/25)*Calculateur!FM74*Calculateur!FO74*VLOOKUP('Données projet'!$B$16,Paramètres!$A$1:$I$89,3,0)*0.475*44/12</f>
        <v>26.484546174811232</v>
      </c>
      <c r="FS74" s="23">
        <f>EXP(-LN(2)/2)*FS73+(1-EXP(-LN(2)/2))/(LN(2)/2)*FM74*FP74*VLOOKUP('Données projet'!$B$16,Paramètres!$A$1:$I$89,3,0)*0.475*44/12</f>
        <v>0.19190509392304006</v>
      </c>
      <c r="FT74" s="24">
        <f t="shared" si="78"/>
        <v>197.63297691593658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>
        <f>FZ74*VLOOKUP('Données projet'!$B$17,Paramètres!$A$1:$I$89,3,0)*VLOOKUP('Données projet'!$B$17,Paramètres!$A$1:$I$89,5,0)</f>
        <v>0</v>
      </c>
      <c r="GB74" s="14" t="e">
        <f t="shared" si="103"/>
        <v>#NUM!</v>
      </c>
      <c r="GC74" s="22" t="e">
        <f t="shared" si="79"/>
        <v>#NUM!</v>
      </c>
      <c r="GD74" s="62" t="e">
        <f t="shared" si="80"/>
        <v>#NUM!</v>
      </c>
      <c r="GE74" s="62">
        <f ca="1">AVERAGE(OFFSET($GD$3,0,0,'Données projet'!$E$17+1,1))-AVERAGE(OFFSET($H$3,0,0,'Données projet'!$E$17+1,1))</f>
        <v>132.18258156780018</v>
      </c>
      <c r="GF74" s="62">
        <f t="shared" si="104"/>
        <v>315.58133946947294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19.257831554413023</v>
      </c>
      <c r="GM74" s="23">
        <f>EXP(-LN(2)/25)*GM73+(1-EXP(-LN(2)/25))/(LN(2)/25)*Calculateur!GH74*Calculateur!GJ74*VLOOKUP('Données projet'!$B$17,Paramètres!$A$1:$I$89,3,0)*0.475*44/12</f>
        <v>5.9533263880779739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25.211157942490999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9">
        <f t="shared" si="56"/>
        <v>399.83825982126905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8.8662500000000044</v>
      </c>
      <c r="N75" s="14">
        <f>IF('Données projet'!$A$36&gt;35,N74+M75-V74,IF(A75&lt;'Données projet'!$A$36,$K$205^A75,IF(A75='Données projet'!$A$36,'Données projet'!$B$36,N74+M75-V74)))</f>
        <v>268.24750000000012</v>
      </c>
      <c r="O75" s="14">
        <f>N75*VLOOKUP('Données projet'!$B$9,Paramètres!$A$1:$I$89,3,0)*VLOOKUP('Données projet'!$B$9,Paramètres!$A$1:$I$89,5,0)</f>
        <v>242.71033800000009</v>
      </c>
      <c r="P75" s="14">
        <f t="shared" si="87"/>
        <v>59.022291232778812</v>
      </c>
      <c r="Q75" s="22">
        <f t="shared" si="54"/>
        <v>525.51766258042323</v>
      </c>
      <c r="R75" s="62">
        <f t="shared" si="55"/>
        <v>818.85099591375661</v>
      </c>
      <c r="S75" s="62">
        <f ca="1">AVERAGE(OFFSET($R$3,0,0,'Données projet'!$E$9+1,1))-AVERAGE(OFFSET($H$3,0,0,'Données projet'!$E$9+1,1))</f>
        <v>401.86262166363821</v>
      </c>
      <c r="T75" s="62">
        <f t="shared" si="88"/>
        <v>208.60314230781432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12.678924161523286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12.678924161523286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8.8662500000000044</v>
      </c>
      <c r="AI75" s="14">
        <f>IF('Données projet'!$A$62&gt;35,AI74+AH75-AQ74,IF(A75&lt;'Données projet'!$A$62,$AF$205^A75,IF(A75='Données projet'!$A$62,'Données projet'!$B$62,AI74+AH75-AQ74)))</f>
        <v>268.24750000000012</v>
      </c>
      <c r="AJ75" s="14">
        <f>AI75*VLOOKUP('Données projet'!$B$10,Paramètres!$A$1:$I$89,3,0)*VLOOKUP('Données projet'!$B$10,Paramètres!$A$1:$I$89,5,0)</f>
        <v>288.7416090000001</v>
      </c>
      <c r="AK75" s="14">
        <f t="shared" si="89"/>
        <v>68.811043868300743</v>
      </c>
      <c r="AL75" s="22">
        <f t="shared" si="58"/>
        <v>622.73753707895719</v>
      </c>
      <c r="AM75" s="62">
        <f t="shared" si="59"/>
        <v>916.07087041229056</v>
      </c>
      <c r="AN75" s="62">
        <f ca="1">AVERAGE(OFFSET($AM$3,0,0,'Données projet'!$E$10+1,1))-AVERAGE(OFFSET($H$3,0,0,'Données projet'!$E$10+1,1))</f>
        <v>407.22515465568205</v>
      </c>
      <c r="AO75" s="62">
        <f t="shared" si="90"/>
        <v>251.6218558398258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15.083547709398392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15.083547709398392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8.8662500000000044</v>
      </c>
      <c r="BD75" s="13">
        <f>IF('Données projet'!$A$88&gt;35,BD74+BC75-BL74,IF(A75&lt;'Données projet'!$A$88,$BA$205^A75,IF(A75='Données projet'!$A$88,'Données projet'!$B$88,BD74+BC75-BL74)))</f>
        <v>268.24750000000012</v>
      </c>
      <c r="BE75" s="14">
        <f>BD75*VLOOKUP('Données projet'!$B$11,Paramètres!$A$1:$I$89,3,0)*VLOOKUP('Données projet'!$B$11,Paramètres!$A$1:$I$89,5,0)</f>
        <v>259.44898200000011</v>
      </c>
      <c r="BF75" s="14">
        <f t="shared" si="91"/>
        <v>62.604908687011665</v>
      </c>
      <c r="BG75" s="22">
        <f t="shared" si="61"/>
        <v>560.91052627987881</v>
      </c>
      <c r="BH75" s="62">
        <f t="shared" si="62"/>
        <v>854.24385961321218</v>
      </c>
      <c r="BI75" s="62">
        <f ca="1">AVERAGE(OFFSET($BH$3,0,0,'Données projet'!$E$11+1,1))-AVERAGE(OFFSET($H$3,0,0,'Données projet'!$E$11+1,1))</f>
        <v>357.76044008074308</v>
      </c>
      <c r="BJ75" s="62">
        <f t="shared" si="92"/>
        <v>224.26555772810445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13.553332724386959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13.553332724386959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8.8662500000000044</v>
      </c>
      <c r="BY75" s="13">
        <f>IF('Données projet'!$A$114&gt;35,BY74+BX75-CG74,IF(A75&lt;'Données projet'!$A$114,$BV$205^A75,IF(A75='Données projet'!$A$114,'Données projet'!$B$114,BY74+BX75-CG74)))</f>
        <v>268.24750000000012</v>
      </c>
      <c r="BZ75" s="14">
        <f>BY75*VLOOKUP('Données projet'!$B$12,Paramètres!$A$1:$I$89,3,0)*VLOOKUP('Données projet'!$B$12,Paramètres!$A$1:$I$89,5,0)</f>
        <v>179.9404230000001</v>
      </c>
      <c r="CA75" s="14">
        <f t="shared" si="93"/>
        <v>45.308931126343715</v>
      </c>
      <c r="CB75" s="22">
        <f t="shared" si="64"/>
        <v>392.30929177004873</v>
      </c>
      <c r="CC75" s="62">
        <f t="shared" si="65"/>
        <v>685.64262510338199</v>
      </c>
      <c r="CD75" s="62">
        <f ca="1">AVERAGE(OFFSET($CC$3,0,0,'Données projet'!$E$12+1,1))-AVERAGE(OFFSET($H$3,0,0,'Données projet'!$E$12+1,1))</f>
        <v>222.86701323374945</v>
      </c>
      <c r="CE75" s="62">
        <f t="shared" si="94"/>
        <v>149.63671045240511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11.58591345794369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11.58591345794369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4.5999999999999996</v>
      </c>
      <c r="CT75" s="13">
        <f>IF('Données projet'!$A$140&gt;35,CT74+CS75-DB74,IF(A75&lt;'Données projet'!$A$140,$CQ$205^A75,IF(A75='Données projet'!$A$140,'Données projet'!$B$140,CT74+CS75-DB74)))</f>
        <v>227.20000000000013</v>
      </c>
      <c r="CU75" s="18">
        <f>CT75*VLOOKUP('Données projet'!$B$13,Paramètres!$A$1:$I$89,3,0)*VLOOKUP('Données projet'!$B$13,Paramètres!$A$1:$I$89,5,0)</f>
        <v>148.86144000000007</v>
      </c>
      <c r="CV75" s="14">
        <f t="shared" si="95"/>
        <v>38.319729148991954</v>
      </c>
      <c r="CW75" s="22">
        <f t="shared" si="67"/>
        <v>326.00720293449439</v>
      </c>
      <c r="CX75" s="62">
        <f t="shared" si="68"/>
        <v>619.3405362678277</v>
      </c>
      <c r="CY75" s="62">
        <f ca="1">AVERAGE(OFFSET($CX$3,0,0,'Données projet'!$E$13+1,1))-AVERAGE(OFFSET($H$3,0,0,'Données projet'!$E$13+1,1))</f>
        <v>173.15672762188746</v>
      </c>
      <c r="CZ75" s="62">
        <f t="shared" si="96"/>
        <v>208.54841796921414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16.785367579338033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16.785367579338033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9.782</v>
      </c>
      <c r="EJ75" s="13">
        <f>IF('Données projet'!$A$192&gt;35,EJ74+EI75-ER74,IF(A75&lt;'Données projet'!$A$192,$EG$205^A75,IF(A75='Données projet'!$A$192,'Données projet'!$B$192,EJ74+EI75-ER74)))</f>
        <v>441.74400000000009</v>
      </c>
      <c r="EK75" s="18">
        <f>EJ75*VLOOKUP('Données projet'!$B$15,Paramètres!$A$1:$I$89,3,0)*VLOOKUP('Données projet'!$B$15,Paramètres!$A$1:$I$89,5,0)</f>
        <v>264.16291200000006</v>
      </c>
      <c r="EL75" s="14">
        <f t="shared" si="99"/>
        <v>63.608920560680907</v>
      </c>
      <c r="EM75" s="22">
        <f t="shared" si="73"/>
        <v>570.86927504318601</v>
      </c>
      <c r="EN75" s="62">
        <f t="shared" si="74"/>
        <v>864.20260837651927</v>
      </c>
      <c r="EO75" s="62">
        <f ca="1">AVERAGE(OFFSET($EN$3,0,0,'Données projet'!$E$15+1,1))-AVERAGE(OFFSET($H$3,0,0,'Données projet'!$E$15+1,1))</f>
        <v>269.18638759204373</v>
      </c>
      <c r="EP75" s="62">
        <f t="shared" si="100"/>
        <v>197.07126167823969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62.526508283006017</v>
      </c>
      <c r="EW75" s="23">
        <f>EXP(-LN(2)/25)*EW74+(1-EXP(-LN(2)/25))/(LN(2)/25)*Calculateur!ER75*Calculateur!ET75*VLOOKUP('Données projet'!$B$15,Paramètres!$A$1:$I$89,3,0)*0.475*44/12</f>
        <v>13.998016488415622</v>
      </c>
      <c r="EX75" s="23">
        <f>EXP(-LN(2)/2)*EX74+(1-EXP(-LN(2)/2))/(LN(2)/2)*ER75*EU75*VLOOKUP('Données projet'!$B$15,Paramètres!$A$1:$I$89,3,0)*0.475*44/12</f>
        <v>2.1379181312527242</v>
      </c>
      <c r="EY75" s="24">
        <f t="shared" si="75"/>
        <v>78.662442902674357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1.1368683772161603E-13</v>
      </c>
      <c r="FF75" s="18">
        <f>FE75*VLOOKUP('Données projet'!$B$16,Paramètres!$A$1:$I$89,3,0)*VLOOKUP('Données projet'!$B$16,Paramètres!$A$1:$I$89,5,0)</f>
        <v>6.7984728957526396E-14</v>
      </c>
      <c r="FG75" s="14">
        <f t="shared" si="101"/>
        <v>1.0682447123141398E-12</v>
      </c>
      <c r="FH75" s="22">
        <f t="shared" si="76"/>
        <v>1.978932943548152E-12</v>
      </c>
      <c r="FI75" s="62">
        <f t="shared" si="77"/>
        <v>293.3333333333353</v>
      </c>
      <c r="FJ75" s="62">
        <f ca="1">AVERAGE(OFFSET($FI$3,0,0,'Données projet'!$E$16+1,1))-AVERAGE(OFFSET($H$3,0,0,'Données projet'!$E$16+1,1))</f>
        <v>330.48891719033065</v>
      </c>
      <c r="FK75" s="62">
        <f t="shared" si="102"/>
        <v>419.35494198427284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167.6041724524452</v>
      </c>
      <c r="FR75" s="23">
        <f>EXP(-LN(2)/25)*FR74+(1-EXP(-LN(2)/25))/(LN(2)/25)*Calculateur!FM75*Calculateur!FO75*VLOOKUP('Données projet'!$B$16,Paramètres!$A$1:$I$89,3,0)*0.475*44/12</f>
        <v>25.760324866899268</v>
      </c>
      <c r="FS75" s="23">
        <f>EXP(-LN(2)/2)*FS74+(1-EXP(-LN(2)/2))/(LN(2)/2)*FM75*FP75*VLOOKUP('Données projet'!$B$16,Paramètres!$A$1:$I$89,3,0)*0.475*44/12</f>
        <v>0.13569739325722294</v>
      </c>
      <c r="FT75" s="24">
        <f t="shared" si="78"/>
        <v>193.50019471260171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>
        <f>FZ75*VLOOKUP('Données projet'!$B$17,Paramètres!$A$1:$I$89,3,0)*VLOOKUP('Données projet'!$B$17,Paramètres!$A$1:$I$89,5,0)</f>
        <v>0</v>
      </c>
      <c r="GB75" s="14" t="e">
        <f t="shared" si="103"/>
        <v>#NUM!</v>
      </c>
      <c r="GC75" s="22" t="e">
        <f t="shared" si="79"/>
        <v>#NUM!</v>
      </c>
      <c r="GD75" s="62" t="e">
        <f t="shared" si="80"/>
        <v>#NUM!</v>
      </c>
      <c r="GE75" s="62">
        <f ca="1">AVERAGE(OFFSET($GD$3,0,0,'Données projet'!$E$17+1,1))-AVERAGE(OFFSET($H$3,0,0,'Données projet'!$E$17+1,1))</f>
        <v>132.18258156780018</v>
      </c>
      <c r="GF75" s="62">
        <f t="shared" si="104"/>
        <v>315.58133946947294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18.8801972237484</v>
      </c>
      <c r="GM75" s="23">
        <f>EXP(-LN(2)/25)*GM74+(1-EXP(-LN(2)/25))/(LN(2)/25)*Calculateur!GH75*Calculateur!GJ75*VLOOKUP('Données projet'!$B$17,Paramètres!$A$1:$I$89,3,0)*0.475*44/12</f>
        <v>5.7905323649241538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24.670729588672554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9">
        <f t="shared" si="56"/>
        <v>401.77524842879154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8.8662500000000044</v>
      </c>
      <c r="N76" s="14">
        <f>IF('Données projet'!$A$36&gt;35,N75+M76-V75,IF(A76&lt;'Données projet'!$A$36,$K$205^A76,IF(A76='Données projet'!$A$36,'Données projet'!$B$36,N75+M76-V75)))</f>
        <v>277.1137500000001</v>
      </c>
      <c r="O76" s="14">
        <f>N76*VLOOKUP('Données projet'!$B$9,Paramètres!$A$1:$I$89,3,0)*VLOOKUP('Données projet'!$B$9,Paramètres!$A$1:$I$89,5,0)</f>
        <v>250.73252100000005</v>
      </c>
      <c r="P76" s="14">
        <f t="shared" si="87"/>
        <v>60.74277247950485</v>
      </c>
      <c r="Q76" s="22">
        <f t="shared" si="54"/>
        <v>542.48613614347107</v>
      </c>
      <c r="R76" s="62">
        <f t="shared" si="55"/>
        <v>835.81946947680444</v>
      </c>
      <c r="S76" s="62">
        <f ca="1">AVERAGE(OFFSET($R$3,0,0,'Données projet'!$E$9+1,1))-AVERAGE(OFFSET($H$3,0,0,'Données projet'!$E$9+1,1))</f>
        <v>401.86262166363821</v>
      </c>
      <c r="T76" s="62">
        <f t="shared" si="88"/>
        <v>208.60314230781432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12.430298192095945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12.430298192095945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8.8662500000000044</v>
      </c>
      <c r="AI76" s="14">
        <f>IF('Données projet'!$A$62&gt;35,AI75+AH76-AQ75,IF(A76&lt;'Données projet'!$A$62,$AF$205^A76,IF(A76='Données projet'!$A$62,'Données projet'!$B$62,AI75+AH76-AQ75)))</f>
        <v>277.1137500000001</v>
      </c>
      <c r="AJ76" s="14">
        <f>AI76*VLOOKUP('Données projet'!$B$10,Paramètres!$A$1:$I$89,3,0)*VLOOKUP('Données projet'!$B$10,Paramètres!$A$1:$I$89,5,0)</f>
        <v>298.2852405000001</v>
      </c>
      <c r="AK76" s="14">
        <f t="shared" si="89"/>
        <v>70.816864179073477</v>
      </c>
      <c r="AL76" s="22">
        <f t="shared" si="58"/>
        <v>642.8528323160532</v>
      </c>
      <c r="AM76" s="62">
        <f t="shared" si="59"/>
        <v>936.18616564938657</v>
      </c>
      <c r="AN76" s="62">
        <f ca="1">AVERAGE(OFFSET($AM$3,0,0,'Données projet'!$E$10+1,1))-AVERAGE(OFFSET($H$3,0,0,'Données projet'!$E$10+1,1))</f>
        <v>407.22515465568205</v>
      </c>
      <c r="AO76" s="62">
        <f t="shared" si="90"/>
        <v>251.6218558398258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14.787768538872761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14.787768538872761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8.8662500000000044</v>
      </c>
      <c r="BD76" s="13">
        <f>IF('Données projet'!$A$88&gt;35,BD75+BC76-BL75,IF(A76&lt;'Données projet'!$A$88,$BA$205^A76,IF(A76='Données projet'!$A$88,'Données projet'!$B$88,BD75+BC76-BL75)))</f>
        <v>277.1137500000001</v>
      </c>
      <c r="BE76" s="14">
        <f>BD76*VLOOKUP('Données projet'!$B$11,Paramètres!$A$1:$I$89,3,0)*VLOOKUP('Données projet'!$B$11,Paramètres!$A$1:$I$89,5,0)</f>
        <v>268.02441900000014</v>
      </c>
      <c r="BF76" s="14">
        <f t="shared" si="91"/>
        <v>64.429822106997378</v>
      </c>
      <c r="BG76" s="22">
        <f t="shared" si="61"/>
        <v>579.02446992802072</v>
      </c>
      <c r="BH76" s="62">
        <f t="shared" si="62"/>
        <v>872.35780326135409</v>
      </c>
      <c r="BI76" s="62">
        <f ca="1">AVERAGE(OFFSET($BH$3,0,0,'Données projet'!$E$11+1,1))-AVERAGE(OFFSET($H$3,0,0,'Données projet'!$E$11+1,1))</f>
        <v>357.76044008074308</v>
      </c>
      <c r="BJ76" s="62">
        <f t="shared" si="92"/>
        <v>224.26555772810445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13.287560136378422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13.287560136378422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8.8662500000000044</v>
      </c>
      <c r="BY76" s="13">
        <f>IF('Données projet'!$A$114&gt;35,BY75+BX76-CG75,IF(A76&lt;'Données projet'!$A$114,$BV$205^A76,IF(A76='Données projet'!$A$114,'Données projet'!$B$114,BY75+BX76-CG75)))</f>
        <v>277.1137500000001</v>
      </c>
      <c r="BZ76" s="14">
        <f>BY76*VLOOKUP('Données projet'!$B$12,Paramètres!$A$1:$I$89,3,0)*VLOOKUP('Données projet'!$B$12,Paramètres!$A$1:$I$89,5,0)</f>
        <v>185.88790350000008</v>
      </c>
      <c r="CA76" s="14">
        <f t="shared" si="93"/>
        <v>46.62967223421829</v>
      </c>
      <c r="CB76" s="22">
        <f t="shared" si="64"/>
        <v>404.96811107043033</v>
      </c>
      <c r="CC76" s="62">
        <f t="shared" si="65"/>
        <v>698.30144440376364</v>
      </c>
      <c r="CD76" s="62">
        <f ca="1">AVERAGE(OFFSET($CC$3,0,0,'Données projet'!$E$12+1,1))-AVERAGE(OFFSET($H$3,0,0,'Données projet'!$E$12+1,1))</f>
        <v>222.86701323374945</v>
      </c>
      <c r="CE76" s="62">
        <f t="shared" si="94"/>
        <v>149.63671045240511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11.358720761742843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11.358720761742843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4.5999999999999996</v>
      </c>
      <c r="CT76" s="13">
        <f>IF('Données projet'!$A$140&gt;35,CT75+CS76-DB75,IF(A76&lt;'Données projet'!$A$140,$CQ$205^A76,IF(A76='Données projet'!$A$140,'Données projet'!$B$140,CT75+CS76-DB75)))</f>
        <v>231.80000000000013</v>
      </c>
      <c r="CU76" s="18">
        <f>CT76*VLOOKUP('Données projet'!$B$13,Paramètres!$A$1:$I$89,3,0)*VLOOKUP('Données projet'!$B$13,Paramètres!$A$1:$I$89,5,0)</f>
        <v>151.87536000000009</v>
      </c>
      <c r="CV76" s="14">
        <f t="shared" si="95"/>
        <v>39.004459236504758</v>
      </c>
      <c r="CW76" s="22">
        <f t="shared" si="67"/>
        <v>332.44901850357923</v>
      </c>
      <c r="CX76" s="62">
        <f t="shared" si="68"/>
        <v>625.78235183691254</v>
      </c>
      <c r="CY76" s="62">
        <f ca="1">AVERAGE(OFFSET($CX$3,0,0,'Données projet'!$E$13+1,1))-AVERAGE(OFFSET($H$3,0,0,'Données projet'!$E$13+1,1))</f>
        <v>173.15672762188746</v>
      </c>
      <c r="CZ76" s="62">
        <f t="shared" si="96"/>
        <v>208.54841796921414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16.456216759170513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16.456216759170513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9.782</v>
      </c>
      <c r="EJ76" s="13">
        <f>IF('Données projet'!$A$192&gt;35,EJ75+EI76-ER75,IF(A76&lt;'Données projet'!$A$192,$EG$205^A76,IF(A76='Données projet'!$A$192,'Données projet'!$B$192,EJ75+EI76-ER75)))</f>
        <v>451.52600000000007</v>
      </c>
      <c r="EK76" s="18">
        <f>EJ76*VLOOKUP('Données projet'!$B$15,Paramètres!$A$1:$I$89,3,0)*VLOOKUP('Données projet'!$B$15,Paramètres!$A$1:$I$89,5,0)</f>
        <v>270.01254800000004</v>
      </c>
      <c r="EL76" s="14">
        <f t="shared" si="99"/>
        <v>64.851932282926271</v>
      </c>
      <c r="EM76" s="22">
        <f t="shared" si="73"/>
        <v>583.22230315943</v>
      </c>
      <c r="EN76" s="62">
        <f t="shared" si="74"/>
        <v>876.55563649276337</v>
      </c>
      <c r="EO76" s="62">
        <f ca="1">AVERAGE(OFFSET($EN$3,0,0,'Données projet'!$E$15+1,1))-AVERAGE(OFFSET($H$3,0,0,'Données projet'!$E$15+1,1))</f>
        <v>269.18638759204373</v>
      </c>
      <c r="EP76" s="62">
        <f t="shared" si="100"/>
        <v>197.07126167823969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61.300401592980563</v>
      </c>
      <c r="EW76" s="23">
        <f>EXP(-LN(2)/25)*EW75+(1-EXP(-LN(2)/25))/(LN(2)/25)*Calculateur!ER76*Calculateur!ET76*VLOOKUP('Données projet'!$B$15,Paramètres!$A$1:$I$89,3,0)*0.475*44/12</f>
        <v>13.615239991416203</v>
      </c>
      <c r="EX76" s="23">
        <f>EXP(-LN(2)/2)*EX75+(1-EXP(-LN(2)/2))/(LN(2)/2)*ER76*EU76*VLOOKUP('Données projet'!$B$15,Paramètres!$A$1:$I$89,3,0)*0.475*44/12</f>
        <v>1.5117364082304727</v>
      </c>
      <c r="EY76" s="24">
        <f t="shared" si="75"/>
        <v>76.427377992627243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1.1368683772161603E-13</v>
      </c>
      <c r="FF76" s="18">
        <f>FE76*VLOOKUP('Données projet'!$B$16,Paramètres!$A$1:$I$89,3,0)*VLOOKUP('Données projet'!$B$16,Paramètres!$A$1:$I$89,5,0)</f>
        <v>6.7984728957526396E-14</v>
      </c>
      <c r="FG76" s="14">
        <f t="shared" si="101"/>
        <v>1.0682447123141398E-12</v>
      </c>
      <c r="FH76" s="22">
        <f t="shared" si="76"/>
        <v>1.978932943548152E-12</v>
      </c>
      <c r="FI76" s="62">
        <f t="shared" si="77"/>
        <v>293.3333333333353</v>
      </c>
      <c r="FJ76" s="62">
        <f ca="1">AVERAGE(OFFSET($FI$3,0,0,'Données projet'!$E$16+1,1))-AVERAGE(OFFSET($H$3,0,0,'Données projet'!$E$16+1,1))</f>
        <v>330.48891719033065</v>
      </c>
      <c r="FK76" s="62">
        <f t="shared" si="102"/>
        <v>419.35494198427284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164.31755685910372</v>
      </c>
      <c r="FR76" s="23">
        <f>EXP(-LN(2)/25)*FR75+(1-EXP(-LN(2)/25))/(LN(2)/25)*Calculateur!FM76*Calculateur!FO76*VLOOKUP('Données projet'!$B$16,Paramètres!$A$1:$I$89,3,0)*0.475*44/12</f>
        <v>25.055907428737299</v>
      </c>
      <c r="FS76" s="23">
        <f>EXP(-LN(2)/2)*FS75+(1-EXP(-LN(2)/2))/(LN(2)/2)*FM76*FP76*VLOOKUP('Données projet'!$B$16,Paramètres!$A$1:$I$89,3,0)*0.475*44/12</f>
        <v>9.595254696152003E-2</v>
      </c>
      <c r="FT76" s="24">
        <f t="shared" si="78"/>
        <v>189.46941683480253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>
        <f>FZ76*VLOOKUP('Données projet'!$B$17,Paramètres!$A$1:$I$89,3,0)*VLOOKUP('Données projet'!$B$17,Paramètres!$A$1:$I$89,5,0)</f>
        <v>0</v>
      </c>
      <c r="GB76" s="14" t="e">
        <f t="shared" si="103"/>
        <v>#NUM!</v>
      </c>
      <c r="GC76" s="22" t="e">
        <f t="shared" si="79"/>
        <v>#NUM!</v>
      </c>
      <c r="GD76" s="62" t="e">
        <f t="shared" si="80"/>
        <v>#NUM!</v>
      </c>
      <c r="GE76" s="62">
        <f ca="1">AVERAGE(OFFSET($GD$3,0,0,'Données projet'!$E$17+1,1))-AVERAGE(OFFSET($H$3,0,0,'Données projet'!$E$17+1,1))</f>
        <v>132.18258156780018</v>
      </c>
      <c r="GF76" s="62">
        <f t="shared" si="104"/>
        <v>315.58133946947294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18.509968071973912</v>
      </c>
      <c r="GM76" s="23">
        <f>EXP(-LN(2)/25)*GM75+(1-EXP(-LN(2)/25))/(LN(2)/25)*Calculateur!GH76*Calculateur!GJ76*VLOOKUP('Données projet'!$B$17,Paramètres!$A$1:$I$89,3,0)*0.475*44/12</f>
        <v>5.6321899528944401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24.142158024868351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9">
        <f t="shared" si="56"/>
        <v>403.71161835910709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285.98</v>
      </c>
      <c r="L77" s="13">
        <f>VLOOKUP(A77,'Données projet'!$A$35:$I$55,9,0)</f>
        <v>8.8662500000000044</v>
      </c>
      <c r="M77" s="13">
        <f t="array" ref="M77">INDEX(L:L,MIN(IF(ISNUMBER(L77:L273),ROW(L77:L273),"")))</f>
        <v>8.8662500000000044</v>
      </c>
      <c r="N77" s="14">
        <f>IF('Données projet'!$A$36&gt;35,N76+M77-V76,IF(A77&lt;'Données projet'!$A$36,$K$205^A77,IF(A77='Données projet'!$A$36,'Données projet'!$B$36,N76+M77-V76)))</f>
        <v>285.98000000000008</v>
      </c>
      <c r="O77" s="14">
        <f>N77*VLOOKUP('Données projet'!$B$9,Paramètres!$A$1:$I$89,3,0)*VLOOKUP('Données projet'!$B$9,Paramètres!$A$1:$I$89,5,0)</f>
        <v>258.75470400000006</v>
      </c>
      <c r="P77" s="14">
        <f t="shared" si="87"/>
        <v>62.456857045748947</v>
      </c>
      <c r="Q77" s="22">
        <f t="shared" si="54"/>
        <v>559.4434688213463</v>
      </c>
      <c r="R77" s="62">
        <f t="shared" si="55"/>
        <v>852.77680215467967</v>
      </c>
      <c r="S77" s="62">
        <f ca="1">AVERAGE(OFFSET($R$3,0,0,'Données projet'!$E$9+1,1))-AVERAGE(OFFSET($H$3,0,0,'Données projet'!$E$9+1,1))</f>
        <v>401.86262166363821</v>
      </c>
      <c r="T77" s="62">
        <f t="shared" si="88"/>
        <v>208.60314230781432</v>
      </c>
      <c r="U77" s="16">
        <f>IF(ISNA(VLOOKUP(A77,'Données projet'!$A$35:$I$55,3,0)),0,VLOOKUP(A77,'Données projet'!$A$35:$I$55,3,0))</f>
        <v>5</v>
      </c>
      <c r="V77" s="16">
        <f>IF(ISNA(VLOOKUP(A77,'Données projet'!$A$35:$I$55,4,0)),0,VLOOKUP(A77,'Données projet'!$A$35:$I$55,4,0))</f>
        <v>47.4</v>
      </c>
      <c r="W77" s="17">
        <f>IF(ISNA(VLOOKUP(A77,'Données projet'!$A$35:$I$55,5,0)),0%,VLOOKUP(A77,'Données projet'!$A$35:$I$55,5,0)*VLOOKUP('Données projet'!$B$9,Paramètres!$A$1:$I$89,7,0))</f>
        <v>0.17200000000000001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20.341219504282051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20.341219504282051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>
        <f>VLOOKUP(A77,'Données projet'!$A$61:$I$81,2,0)</f>
        <v>285.98</v>
      </c>
      <c r="AG77" s="13">
        <f>VLOOKUP(A77,'Données projet'!$A$61:$I$81,9,0)</f>
        <v>8.8662500000000044</v>
      </c>
      <c r="AH77" s="13">
        <f t="array" ref="AH77">INDEX(AG:AG,MIN(IF(ISNUMBER(AG77:AG273),ROW(AG77:AG273),"")))</f>
        <v>8.8662500000000044</v>
      </c>
      <c r="AI77" s="14">
        <f>IF('Données projet'!$A$62&gt;35,AI76+AH77-AQ76,IF(A77&lt;'Données projet'!$A$62,$AF$205^A77,IF(A77='Données projet'!$A$62,'Données projet'!$B$62,AI76+AH77-AQ76)))</f>
        <v>285.98000000000008</v>
      </c>
      <c r="AJ77" s="14">
        <f>AI77*VLOOKUP('Données projet'!$B$10,Paramètres!$A$1:$I$89,3,0)*VLOOKUP('Données projet'!$B$10,Paramètres!$A$1:$I$89,5,0)</f>
        <v>307.82887200000005</v>
      </c>
      <c r="AK77" s="14">
        <f t="shared" si="89"/>
        <v>72.81522693013352</v>
      </c>
      <c r="AL77" s="22">
        <f t="shared" si="58"/>
        <v>662.95513896998261</v>
      </c>
      <c r="AM77" s="62">
        <f t="shared" si="59"/>
        <v>956.28847230331598</v>
      </c>
      <c r="AN77" s="62">
        <f ca="1">AVERAGE(OFFSET($AM$3,0,0,'Données projet'!$E$10+1,1))-AVERAGE(OFFSET($H$3,0,0,'Données projet'!$E$10+1,1))</f>
        <v>407.22515465568205</v>
      </c>
      <c r="AO77" s="62">
        <f t="shared" si="90"/>
        <v>251.6218558398258</v>
      </c>
      <c r="AP77" s="16">
        <f>IF(ISNA(VLOOKUP(A77,'Données projet'!$A$61:$I$81,3,0)),0,VLOOKUP(A77,'Données projet'!$A$61:$I$81,3,0))</f>
        <v>5</v>
      </c>
      <c r="AQ77" s="16">
        <f>IF(ISNA(VLOOKUP(A77,'Données projet'!$A$61:$I$81,4,0)),0,VLOOKUP(A77,'Données projet'!$A$61:$I$81,4,0))</f>
        <v>47.4</v>
      </c>
      <c r="AR77" s="17">
        <f>IF(ISNA(VLOOKUP(A77,'Données projet'!$A$61:$I$81,5,0)),0%,VLOOKUP(A77,'Données projet'!$A$61:$I$81,5,0)*VLOOKUP('Données projet'!$B$10,Paramètres!$A$1:$I$89,7,0))</f>
        <v>0.17200000000000001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24.19903699647347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24.19903699647347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285.98</v>
      </c>
      <c r="BB77" s="13">
        <f>VLOOKUP(A77,'Données projet'!$A$87:$I$107,9,0)</f>
        <v>8.8662500000000044</v>
      </c>
      <c r="BC77" s="13">
        <f t="array" ref="BC77">INDEX(BB:BB,MIN(IF(ISNUMBER(BB77:BB273),ROW(BB77:BB273),"")))</f>
        <v>8.8662500000000044</v>
      </c>
      <c r="BD77" s="13">
        <f>IF('Données projet'!$A$88&gt;35,BD76+BC77-BL76,IF(A77&lt;'Données projet'!$A$88,$BA$205^A77,IF(A77='Données projet'!$A$88,'Données projet'!$B$88,BD76+BC77-BL76)))</f>
        <v>285.98000000000008</v>
      </c>
      <c r="BE77" s="14">
        <f>BD77*VLOOKUP('Données projet'!$B$11,Paramètres!$A$1:$I$89,3,0)*VLOOKUP('Données projet'!$B$11,Paramètres!$A$1:$I$89,5,0)</f>
        <v>276.59985600000005</v>
      </c>
      <c r="BF77" s="14">
        <f t="shared" si="91"/>
        <v>66.247950571856578</v>
      </c>
      <c r="BG77" s="22">
        <f t="shared" si="61"/>
        <v>597.12659644598352</v>
      </c>
      <c r="BH77" s="62">
        <f t="shared" si="62"/>
        <v>890.45992977931678</v>
      </c>
      <c r="BI77" s="62">
        <f ca="1">AVERAGE(OFFSET($BH$3,0,0,'Données projet'!$E$11+1,1))-AVERAGE(OFFSET($H$3,0,0,'Données projet'!$E$11+1,1))</f>
        <v>357.76044008074308</v>
      </c>
      <c r="BJ77" s="62">
        <f t="shared" si="92"/>
        <v>224.26555772810445</v>
      </c>
      <c r="BK77" s="16">
        <f>IF(ISNA(VLOOKUP(A77,'Données projet'!$A$87:$I$107,3,0)),0,VLOOKUP(A77,'Données projet'!$A$87:$I$107,3,0))</f>
        <v>5</v>
      </c>
      <c r="BL77" s="16">
        <f>IF(ISNA(VLOOKUP(A77,'Données projet'!$A$87:$I$107,4,0)),0,VLOOKUP(A77,'Données projet'!$A$87:$I$107,4,0))</f>
        <v>47.4</v>
      </c>
      <c r="BM77" s="17">
        <f>IF(ISNA(VLOOKUP(A77,'Données projet'!$A$87:$I$107,5,0)),0%,VLOOKUP(A77,'Données projet'!$A$87:$I$107,5,0)*VLOOKUP('Données projet'!$B$11,Paramètres!$A$1:$I$89,7,0))</f>
        <v>0.17200000000000001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21.744062228715293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21.744062228715293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>
        <f>VLOOKUP(A77,'Données projet'!$A$113:$I$133,2,0)</f>
        <v>285.98</v>
      </c>
      <c r="BW77" s="13">
        <f>VLOOKUP(A77,'Données projet'!$A$113:$I$133,9,0)</f>
        <v>8.8662500000000044</v>
      </c>
      <c r="BX77" s="13">
        <f t="array" ref="BX77">INDEX(BW:BW,MIN(IF(ISNUMBER(BW77:BW273),ROW(BW77:BW273),"")))</f>
        <v>8.8662500000000044</v>
      </c>
      <c r="BY77" s="13">
        <f>IF('Données projet'!$A$114&gt;35,BY76+BX77-CG76,IF(A77&lt;'Données projet'!$A$114,$BV$205^A77,IF(A77='Données projet'!$A$114,'Données projet'!$B$114,BY76+BX77-CG76)))</f>
        <v>285.98000000000008</v>
      </c>
      <c r="BZ77" s="14">
        <f>BY77*VLOOKUP('Données projet'!$B$12,Paramètres!$A$1:$I$89,3,0)*VLOOKUP('Données projet'!$B$12,Paramètres!$A$1:$I$89,5,0)</f>
        <v>191.83538400000006</v>
      </c>
      <c r="CA77" s="14">
        <f t="shared" si="93"/>
        <v>47.945502879463582</v>
      </c>
      <c r="CB77" s="22">
        <f t="shared" si="64"/>
        <v>417.61837798173246</v>
      </c>
      <c r="CC77" s="62">
        <f t="shared" si="65"/>
        <v>710.95171131506572</v>
      </c>
      <c r="CD77" s="62">
        <f ca="1">AVERAGE(OFFSET($CC$3,0,0,'Données projet'!$E$12+1,1))-AVERAGE(OFFSET($H$3,0,0,'Données projet'!$E$12+1,1))</f>
        <v>222.86701323374945</v>
      </c>
      <c r="CE77" s="62">
        <f t="shared" si="94"/>
        <v>149.63671045240511</v>
      </c>
      <c r="CF77" s="16">
        <f>IF(ISNA(VLOOKUP(A77,'Données projet'!$A$113:$I$133,3,0)),0,VLOOKUP(A77,'Données projet'!$A$113:$I$133,3,0))</f>
        <v>5</v>
      </c>
      <c r="CG77" s="16">
        <f>IF(ISNA(VLOOKUP(A77,'Données projet'!$A$113:$I$133,4,0)),0,VLOOKUP(A77,'Données projet'!$A$113:$I$133,4,0))</f>
        <v>47.4</v>
      </c>
      <c r="CH77" s="17">
        <f>IF(ISNA(VLOOKUP(A77,'Données projet'!$A$113:$I$133,5,0)),0%,VLOOKUP(A77,'Données projet'!$A$113:$I$133,5,0)*VLOOKUP('Données projet'!$B$12,Paramètres!$A$1:$I$89,7,0))</f>
        <v>0.21200000000000002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18.587666098740488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18.587666098740488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4.5999999999999996</v>
      </c>
      <c r="CT77" s="13">
        <f>IF('Données projet'!$A$140&gt;35,CT76+CS77-DB76,IF(A77&lt;'Données projet'!$A$140,$CQ$205^A77,IF(A77='Données projet'!$A$140,'Données projet'!$B$140,CT76+CS77-DB76)))</f>
        <v>236.40000000000012</v>
      </c>
      <c r="CU77" s="18">
        <f>CT77*VLOOKUP('Données projet'!$B$13,Paramètres!$A$1:$I$89,3,0)*VLOOKUP('Données projet'!$B$13,Paramètres!$A$1:$I$89,5,0)</f>
        <v>154.8892800000001</v>
      </c>
      <c r="CV77" s="14">
        <f t="shared" si="95"/>
        <v>39.687609366432291</v>
      </c>
      <c r="CW77" s="22">
        <f t="shared" si="67"/>
        <v>338.88808231320309</v>
      </c>
      <c r="CX77" s="62">
        <f t="shared" si="68"/>
        <v>632.22141564653634</v>
      </c>
      <c r="CY77" s="62">
        <f ca="1">AVERAGE(OFFSET($CX$3,0,0,'Données projet'!$E$13+1,1))-AVERAGE(OFFSET($H$3,0,0,'Données projet'!$E$13+1,1))</f>
        <v>173.15672762188746</v>
      </c>
      <c r="CZ77" s="62">
        <f t="shared" si="96"/>
        <v>208.54841796921414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16.133520385824301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16.133520385824301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9.782</v>
      </c>
      <c r="EJ77" s="13">
        <f>IF('Données projet'!$A$192&gt;35,EJ76+EI77-ER76,IF(A77&lt;'Données projet'!$A$192,$EG$205^A77,IF(A77='Données projet'!$A$192,'Données projet'!$B$192,EJ76+EI77-ER76)))</f>
        <v>461.30800000000005</v>
      </c>
      <c r="EK77" s="18">
        <f>EJ77*VLOOKUP('Données projet'!$B$15,Paramètres!$A$1:$I$89,3,0)*VLOOKUP('Données projet'!$B$15,Paramètres!$A$1:$I$89,5,0)</f>
        <v>275.86218400000007</v>
      </c>
      <c r="EL77" s="14">
        <f t="shared" si="99"/>
        <v>66.091813160377626</v>
      </c>
      <c r="EM77" s="22">
        <f t="shared" si="73"/>
        <v>595.5698783876577</v>
      </c>
      <c r="EN77" s="62">
        <f t="shared" si="74"/>
        <v>888.90321172099107</v>
      </c>
      <c r="EO77" s="62">
        <f ca="1">AVERAGE(OFFSET($EN$3,0,0,'Données projet'!$E$15+1,1))-AVERAGE(OFFSET($H$3,0,0,'Données projet'!$E$15+1,1))</f>
        <v>269.18638759204373</v>
      </c>
      <c r="EP77" s="62">
        <f t="shared" si="100"/>
        <v>197.07126167823969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60.098338107295277</v>
      </c>
      <c r="EW77" s="23">
        <f>EXP(-LN(2)/25)*EW76+(1-EXP(-LN(2)/25))/(LN(2)/25)*Calculateur!ER77*Calculateur!ET77*VLOOKUP('Données projet'!$B$15,Paramètres!$A$1:$I$89,3,0)*0.475*44/12</f>
        <v>13.242930537856575</v>
      </c>
      <c r="EX77" s="23">
        <f>EXP(-LN(2)/2)*EX76+(1-EXP(-LN(2)/2))/(LN(2)/2)*ER77*EU77*VLOOKUP('Données projet'!$B$15,Paramètres!$A$1:$I$89,3,0)*0.475*44/12</f>
        <v>1.0689590656263623</v>
      </c>
      <c r="EY77" s="24">
        <f t="shared" si="75"/>
        <v>74.410227710778216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1.1368683772161603E-13</v>
      </c>
      <c r="FF77" s="18">
        <f>FE77*VLOOKUP('Données projet'!$B$16,Paramètres!$A$1:$I$89,3,0)*VLOOKUP('Données projet'!$B$16,Paramètres!$A$1:$I$89,5,0)</f>
        <v>6.7984728957526396E-14</v>
      </c>
      <c r="FG77" s="14">
        <f t="shared" si="101"/>
        <v>1.0682447123141398E-12</v>
      </c>
      <c r="FH77" s="22">
        <f t="shared" si="76"/>
        <v>1.978932943548152E-12</v>
      </c>
      <c r="FI77" s="62">
        <f t="shared" si="77"/>
        <v>293.3333333333353</v>
      </c>
      <c r="FJ77" s="62">
        <f ca="1">AVERAGE(OFFSET($FI$3,0,0,'Données projet'!$E$16+1,1))-AVERAGE(OFFSET($H$3,0,0,'Données projet'!$E$16+1,1))</f>
        <v>330.48891719033065</v>
      </c>
      <c r="FK77" s="62">
        <f t="shared" si="102"/>
        <v>419.35494198427284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161.09538979291011</v>
      </c>
      <c r="FR77" s="23">
        <f>EXP(-LN(2)/25)*FR76+(1-EXP(-LN(2)/25))/(LN(2)/25)*Calculateur!FM77*Calculateur!FO77*VLOOKUP('Données projet'!$B$16,Paramètres!$A$1:$I$89,3,0)*0.475*44/12</f>
        <v>24.370752322465574</v>
      </c>
      <c r="FS77" s="23">
        <f>EXP(-LN(2)/2)*FS76+(1-EXP(-LN(2)/2))/(LN(2)/2)*FM77*FP77*VLOOKUP('Données projet'!$B$16,Paramètres!$A$1:$I$89,3,0)*0.475*44/12</f>
        <v>6.7848696628611468E-2</v>
      </c>
      <c r="FT77" s="24">
        <f t="shared" si="78"/>
        <v>185.53399081200428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>
        <f>FZ77*VLOOKUP('Données projet'!$B$17,Paramètres!$A$1:$I$89,3,0)*VLOOKUP('Données projet'!$B$17,Paramètres!$A$1:$I$89,5,0)</f>
        <v>0</v>
      </c>
      <c r="GB77" s="14" t="e">
        <f t="shared" si="103"/>
        <v>#NUM!</v>
      </c>
      <c r="GC77" s="22" t="e">
        <f t="shared" si="79"/>
        <v>#NUM!</v>
      </c>
      <c r="GD77" s="62" t="e">
        <f t="shared" si="80"/>
        <v>#NUM!</v>
      </c>
      <c r="GE77" s="62">
        <f ca="1">AVERAGE(OFFSET($GD$3,0,0,'Données projet'!$E$17+1,1))-AVERAGE(OFFSET($H$3,0,0,'Données projet'!$E$17+1,1))</f>
        <v>132.18258156780018</v>
      </c>
      <c r="GF77" s="62">
        <f t="shared" si="104"/>
        <v>315.58133946947294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18.146998888048238</v>
      </c>
      <c r="GM77" s="23">
        <f>EXP(-LN(2)/25)*GM76+(1-EXP(-LN(2)/25))/(LN(2)/25)*Calculateur!GH77*Calculateur!GJ77*VLOOKUP('Données projet'!$B$17,Paramètres!$A$1:$I$89,3,0)*0.475*44/12</f>
        <v>5.4781774224485442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23.625176310496784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9">
        <f t="shared" si="56"/>
        <v>405.64737893911513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8.6770000000000014</v>
      </c>
      <c r="N78" s="14">
        <f>IF('Données projet'!$A$36&gt;35,N77+M78-V77,IF(A78&lt;'Données projet'!$A$36,$K$205^A78,IF(A78='Données projet'!$A$36,'Données projet'!$B$36,N77+M78-V77)))</f>
        <v>247.25700000000009</v>
      </c>
      <c r="O78" s="14">
        <f>N78*VLOOKUP('Données projet'!$B$9,Paramètres!$A$1:$I$89,3,0)*VLOOKUP('Données projet'!$B$9,Paramètres!$A$1:$I$89,5,0)</f>
        <v>223.71813360000007</v>
      </c>
      <c r="P78" s="14">
        <f t="shared" si="87"/>
        <v>54.92221376571495</v>
      </c>
      <c r="Q78" s="22">
        <f t="shared" si="54"/>
        <v>485.29860499528695</v>
      </c>
      <c r="R78" s="62">
        <f t="shared" si="55"/>
        <v>778.63193832862021</v>
      </c>
      <c r="S78" s="62">
        <f ca="1">AVERAGE(OFFSET($R$3,0,0,'Données projet'!$E$9+1,1))-AVERAGE(OFFSET($H$3,0,0,'Données projet'!$E$9+1,1))</f>
        <v>401.86262166363821</v>
      </c>
      <c r="T78" s="62">
        <f t="shared" si="88"/>
        <v>208.60314230781432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19.942340596721895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19.942340596721895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8.6770000000000014</v>
      </c>
      <c r="AI78" s="14">
        <f>IF('Données projet'!$A$62&gt;35,AI77+AH78-AQ77,IF(A78&lt;'Données projet'!$A$62,$AF$205^A78,IF(A78='Données projet'!$A$62,'Données projet'!$B$62,AI77+AH78-AQ77)))</f>
        <v>247.25700000000009</v>
      </c>
      <c r="AJ78" s="14">
        <f>AI78*VLOOKUP('Données projet'!$B$10,Paramètres!$A$1:$I$89,3,0)*VLOOKUP('Données projet'!$B$10,Paramètres!$A$1:$I$89,5,0)</f>
        <v>266.1474348000001</v>
      </c>
      <c r="AK78" s="14">
        <f t="shared" si="89"/>
        <v>64.03097510856955</v>
      </c>
      <c r="AL78" s="22">
        <f t="shared" si="58"/>
        <v>575.06073059075879</v>
      </c>
      <c r="AM78" s="62">
        <f t="shared" si="59"/>
        <v>868.39406392409205</v>
      </c>
      <c r="AN78" s="62">
        <f ca="1">AVERAGE(OFFSET($AM$3,0,0,'Données projet'!$E$10+1,1))-AVERAGE(OFFSET($H$3,0,0,'Données projet'!$E$10+1,1))</f>
        <v>407.22515465568205</v>
      </c>
      <c r="AO78" s="62">
        <f t="shared" si="90"/>
        <v>251.6218558398258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23.72450864092777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23.72450864092777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8.6770000000000014</v>
      </c>
      <c r="BD78" s="13">
        <f>IF('Données projet'!$A$88&gt;35,BD77+BC78-BL77,IF(A78&lt;'Données projet'!$A$88,$BA$205^A78,IF(A78='Données projet'!$A$88,'Données projet'!$B$88,BD77+BC78-BL77)))</f>
        <v>247.25700000000009</v>
      </c>
      <c r="BE78" s="14">
        <f>BD78*VLOOKUP('Données projet'!$B$11,Paramètres!$A$1:$I$89,3,0)*VLOOKUP('Données projet'!$B$11,Paramètres!$A$1:$I$89,5,0)</f>
        <v>239.1469704000001</v>
      </c>
      <c r="BF78" s="14">
        <f t="shared" si="91"/>
        <v>58.255958992346976</v>
      </c>
      <c r="BG78" s="22">
        <f t="shared" si="61"/>
        <v>517.97676869167117</v>
      </c>
      <c r="BH78" s="62">
        <f t="shared" si="62"/>
        <v>811.31010202500443</v>
      </c>
      <c r="BI78" s="62">
        <f ca="1">AVERAGE(OFFSET($BH$3,0,0,'Données projet'!$E$11+1,1))-AVERAGE(OFFSET($H$3,0,0,'Données projet'!$E$11+1,1))</f>
        <v>357.76044008074308</v>
      </c>
      <c r="BJ78" s="62">
        <f t="shared" si="92"/>
        <v>224.26555772810445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21.317674430978578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21.317674430978578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8.6770000000000014</v>
      </c>
      <c r="BY78" s="13">
        <f>IF('Données projet'!$A$114&gt;35,BY77+BX78-CG77,IF(A78&lt;'Données projet'!$A$114,$BV$205^A78,IF(A78='Données projet'!$A$114,'Données projet'!$B$114,BY77+BX78-CG77)))</f>
        <v>247.25700000000009</v>
      </c>
      <c r="BZ78" s="14">
        <f>BY78*VLOOKUP('Données projet'!$B$12,Paramètres!$A$1:$I$89,3,0)*VLOOKUP('Données projet'!$B$12,Paramètres!$A$1:$I$89,5,0)</f>
        <v>165.85999560000008</v>
      </c>
      <c r="CA78" s="14">
        <f t="shared" si="93"/>
        <v>42.161474060754607</v>
      </c>
      <c r="CB78" s="22">
        <f t="shared" si="64"/>
        <v>362.3040596591477</v>
      </c>
      <c r="CC78" s="62">
        <f t="shared" si="65"/>
        <v>655.63739299248095</v>
      </c>
      <c r="CD78" s="62">
        <f ca="1">AVERAGE(OFFSET($CC$3,0,0,'Données projet'!$E$12+1,1))-AVERAGE(OFFSET($H$3,0,0,'Données projet'!$E$12+1,1))</f>
        <v>222.86701323374945</v>
      </c>
      <c r="CE78" s="62">
        <f t="shared" si="94"/>
        <v>149.63671045240511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18.223173303901035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18.223173303901035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241</v>
      </c>
      <c r="CR78" s="13">
        <f>VLOOKUP(A78,'Données projet'!$A$139:$I$159,9,0)</f>
        <v>4.5999999999999996</v>
      </c>
      <c r="CS78" s="13">
        <f t="array" ref="CS78">INDEX(CR:CR,MIN(IF(ISNUMBER(CR78:CR274),ROW(CR78:CR274),"")))</f>
        <v>4.5999999999999996</v>
      </c>
      <c r="CT78" s="13">
        <f>IF('Données projet'!$A$140&gt;35,CT77+CS78-DB77,IF(A78&lt;'Données projet'!$A$140,$CQ$205^A78,IF(A78='Données projet'!$A$140,'Données projet'!$B$140,CT77+CS78-DB77)))</f>
        <v>241.00000000000011</v>
      </c>
      <c r="CU78" s="18">
        <f>CT78*VLOOKUP('Données projet'!$B$13,Paramètres!$A$1:$I$89,3,0)*VLOOKUP('Données projet'!$B$13,Paramètres!$A$1:$I$89,5,0)</f>
        <v>157.90320000000008</v>
      </c>
      <c r="CV78" s="14">
        <f t="shared" si="95"/>
        <v>40.369213826539486</v>
      </c>
      <c r="CW78" s="22">
        <f t="shared" si="67"/>
        <v>345.32445408122311</v>
      </c>
      <c r="CX78" s="62">
        <f t="shared" si="68"/>
        <v>638.65778741455642</v>
      </c>
      <c r="CY78" s="62">
        <f ca="1">AVERAGE(OFFSET($CX$3,0,0,'Données projet'!$E$13+1,1))-AVERAGE(OFFSET($H$3,0,0,'Données projet'!$E$13+1,1))</f>
        <v>173.15672762188746</v>
      </c>
      <c r="CZ78" s="62">
        <f t="shared" si="96"/>
        <v>208.54841796921414</v>
      </c>
      <c r="DA78" s="16">
        <f>IF(ISNA(VLOOKUP(A78,'Données projet'!$A$139:$I$159,3,0)),0,VLOOKUP(A78,'Données projet'!$A$139:$I$159,3,0))</f>
        <v>14</v>
      </c>
      <c r="DB78" s="16">
        <f>IF(ISNA(VLOOKUP(A78,'Données projet'!$A$139:$I$159,4,0)),0,VLOOKUP(A78,'Données projet'!$A$139:$I$159,4,0))</f>
        <v>18</v>
      </c>
      <c r="DC78" s="17">
        <f>IF(ISNA(VLOOKUP(A78,'Données projet'!$A$139:$I$159,5,0)),0%,VLOOKUP(A78,'Données projet'!$A$139:$I$159,5,0)*VLOOKUP('Données projet'!$B$13,Paramètres!$A$1:$I$89,7,0))</f>
        <v>0.25800000000000001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19.180820562293484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19.180820562293484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9.782</v>
      </c>
      <c r="EJ78" s="13">
        <f>IF('Données projet'!$A$192&gt;35,EJ77+EI78-ER77,IF(A78&lt;'Données projet'!$A$192,$EG$205^A78,IF(A78='Données projet'!$A$192,'Données projet'!$B$192,EJ77+EI78-ER77)))</f>
        <v>471.09000000000003</v>
      </c>
      <c r="EK78" s="18">
        <f>EJ78*VLOOKUP('Données projet'!$B$15,Paramètres!$A$1:$I$89,3,0)*VLOOKUP('Données projet'!$B$15,Paramètres!$A$1:$I$89,5,0)</f>
        <v>281.71182000000005</v>
      </c>
      <c r="EL78" s="14">
        <f t="shared" si="99"/>
        <v>67.328637229880215</v>
      </c>
      <c r="EM78" s="22">
        <f t="shared" si="73"/>
        <v>607.91212967537479</v>
      </c>
      <c r="EN78" s="62">
        <f t="shared" si="74"/>
        <v>901.24546300870816</v>
      </c>
      <c r="EO78" s="62">
        <f ca="1">AVERAGE(OFFSET($EN$3,0,0,'Données projet'!$E$15+1,1))-AVERAGE(OFFSET($H$3,0,0,'Données projet'!$E$15+1,1))</f>
        <v>269.18638759204373</v>
      </c>
      <c r="EP78" s="62">
        <f t="shared" si="100"/>
        <v>197.07126167823969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58.919846353377949</v>
      </c>
      <c r="EW78" s="23">
        <f>EXP(-LN(2)/25)*EW77+(1-EXP(-LN(2)/25))/(LN(2)/25)*Calculateur!ER78*Calculateur!ET78*VLOOKUP('Données projet'!$B$15,Paramètres!$A$1:$I$89,3,0)*0.475*44/12</f>
        <v>12.880801905883438</v>
      </c>
      <c r="EX78" s="23">
        <f>EXP(-LN(2)/2)*EX77+(1-EXP(-LN(2)/2))/(LN(2)/2)*ER78*EU78*VLOOKUP('Données projet'!$B$15,Paramètres!$A$1:$I$89,3,0)*0.475*44/12</f>
        <v>0.75586820411523659</v>
      </c>
      <c r="EY78" s="24">
        <f t="shared" si="75"/>
        <v>72.55651646337661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1.1368683772161603E-13</v>
      </c>
      <c r="FF78" s="18">
        <f>FE78*VLOOKUP('Données projet'!$B$16,Paramètres!$A$1:$I$89,3,0)*VLOOKUP('Données projet'!$B$16,Paramètres!$A$1:$I$89,5,0)</f>
        <v>6.7984728957526396E-14</v>
      </c>
      <c r="FG78" s="14">
        <f t="shared" si="101"/>
        <v>1.0682447123141398E-12</v>
      </c>
      <c r="FH78" s="22">
        <f t="shared" si="76"/>
        <v>1.978932943548152E-12</v>
      </c>
      <c r="FI78" s="62">
        <f t="shared" si="77"/>
        <v>293.3333333333353</v>
      </c>
      <c r="FJ78" s="62">
        <f ca="1">AVERAGE(OFFSET($FI$3,0,0,'Données projet'!$E$16+1,1))-AVERAGE(OFFSET($H$3,0,0,'Données projet'!$E$16+1,1))</f>
        <v>330.48891719033065</v>
      </c>
      <c r="FK78" s="62">
        <f t="shared" si="102"/>
        <v>419.35494198427284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157.9364074575567</v>
      </c>
      <c r="FR78" s="23">
        <f>EXP(-LN(2)/25)*FR77+(1-EXP(-LN(2)/25))/(LN(2)/25)*Calculateur!FM78*Calculateur!FO78*VLOOKUP('Données projet'!$B$16,Paramètres!$A$1:$I$89,3,0)*0.475*44/12</f>
        <v>23.704332818605589</v>
      </c>
      <c r="FS78" s="23">
        <f>EXP(-LN(2)/2)*FS77+(1-EXP(-LN(2)/2))/(LN(2)/2)*FM78*FP78*VLOOKUP('Données projet'!$B$16,Paramètres!$A$1:$I$89,3,0)*0.475*44/12</f>
        <v>4.7976273480760015E-2</v>
      </c>
      <c r="FT78" s="24">
        <f t="shared" si="78"/>
        <v>181.68871654964306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>
        <f>FZ78*VLOOKUP('Données projet'!$B$17,Paramètres!$A$1:$I$89,3,0)*VLOOKUP('Données projet'!$B$17,Paramètres!$A$1:$I$89,5,0)</f>
        <v>0</v>
      </c>
      <c r="GB78" s="14" t="e">
        <f t="shared" si="103"/>
        <v>#NUM!</v>
      </c>
      <c r="GC78" s="22" t="e">
        <f t="shared" si="79"/>
        <v>#NUM!</v>
      </c>
      <c r="GD78" s="62" t="e">
        <f t="shared" si="80"/>
        <v>#NUM!</v>
      </c>
      <c r="GE78" s="62">
        <f ca="1">AVERAGE(OFFSET($GD$3,0,0,'Données projet'!$E$17+1,1))-AVERAGE(OFFSET($H$3,0,0,'Données projet'!$E$17+1,1))</f>
        <v>132.18258156780018</v>
      </c>
      <c r="GF78" s="62">
        <f t="shared" si="104"/>
        <v>315.58133946947294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17.791147308430002</v>
      </c>
      <c r="GM78" s="23">
        <f>EXP(-LN(2)/25)*GM77+(1-EXP(-LN(2)/25))/(LN(2)/25)*Calculateur!GH78*Calculateur!GJ78*VLOOKUP('Données projet'!$B$17,Paramètres!$A$1:$I$89,3,0)*0.475*44/12</f>
        <v>5.3283763727468587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23.119523681176862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9">
        <f t="shared" si="56"/>
        <v>407.58253923270354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8.6770000000000014</v>
      </c>
      <c r="N79" s="14">
        <f>IF('Données projet'!$A$36&gt;35,N78+M79-V78,IF(A79&lt;'Données projet'!$A$36,$K$205^A79,IF(A79='Données projet'!$A$36,'Données projet'!$B$36,N78+M79-V78)))</f>
        <v>255.93400000000008</v>
      </c>
      <c r="O79" s="14">
        <f>N79*VLOOKUP('Données projet'!$B$9,Paramètres!$A$1:$I$89,3,0)*VLOOKUP('Données projet'!$B$9,Paramètres!$A$1:$I$89,5,0)</f>
        <v>231.56908320000005</v>
      </c>
      <c r="P79" s="14">
        <f t="shared" si="87"/>
        <v>56.621819638037671</v>
      </c>
      <c r="Q79" s="22">
        <f t="shared" si="54"/>
        <v>501.93248910958238</v>
      </c>
      <c r="R79" s="62">
        <f t="shared" si="55"/>
        <v>795.26582244291569</v>
      </c>
      <c r="S79" s="62">
        <f ca="1">AVERAGE(OFFSET($R$3,0,0,'Données projet'!$E$9+1,1))-AVERAGE(OFFSET($H$3,0,0,'Données projet'!$E$9+1,1))</f>
        <v>401.86262166363821</v>
      </c>
      <c r="T79" s="62">
        <f t="shared" si="88"/>
        <v>208.60314230781432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19.551283461246886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19.551283461246886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8.6770000000000014</v>
      </c>
      <c r="AI79" s="14">
        <f>IF('Données projet'!$A$62&gt;35,AI78+AH79-AQ78,IF(A79&lt;'Données projet'!$A$62,$AF$205^A79,IF(A79='Données projet'!$A$62,'Données projet'!$B$62,AI78+AH79-AQ78)))</f>
        <v>255.93400000000008</v>
      </c>
      <c r="AJ79" s="14">
        <f>AI79*VLOOKUP('Données projet'!$B$10,Paramètres!$A$1:$I$89,3,0)*VLOOKUP('Données projet'!$B$10,Paramètres!$A$1:$I$89,5,0)</f>
        <v>275.48735760000011</v>
      </c>
      <c r="AK79" s="14">
        <f t="shared" si="89"/>
        <v>66.012457897469986</v>
      </c>
      <c r="AL79" s="22">
        <f t="shared" si="58"/>
        <v>594.77884532476037</v>
      </c>
      <c r="AM79" s="62">
        <f t="shared" si="59"/>
        <v>888.11217865809363</v>
      </c>
      <c r="AN79" s="62">
        <f ca="1">AVERAGE(OFFSET($AM$3,0,0,'Données projet'!$E$10+1,1))-AVERAGE(OFFSET($H$3,0,0,'Données projet'!$E$10+1,1))</f>
        <v>407.22515465568205</v>
      </c>
      <c r="AO79" s="62">
        <f t="shared" si="90"/>
        <v>251.6218558398258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23.259285497000601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23.259285497000601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8.6770000000000014</v>
      </c>
      <c r="BD79" s="13">
        <f>IF('Données projet'!$A$88&gt;35,BD78+BC79-BL78,IF(A79&lt;'Données projet'!$A$88,$BA$205^A79,IF(A79='Données projet'!$A$88,'Données projet'!$B$88,BD78+BC79-BL78)))</f>
        <v>255.93400000000008</v>
      </c>
      <c r="BE79" s="14">
        <f>BD79*VLOOKUP('Données projet'!$B$11,Paramètres!$A$1:$I$89,3,0)*VLOOKUP('Données projet'!$B$11,Paramètres!$A$1:$I$89,5,0)</f>
        <v>247.5393648000001</v>
      </c>
      <c r="BF79" s="14">
        <f t="shared" si="91"/>
        <v>60.058729915302607</v>
      </c>
      <c r="BG79" s="22">
        <f t="shared" si="61"/>
        <v>535.73334829581881</v>
      </c>
      <c r="BH79" s="62">
        <f t="shared" si="62"/>
        <v>829.06668162915207</v>
      </c>
      <c r="BI79" s="62">
        <f ca="1">AVERAGE(OFFSET($BH$3,0,0,'Données projet'!$E$11+1,1))-AVERAGE(OFFSET($H$3,0,0,'Données projet'!$E$11+1,1))</f>
        <v>357.76044008074308</v>
      </c>
      <c r="BJ79" s="62">
        <f t="shared" si="92"/>
        <v>224.26555772810445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20.899647837884601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20.899647837884601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8.6770000000000014</v>
      </c>
      <c r="BY79" s="13">
        <f>IF('Données projet'!$A$114&gt;35,BY78+BX79-CG78,IF(A79&lt;'Données projet'!$A$114,$BV$205^A79,IF(A79='Données projet'!$A$114,'Données projet'!$B$114,BY78+BX79-CG78)))</f>
        <v>255.93400000000008</v>
      </c>
      <c r="BZ79" s="14">
        <f>BY79*VLOOKUP('Données projet'!$B$12,Paramètres!$A$1:$I$89,3,0)*VLOOKUP('Données projet'!$B$12,Paramètres!$A$1:$I$89,5,0)</f>
        <v>171.68052720000006</v>
      </c>
      <c r="CA79" s="14">
        <f t="shared" si="93"/>
        <v>43.46619002149712</v>
      </c>
      <c r="CB79" s="22">
        <f t="shared" si="64"/>
        <v>374.71386582744088</v>
      </c>
      <c r="CC79" s="62">
        <f t="shared" si="65"/>
        <v>668.0471991607742</v>
      </c>
      <c r="CD79" s="62">
        <f ca="1">AVERAGE(OFFSET($CC$3,0,0,'Données projet'!$E$12+1,1))-AVERAGE(OFFSET($H$3,0,0,'Données projet'!$E$12+1,1))</f>
        <v>222.86701323374945</v>
      </c>
      <c r="CE79" s="62">
        <f t="shared" si="94"/>
        <v>149.63671045240511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17.865827990449731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17.865827990449731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4.2</v>
      </c>
      <c r="CT79" s="13">
        <f>IF('Données projet'!$A$140&gt;35,CT78+CS79-DB78,IF(A79&lt;'Données projet'!$A$140,$CQ$205^A79,IF(A79='Données projet'!$A$140,'Données projet'!$B$140,CT78+CS79-DB78)))</f>
        <v>227.2000000000001</v>
      </c>
      <c r="CU79" s="18">
        <f>CT79*VLOOKUP('Données projet'!$B$13,Paramètres!$A$1:$I$89,3,0)*VLOOKUP('Données projet'!$B$13,Paramètres!$A$1:$I$89,5,0)</f>
        <v>148.86144000000007</v>
      </c>
      <c r="CV79" s="14">
        <f t="shared" si="95"/>
        <v>38.319729148991954</v>
      </c>
      <c r="CW79" s="22">
        <f t="shared" si="67"/>
        <v>326.00720293449439</v>
      </c>
      <c r="CX79" s="62">
        <f t="shared" si="68"/>
        <v>619.3405362678277</v>
      </c>
      <c r="CY79" s="62">
        <f ca="1">AVERAGE(OFFSET($CX$3,0,0,'Données projet'!$E$13+1,1))-AVERAGE(OFFSET($H$3,0,0,'Données projet'!$E$13+1,1))</f>
        <v>173.15672762188746</v>
      </c>
      <c r="CZ79" s="62">
        <f t="shared" si="96"/>
        <v>208.54841796921414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18.804696370212255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18.804696370212255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9.782</v>
      </c>
      <c r="EJ79" s="13">
        <f>IF('Données projet'!$A$192&gt;35,EJ78+EI79-ER78,IF(A79&lt;'Données projet'!$A$192,$EG$205^A79,IF(A79='Données projet'!$A$192,'Données projet'!$B$192,EJ78+EI79-ER78)))</f>
        <v>480.87200000000001</v>
      </c>
      <c r="EK79" s="18">
        <f>EJ79*VLOOKUP('Données projet'!$B$15,Paramètres!$A$1:$I$89,3,0)*VLOOKUP('Données projet'!$B$15,Paramètres!$A$1:$I$89,5,0)</f>
        <v>287.56145600000002</v>
      </c>
      <c r="EL79" s="14">
        <f t="shared" si="99"/>
        <v>68.562475277867222</v>
      </c>
      <c r="EM79" s="22">
        <f t="shared" si="73"/>
        <v>620.24918030895208</v>
      </c>
      <c r="EN79" s="62">
        <f t="shared" si="74"/>
        <v>913.58251364228545</v>
      </c>
      <c r="EO79" s="62">
        <f ca="1">AVERAGE(OFFSET($EN$3,0,0,'Données projet'!$E$15+1,1))-AVERAGE(OFFSET($H$3,0,0,'Données projet'!$E$15+1,1))</f>
        <v>269.18638759204373</v>
      </c>
      <c r="EP79" s="62">
        <f t="shared" si="100"/>
        <v>197.07126167823969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57.764464103945947</v>
      </c>
      <c r="EW79" s="23">
        <f>EXP(-LN(2)/25)*EW78+(1-EXP(-LN(2)/25))/(LN(2)/25)*Calculateur!ER79*Calculateur!ET79*VLOOKUP('Données projet'!$B$15,Paramètres!$A$1:$I$89,3,0)*0.475*44/12</f>
        <v>12.528575700395121</v>
      </c>
      <c r="EX79" s="23">
        <f>EXP(-LN(2)/2)*EX78+(1-EXP(-LN(2)/2))/(LN(2)/2)*ER79*EU79*VLOOKUP('Données projet'!$B$15,Paramètres!$A$1:$I$89,3,0)*0.475*44/12</f>
        <v>0.53447953281318128</v>
      </c>
      <c r="EY79" s="24">
        <f t="shared" si="75"/>
        <v>70.827519337154243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1.1368683772161603E-13</v>
      </c>
      <c r="FF79" s="18">
        <f>FE79*VLOOKUP('Données projet'!$B$16,Paramètres!$A$1:$I$89,3,0)*VLOOKUP('Données projet'!$B$16,Paramètres!$A$1:$I$89,5,0)</f>
        <v>6.7984728957526396E-14</v>
      </c>
      <c r="FG79" s="14">
        <f t="shared" si="101"/>
        <v>1.0682447123141398E-12</v>
      </c>
      <c r="FH79" s="22">
        <f t="shared" si="76"/>
        <v>1.978932943548152E-12</v>
      </c>
      <c r="FI79" s="62">
        <f t="shared" si="77"/>
        <v>293.3333333333353</v>
      </c>
      <c r="FJ79" s="62">
        <f ca="1">AVERAGE(OFFSET($FI$3,0,0,'Données projet'!$E$16+1,1))-AVERAGE(OFFSET($H$3,0,0,'Données projet'!$E$16+1,1))</f>
        <v>330.48891719033065</v>
      </c>
      <c r="FK79" s="62">
        <f t="shared" si="102"/>
        <v>419.35494198427284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154.8393708390106</v>
      </c>
      <c r="FR79" s="23">
        <f>EXP(-LN(2)/25)*FR78+(1-EXP(-LN(2)/25))/(LN(2)/25)*Calculateur!FM79*Calculateur!FO79*VLOOKUP('Données projet'!$B$16,Paramètres!$A$1:$I$89,3,0)*0.475*44/12</f>
        <v>23.056136591124133</v>
      </c>
      <c r="FS79" s="23">
        <f>EXP(-LN(2)/2)*FS78+(1-EXP(-LN(2)/2))/(LN(2)/2)*FM79*FP79*VLOOKUP('Données projet'!$B$16,Paramètres!$A$1:$I$89,3,0)*0.475*44/12</f>
        <v>3.3924348314305734E-2</v>
      </c>
      <c r="FT79" s="24">
        <f t="shared" si="78"/>
        <v>177.92943177844904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>
        <f>FZ79*VLOOKUP('Données projet'!$B$17,Paramètres!$A$1:$I$89,3,0)*VLOOKUP('Données projet'!$B$17,Paramètres!$A$1:$I$89,5,0)</f>
        <v>0</v>
      </c>
      <c r="GB79" s="14" t="e">
        <f t="shared" si="103"/>
        <v>#NUM!</v>
      </c>
      <c r="GC79" s="22" t="e">
        <f t="shared" si="79"/>
        <v>#NUM!</v>
      </c>
      <c r="GD79" s="62" t="e">
        <f t="shared" si="80"/>
        <v>#NUM!</v>
      </c>
      <c r="GE79" s="62">
        <f ca="1">AVERAGE(OFFSET($GD$3,0,0,'Données projet'!$E$17+1,1))-AVERAGE(OFFSET($H$3,0,0,'Données projet'!$E$17+1,1))</f>
        <v>132.18258156780018</v>
      </c>
      <c r="GF79" s="62">
        <f t="shared" si="104"/>
        <v>315.58133946947294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17.442273761240049</v>
      </c>
      <c r="GM79" s="23">
        <f>EXP(-LN(2)/25)*GM78+(1-EXP(-LN(2)/25))/(LN(2)/25)*Calculateur!GH79*Calculateur!GJ79*VLOOKUP('Données projet'!$B$17,Paramètres!$A$1:$I$89,3,0)*0.475*44/12</f>
        <v>5.1826716406269604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22.624945401867009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9">
        <f t="shared" si="56"/>
        <v>409.51710805152618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8.6770000000000014</v>
      </c>
      <c r="N80" s="14">
        <f>IF('Données projet'!$A$36&gt;35,N79+M80-V79,IF(A80&lt;'Données projet'!$A$36,$K$205^A80,IF(A80='Données projet'!$A$36,'Données projet'!$B$36,N79+M80-V79)))</f>
        <v>264.6110000000001</v>
      </c>
      <c r="O80" s="14">
        <f>N80*VLOOKUP('Données projet'!$B$9,Paramètres!$A$1:$I$89,3,0)*VLOOKUP('Données projet'!$B$9,Paramètres!$A$1:$I$89,5,0)</f>
        <v>239.42003280000009</v>
      </c>
      <c r="P80" s="14">
        <f t="shared" si="87"/>
        <v>58.314730148380967</v>
      </c>
      <c r="Q80" s="22">
        <f t="shared" si="54"/>
        <v>518.55471213509702</v>
      </c>
      <c r="R80" s="62">
        <f t="shared" si="55"/>
        <v>811.88804546843039</v>
      </c>
      <c r="S80" s="62">
        <f ca="1">AVERAGE(OFFSET($R$3,0,0,'Données projet'!$E$9+1,1))-AVERAGE(OFFSET($H$3,0,0,'Données projet'!$E$9+1,1))</f>
        <v>401.86262166363821</v>
      </c>
      <c r="T80" s="62">
        <f t="shared" si="88"/>
        <v>208.60314230781432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19.167894717677239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19.167894717677239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8.6770000000000014</v>
      </c>
      <c r="AI80" s="14">
        <f>IF('Données projet'!$A$62&gt;35,AI79+AH80-AQ79,IF(A80&lt;'Données projet'!$A$62,$AF$205^A80,IF(A80='Données projet'!$A$62,'Données projet'!$B$62,AI79+AH80-AQ79)))</f>
        <v>264.6110000000001</v>
      </c>
      <c r="AJ80" s="14">
        <f>AI80*VLOOKUP('Données projet'!$B$10,Paramètres!$A$1:$I$89,3,0)*VLOOKUP('Données projet'!$B$10,Paramètres!$A$1:$I$89,5,0)</f>
        <v>284.82728040000012</v>
      </c>
      <c r="AK80" s="14">
        <f t="shared" si="89"/>
        <v>67.986134909311318</v>
      </c>
      <c r="AL80" s="22">
        <f t="shared" si="58"/>
        <v>614.48336499705067</v>
      </c>
      <c r="AM80" s="62">
        <f t="shared" si="59"/>
        <v>907.81669833038404</v>
      </c>
      <c r="AN80" s="62">
        <f ca="1">AVERAGE(OFFSET($AM$3,0,0,'Données projet'!$E$10+1,1))-AVERAGE(OFFSET($H$3,0,0,'Données projet'!$E$10+1,1))</f>
        <v>407.22515465568205</v>
      </c>
      <c r="AO80" s="62">
        <f t="shared" si="90"/>
        <v>251.6218558398258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22.803185095167745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22.803185095167745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8.6770000000000014</v>
      </c>
      <c r="BD80" s="13">
        <f>IF('Données projet'!$A$88&gt;35,BD79+BC80-BL79,IF(A80&lt;'Données projet'!$A$88,$BA$205^A80,IF(A80='Données projet'!$A$88,'Données projet'!$B$88,BD79+BC80-BL79)))</f>
        <v>264.6110000000001</v>
      </c>
      <c r="BE80" s="14">
        <f>BD80*VLOOKUP('Données projet'!$B$11,Paramètres!$A$1:$I$89,3,0)*VLOOKUP('Données projet'!$B$11,Paramètres!$A$1:$I$89,5,0)</f>
        <v>255.9317592000001</v>
      </c>
      <c r="BF80" s="14">
        <f t="shared" si="91"/>
        <v>61.854399071847673</v>
      </c>
      <c r="BG80" s="22">
        <f t="shared" si="61"/>
        <v>553.47755899013487</v>
      </c>
      <c r="BH80" s="62">
        <f t="shared" si="62"/>
        <v>846.81089232346812</v>
      </c>
      <c r="BI80" s="62">
        <f ca="1">AVERAGE(OFFSET($BH$3,0,0,'Données projet'!$E$11+1,1))-AVERAGE(OFFSET($H$3,0,0,'Données projet'!$E$11+1,1))</f>
        <v>357.76044008074308</v>
      </c>
      <c r="BJ80" s="62">
        <f t="shared" si="92"/>
        <v>224.26555772810445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20.48981849131015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20.48981849131015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8.6770000000000014</v>
      </c>
      <c r="BY80" s="13">
        <f>IF('Données projet'!$A$114&gt;35,BY79+BX80-CG79,IF(A80&lt;'Données projet'!$A$114,$BV$205^A80,IF(A80='Données projet'!$A$114,'Données projet'!$B$114,BY79+BX80-CG79)))</f>
        <v>264.6110000000001</v>
      </c>
      <c r="BZ80" s="14">
        <f>BY80*VLOOKUP('Données projet'!$B$12,Paramètres!$A$1:$I$89,3,0)*VLOOKUP('Données projet'!$B$12,Paramètres!$A$1:$I$89,5,0)</f>
        <v>177.50105880000007</v>
      </c>
      <c r="CA80" s="14">
        <f t="shared" si="93"/>
        <v>44.765766234384074</v>
      </c>
      <c r="CB80" s="22">
        <f t="shared" si="64"/>
        <v>387.11472026821906</v>
      </c>
      <c r="CC80" s="62">
        <f t="shared" si="65"/>
        <v>680.44805360155237</v>
      </c>
      <c r="CD80" s="62">
        <f ca="1">AVERAGE(OFFSET($CC$3,0,0,'Données projet'!$E$12+1,1))-AVERAGE(OFFSET($H$3,0,0,'Données projet'!$E$12+1,1))</f>
        <v>222.86701323374945</v>
      </c>
      <c r="CE80" s="62">
        <f t="shared" si="94"/>
        <v>149.63671045240511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17.515490000636088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17.515490000636088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4.2</v>
      </c>
      <c r="CT80" s="13">
        <f>IF('Données projet'!$A$140&gt;35,CT79+CS80-DB79,IF(A80&lt;'Données projet'!$A$140,$CQ$205^A80,IF(A80='Données projet'!$A$140,'Données projet'!$B$140,CT79+CS80-DB79)))</f>
        <v>231.40000000000009</v>
      </c>
      <c r="CU80" s="18">
        <f>CT80*VLOOKUP('Données projet'!$B$13,Paramètres!$A$1:$I$89,3,0)*VLOOKUP('Données projet'!$B$13,Paramètres!$A$1:$I$89,5,0)</f>
        <v>151.61328000000006</v>
      </c>
      <c r="CV80" s="14">
        <f t="shared" si="95"/>
        <v>38.944980714143632</v>
      </c>
      <c r="CW80" s="22">
        <f t="shared" si="67"/>
        <v>331.88897074380026</v>
      </c>
      <c r="CX80" s="62">
        <f t="shared" si="68"/>
        <v>625.22230407713357</v>
      </c>
      <c r="CY80" s="62">
        <f ca="1">AVERAGE(OFFSET($CX$3,0,0,'Données projet'!$E$13+1,1))-AVERAGE(OFFSET($H$3,0,0,'Données projet'!$E$13+1,1))</f>
        <v>173.15672762188746</v>
      </c>
      <c r="CZ80" s="62">
        <f t="shared" si="96"/>
        <v>208.54841796921414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18.435947744124636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18.435947744124636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9.782</v>
      </c>
      <c r="EJ80" s="13">
        <f>IF('Données projet'!$A$192&gt;35,EJ79+EI80-ER79,IF(A80&lt;'Données projet'!$A$192,$EG$205^A80,IF(A80='Données projet'!$A$192,'Données projet'!$B$192,EJ79+EI80-ER79)))</f>
        <v>490.654</v>
      </c>
      <c r="EK80" s="18">
        <f>EJ80*VLOOKUP('Données projet'!$B$15,Paramètres!$A$1:$I$89,3,0)*VLOOKUP('Données projet'!$B$15,Paramètres!$A$1:$I$89,5,0)</f>
        <v>293.411092</v>
      </c>
      <c r="EL80" s="14">
        <f t="shared" si="99"/>
        <v>69.79339504623151</v>
      </c>
      <c r="EM80" s="22">
        <f t="shared" si="73"/>
        <v>632.58114827218651</v>
      </c>
      <c r="EN80" s="62">
        <f t="shared" si="74"/>
        <v>925.91448160551977</v>
      </c>
      <c r="EO80" s="62">
        <f ca="1">AVERAGE(OFFSET($EN$3,0,0,'Données projet'!$E$15+1,1))-AVERAGE(OFFSET($H$3,0,0,'Données projet'!$E$15+1,1))</f>
        <v>269.18638759204373</v>
      </c>
      <c r="EP80" s="62">
        <f t="shared" si="100"/>
        <v>197.07126167823969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56.631738195711719</v>
      </c>
      <c r="EW80" s="23">
        <f>EXP(-LN(2)/25)*EW79+(1-EXP(-LN(2)/25))/(LN(2)/25)*Calculateur!ER80*Calculateur!ET80*VLOOKUP('Données projet'!$B$15,Paramètres!$A$1:$I$89,3,0)*0.475*44/12</f>
        <v>12.185981139018656</v>
      </c>
      <c r="EX80" s="23">
        <f>EXP(-LN(2)/2)*EX79+(1-EXP(-LN(2)/2))/(LN(2)/2)*ER80*EU80*VLOOKUP('Données projet'!$B$15,Paramètres!$A$1:$I$89,3,0)*0.475*44/12</f>
        <v>0.37793410205761835</v>
      </c>
      <c r="EY80" s="24">
        <f t="shared" si="75"/>
        <v>69.195653436787993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1.1368683772161603E-13</v>
      </c>
      <c r="FF80" s="18">
        <f>FE80*VLOOKUP('Données projet'!$B$16,Paramètres!$A$1:$I$89,3,0)*VLOOKUP('Données projet'!$B$16,Paramètres!$A$1:$I$89,5,0)</f>
        <v>6.7984728957526396E-14</v>
      </c>
      <c r="FG80" s="14">
        <f t="shared" si="101"/>
        <v>1.0682447123141398E-12</v>
      </c>
      <c r="FH80" s="22">
        <f t="shared" si="76"/>
        <v>1.978932943548152E-12</v>
      </c>
      <c r="FI80" s="62">
        <f t="shared" si="77"/>
        <v>293.3333333333353</v>
      </c>
      <c r="FJ80" s="62">
        <f ca="1">AVERAGE(OFFSET($FI$3,0,0,'Données projet'!$E$16+1,1))-AVERAGE(OFFSET($H$3,0,0,'Données projet'!$E$16+1,1))</f>
        <v>330.48891719033065</v>
      </c>
      <c r="FK80" s="62">
        <f t="shared" si="102"/>
        <v>419.35494198427284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151.80306521954836</v>
      </c>
      <c r="FR80" s="23">
        <f>EXP(-LN(2)/25)*FR79+(1-EXP(-LN(2)/25))/(LN(2)/25)*Calculateur!FM80*Calculateur!FO80*VLOOKUP('Données projet'!$B$16,Paramètres!$A$1:$I$89,3,0)*0.475*44/12</f>
        <v>22.425665323570318</v>
      </c>
      <c r="FS80" s="23">
        <f>EXP(-LN(2)/2)*FS79+(1-EXP(-LN(2)/2))/(LN(2)/2)*FM80*FP80*VLOOKUP('Données projet'!$B$16,Paramètres!$A$1:$I$89,3,0)*0.475*44/12</f>
        <v>2.3988136740380007E-2</v>
      </c>
      <c r="FT80" s="24">
        <f t="shared" si="78"/>
        <v>174.25271867985904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>
        <f>FZ80*VLOOKUP('Données projet'!$B$17,Paramètres!$A$1:$I$89,3,0)*VLOOKUP('Données projet'!$B$17,Paramètres!$A$1:$I$89,5,0)</f>
        <v>0</v>
      </c>
      <c r="GB80" s="14" t="e">
        <f t="shared" si="103"/>
        <v>#NUM!</v>
      </c>
      <c r="GC80" s="22" t="e">
        <f t="shared" si="79"/>
        <v>#NUM!</v>
      </c>
      <c r="GD80" s="62" t="e">
        <f t="shared" si="80"/>
        <v>#NUM!</v>
      </c>
      <c r="GE80" s="62">
        <f ca="1">AVERAGE(OFFSET($GD$3,0,0,'Données projet'!$E$17+1,1))-AVERAGE(OFFSET($H$3,0,0,'Données projet'!$E$17+1,1))</f>
        <v>132.18258156780018</v>
      </c>
      <c r="GF80" s="62">
        <f t="shared" si="104"/>
        <v>315.58133946947294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17.100241411518638</v>
      </c>
      <c r="GM80" s="23">
        <f>EXP(-LN(2)/25)*GM79+(1-EXP(-LN(2)/25))/(LN(2)/25)*Calculateur!GH80*Calculateur!GJ80*VLOOKUP('Données projet'!$B$17,Paramètres!$A$1:$I$89,3,0)*0.475*44/12</f>
        <v>5.0409512120691593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22.141192623587798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9">
        <f t="shared" si="56"/>
        <v>411.45109396520513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8.6770000000000014</v>
      </c>
      <c r="N81" s="14">
        <f>IF('Données projet'!$A$36&gt;35,N80+M81-V80,IF(A81&lt;'Données projet'!$A$36,$K$205^A81,IF(A81='Données projet'!$A$36,'Données projet'!$B$36,N80+M81-V80)))</f>
        <v>273.28800000000012</v>
      </c>
      <c r="O81" s="14">
        <f>N81*VLOOKUP('Données projet'!$B$9,Paramètres!$A$1:$I$89,3,0)*VLOOKUP('Données projet'!$B$9,Paramètres!$A$1:$I$89,5,0)</f>
        <v>247.27098240000012</v>
      </c>
      <c r="P81" s="14">
        <f t="shared" si="87"/>
        <v>60.001190025553029</v>
      </c>
      <c r="Q81" s="22">
        <f t="shared" si="54"/>
        <v>535.16570030783839</v>
      </c>
      <c r="R81" s="62">
        <f t="shared" si="55"/>
        <v>828.49903364117176</v>
      </c>
      <c r="S81" s="62">
        <f ca="1">AVERAGE(OFFSET($R$3,0,0,'Données projet'!$E$9+1,1))-AVERAGE(OFFSET($H$3,0,0,'Données projet'!$E$9+1,1))</f>
        <v>401.86262166363821</v>
      </c>
      <c r="T81" s="62">
        <f t="shared" si="88"/>
        <v>208.60314230781432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18.79202399352495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18.79202399352495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8.6770000000000014</v>
      </c>
      <c r="AI81" s="14">
        <f>IF('Données projet'!$A$62&gt;35,AI80+AH81-AQ80,IF(A81&lt;'Données projet'!$A$62,$AF$205^A81,IF(A81='Données projet'!$A$62,'Données projet'!$B$62,AI80+AH81-AQ80)))</f>
        <v>273.28800000000012</v>
      </c>
      <c r="AJ81" s="14">
        <f>AI81*VLOOKUP('Données projet'!$B$10,Paramètres!$A$1:$I$89,3,0)*VLOOKUP('Données projet'!$B$10,Paramètres!$A$1:$I$89,5,0)</f>
        <v>294.16720320000013</v>
      </c>
      <c r="AK81" s="14">
        <f t="shared" si="89"/>
        <v>69.9522914607833</v>
      </c>
      <c r="AL81" s="22">
        <f t="shared" si="58"/>
        <v>634.17478653419778</v>
      </c>
      <c r="AM81" s="62">
        <f t="shared" si="59"/>
        <v>927.50811986753115</v>
      </c>
      <c r="AN81" s="62">
        <f ca="1">AVERAGE(OFFSET($AM$3,0,0,'Données projet'!$E$10+1,1))-AVERAGE(OFFSET($H$3,0,0,'Données projet'!$E$10+1,1))</f>
        <v>407.22515465568205</v>
      </c>
      <c r="AO81" s="62">
        <f t="shared" si="90"/>
        <v>251.6218558398258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22.356028544021058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22.356028544021058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8.6770000000000014</v>
      </c>
      <c r="BD81" s="13">
        <f>IF('Données projet'!$A$88&gt;35,BD80+BC81-BL80,IF(A81&lt;'Données projet'!$A$88,$BA$205^A81,IF(A81='Données projet'!$A$88,'Données projet'!$B$88,BD80+BC81-BL80)))</f>
        <v>273.28800000000012</v>
      </c>
      <c r="BE81" s="14">
        <f>BD81*VLOOKUP('Données projet'!$B$11,Paramètres!$A$1:$I$89,3,0)*VLOOKUP('Données projet'!$B$11,Paramètres!$A$1:$I$89,5,0)</f>
        <v>264.32415360000016</v>
      </c>
      <c r="BF81" s="14">
        <f t="shared" si="91"/>
        <v>63.643226045681423</v>
      </c>
      <c r="BG81" s="22">
        <f t="shared" si="61"/>
        <v>571.20985288289546</v>
      </c>
      <c r="BH81" s="62">
        <f t="shared" si="62"/>
        <v>864.54318621622883</v>
      </c>
      <c r="BI81" s="62">
        <f ca="1">AVERAGE(OFFSET($BH$3,0,0,'Données projet'!$E$11+1,1))-AVERAGE(OFFSET($H$3,0,0,'Données projet'!$E$11+1,1))</f>
        <v>357.76044008074308</v>
      </c>
      <c r="BJ81" s="62">
        <f t="shared" si="92"/>
        <v>224.26555772810445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20.088025648250806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20.088025648250806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8.6770000000000014</v>
      </c>
      <c r="BY81" s="13">
        <f>IF('Données projet'!$A$114&gt;35,BY80+BX81-CG80,IF(A81&lt;'Données projet'!$A$114,$BV$205^A81,IF(A81='Données projet'!$A$114,'Données projet'!$B$114,BY80+BX81-CG80)))</f>
        <v>273.28800000000012</v>
      </c>
      <c r="BZ81" s="14">
        <f>BY81*VLOOKUP('Données projet'!$B$12,Paramètres!$A$1:$I$89,3,0)*VLOOKUP('Données projet'!$B$12,Paramètres!$A$1:$I$89,5,0)</f>
        <v>183.3215904000001</v>
      </c>
      <c r="CA81" s="14">
        <f t="shared" si="93"/>
        <v>46.060390567430886</v>
      </c>
      <c r="CB81" s="22">
        <f t="shared" si="64"/>
        <v>399.5069501849423</v>
      </c>
      <c r="CC81" s="62">
        <f t="shared" si="65"/>
        <v>692.84028351827556</v>
      </c>
      <c r="CD81" s="62">
        <f ca="1">AVERAGE(OFFSET($CC$3,0,0,'Données projet'!$E$12+1,1))-AVERAGE(OFFSET($H$3,0,0,'Données projet'!$E$12+1,1))</f>
        <v>222.86701323374945</v>
      </c>
      <c r="CE81" s="62">
        <f t="shared" si="94"/>
        <v>149.63671045240511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17.172021925117619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17.172021925117619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4.2</v>
      </c>
      <c r="CT81" s="13">
        <f>IF('Données projet'!$A$140&gt;35,CT80+CS81-DB80,IF(A81&lt;'Données projet'!$A$140,$CQ$205^A81,IF(A81='Données projet'!$A$140,'Données projet'!$B$140,CT80+CS81-DB80)))</f>
        <v>235.60000000000008</v>
      </c>
      <c r="CU81" s="18">
        <f>CT81*VLOOKUP('Données projet'!$B$13,Paramètres!$A$1:$I$89,3,0)*VLOOKUP('Données projet'!$B$13,Paramètres!$A$1:$I$89,5,0)</f>
        <v>154.36512000000005</v>
      </c>
      <c r="CV81" s="14">
        <f t="shared" si="95"/>
        <v>39.568912624848309</v>
      </c>
      <c r="CW81" s="22">
        <f t="shared" si="67"/>
        <v>337.76844015494419</v>
      </c>
      <c r="CX81" s="62">
        <f t="shared" si="68"/>
        <v>631.10177348827756</v>
      </c>
      <c r="CY81" s="62">
        <f ca="1">AVERAGE(OFFSET($CX$3,0,0,'Données projet'!$E$13+1,1))-AVERAGE(OFFSET($H$3,0,0,'Données projet'!$E$13+1,1))</f>
        <v>173.15672762188746</v>
      </c>
      <c r="CZ81" s="62">
        <f t="shared" si="96"/>
        <v>208.54841796921414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18.074430053680143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18.074430053680143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9.782</v>
      </c>
      <c r="EJ81" s="13">
        <f>IF('Données projet'!$A$192&gt;35,EJ80+EI81-ER80,IF(A81&lt;'Données projet'!$A$192,$EG$205^A81,IF(A81='Données projet'!$A$192,'Données projet'!$B$192,EJ80+EI81-ER80)))</f>
        <v>500.43599999999998</v>
      </c>
      <c r="EK81" s="18">
        <f>EJ81*VLOOKUP('Données projet'!$B$15,Paramètres!$A$1:$I$89,3,0)*VLOOKUP('Données projet'!$B$15,Paramètres!$A$1:$I$89,5,0)</f>
        <v>299.26072800000003</v>
      </c>
      <c r="EL81" s="14">
        <f t="shared" si="99"/>
        <v>71.021461421315166</v>
      </c>
      <c r="EM81" s="22">
        <f t="shared" si="73"/>
        <v>644.90814657545729</v>
      </c>
      <c r="EN81" s="62">
        <f t="shared" si="74"/>
        <v>938.24147990879055</v>
      </c>
      <c r="EO81" s="62">
        <f ca="1">AVERAGE(OFFSET($EN$3,0,0,'Données projet'!$E$15+1,1))-AVERAGE(OFFSET($H$3,0,0,'Données projet'!$E$15+1,1))</f>
        <v>269.18638759204373</v>
      </c>
      <c r="EP81" s="62">
        <f t="shared" si="100"/>
        <v>197.07126167823969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55.521224351643376</v>
      </c>
      <c r="EW81" s="23">
        <f>EXP(-LN(2)/25)*EW80+(1-EXP(-LN(2)/25))/(LN(2)/25)*Calculateur!ER81*Calculateur!ET81*VLOOKUP('Données projet'!$B$15,Paramètres!$A$1:$I$89,3,0)*0.475*44/12</f>
        <v>11.852754843939294</v>
      </c>
      <c r="EX81" s="23">
        <f>EXP(-LN(2)/2)*EX80+(1-EXP(-LN(2)/2))/(LN(2)/2)*ER81*EU81*VLOOKUP('Données projet'!$B$15,Paramètres!$A$1:$I$89,3,0)*0.475*44/12</f>
        <v>0.2672397664065907</v>
      </c>
      <c r="EY81" s="24">
        <f t="shared" si="75"/>
        <v>67.641218961989267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1.1368683772161603E-13</v>
      </c>
      <c r="FF81" s="18">
        <f>FE81*VLOOKUP('Données projet'!$B$16,Paramètres!$A$1:$I$89,3,0)*VLOOKUP('Données projet'!$B$16,Paramètres!$A$1:$I$89,5,0)</f>
        <v>6.7984728957526396E-14</v>
      </c>
      <c r="FG81" s="14">
        <f t="shared" si="101"/>
        <v>1.0682447123141398E-12</v>
      </c>
      <c r="FH81" s="22">
        <f t="shared" si="76"/>
        <v>1.978932943548152E-12</v>
      </c>
      <c r="FI81" s="62">
        <f t="shared" si="77"/>
        <v>293.3333333333353</v>
      </c>
      <c r="FJ81" s="62">
        <f ca="1">AVERAGE(OFFSET($FI$3,0,0,'Données projet'!$E$16+1,1))-AVERAGE(OFFSET($H$3,0,0,'Données projet'!$E$16+1,1))</f>
        <v>330.48891719033065</v>
      </c>
      <c r="FK81" s="62">
        <f t="shared" si="102"/>
        <v>419.35494198427284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148.82629970132024</v>
      </c>
      <c r="FR81" s="23">
        <f>EXP(-LN(2)/25)*FR80+(1-EXP(-LN(2)/25))/(LN(2)/25)*Calculateur!FM81*Calculateur!FO81*VLOOKUP('Données projet'!$B$16,Paramètres!$A$1:$I$89,3,0)*0.475*44/12</f>
        <v>21.812434325982803</v>
      </c>
      <c r="FS81" s="23">
        <f>EXP(-LN(2)/2)*FS80+(1-EXP(-LN(2)/2))/(LN(2)/2)*FM81*FP81*VLOOKUP('Données projet'!$B$16,Paramètres!$A$1:$I$89,3,0)*0.475*44/12</f>
        <v>1.6962174157152867E-2</v>
      </c>
      <c r="FT81" s="24">
        <f t="shared" si="78"/>
        <v>170.65569620146019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>
        <f>FZ81*VLOOKUP('Données projet'!$B$17,Paramètres!$A$1:$I$89,3,0)*VLOOKUP('Données projet'!$B$17,Paramètres!$A$1:$I$89,5,0)</f>
        <v>0</v>
      </c>
      <c r="GB81" s="14" t="e">
        <f t="shared" si="103"/>
        <v>#NUM!</v>
      </c>
      <c r="GC81" s="22" t="e">
        <f t="shared" si="79"/>
        <v>#NUM!</v>
      </c>
      <c r="GD81" s="62" t="e">
        <f t="shared" si="80"/>
        <v>#NUM!</v>
      </c>
      <c r="GE81" s="62">
        <f ca="1">AVERAGE(OFFSET($GD$3,0,0,'Données projet'!$E$17+1,1))-AVERAGE(OFFSET($H$3,0,0,'Données projet'!$E$17+1,1))</f>
        <v>132.18258156780018</v>
      </c>
      <c r="GF81" s="62">
        <f t="shared" si="104"/>
        <v>315.58133946947294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16.764916107556129</v>
      </c>
      <c r="GM81" s="23">
        <f>EXP(-LN(2)/25)*GM80+(1-EXP(-LN(2)/25))/(LN(2)/25)*Calculateur!GH81*Calculateur!GJ81*VLOOKUP('Données projet'!$B$17,Paramètres!$A$1:$I$89,3,0)*0.475*44/12</f>
        <v>4.903106136083025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21.668022243639154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9">
        <f t="shared" si="56"/>
        <v>413.38450531099431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8.6770000000000014</v>
      </c>
      <c r="N82" s="14">
        <f>IF('Données projet'!$A$36&gt;35,N81+M82-V81,IF(A82&lt;'Données projet'!$A$36,$K$205^A82,IF(A82='Données projet'!$A$36,'Données projet'!$B$36,N81+M82-V81)))</f>
        <v>281.96500000000015</v>
      </c>
      <c r="O82" s="14">
        <f>N82*VLOOKUP('Données projet'!$B$9,Paramètres!$A$1:$I$89,3,0)*VLOOKUP('Données projet'!$B$9,Paramètres!$A$1:$I$89,5,0)</f>
        <v>255.1219320000001</v>
      </c>
      <c r="P82" s="14">
        <f t="shared" si="87"/>
        <v>61.681427575411924</v>
      </c>
      <c r="Q82" s="22">
        <f t="shared" si="54"/>
        <v>551.76585126050918</v>
      </c>
      <c r="R82" s="62">
        <f t="shared" si="55"/>
        <v>845.09918459384244</v>
      </c>
      <c r="S82" s="62">
        <f ca="1">AVERAGE(OFFSET($R$3,0,0,'Données projet'!$E$9+1,1))-AVERAGE(OFFSET($H$3,0,0,'Données projet'!$E$9+1,1))</f>
        <v>401.86262166363821</v>
      </c>
      <c r="T82" s="62">
        <f t="shared" si="88"/>
        <v>208.60314230781432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18.423523865014783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18.423523865014783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8.6770000000000014</v>
      </c>
      <c r="AI82" s="14">
        <f>IF('Données projet'!$A$62&gt;35,AI81+AH82-AQ81,IF(A82&lt;'Données projet'!$A$62,$AF$205^A82,IF(A82='Données projet'!$A$62,'Données projet'!$B$62,AI81+AH82-AQ81)))</f>
        <v>281.96500000000015</v>
      </c>
      <c r="AJ82" s="14">
        <f>AI82*VLOOKUP('Données projet'!$B$10,Paramètres!$A$1:$I$89,3,0)*VLOOKUP('Données projet'!$B$10,Paramètres!$A$1:$I$89,5,0)</f>
        <v>303.50712600000014</v>
      </c>
      <c r="AK82" s="14">
        <f t="shared" si="89"/>
        <v>71.911193721905491</v>
      </c>
      <c r="AL82" s="22">
        <f t="shared" si="58"/>
        <v>653.85357351565222</v>
      </c>
      <c r="AM82" s="62">
        <f t="shared" si="59"/>
        <v>947.18690684898547</v>
      </c>
      <c r="AN82" s="62">
        <f ca="1">AVERAGE(OFFSET($AM$3,0,0,'Données projet'!$E$10+1,1))-AVERAGE(OFFSET($H$3,0,0,'Données projet'!$E$10+1,1))</f>
        <v>407.22515465568205</v>
      </c>
      <c r="AO82" s="62">
        <f t="shared" si="90"/>
        <v>251.6218558398258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21.91764046010379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21.91764046010379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8.6770000000000014</v>
      </c>
      <c r="BD82" s="13">
        <f>IF('Données projet'!$A$88&gt;35,BD81+BC82-BL81,IF(A82&lt;'Données projet'!$A$88,$BA$205^A82,IF(A82='Données projet'!$A$88,'Données projet'!$B$88,BD81+BC82-BL81)))</f>
        <v>281.96500000000015</v>
      </c>
      <c r="BE82" s="14">
        <f>BD82*VLOOKUP('Données projet'!$B$11,Paramètres!$A$1:$I$89,3,0)*VLOOKUP('Données projet'!$B$11,Paramètres!$A$1:$I$89,5,0)</f>
        <v>272.71654800000016</v>
      </c>
      <c r="BF82" s="14">
        <f t="shared" si="91"/>
        <v>65.425453000689586</v>
      </c>
      <c r="BG82" s="22">
        <f t="shared" si="61"/>
        <v>588.93065174286789</v>
      </c>
      <c r="BH82" s="62">
        <f t="shared" si="62"/>
        <v>882.26398507620115</v>
      </c>
      <c r="BI82" s="62">
        <f ca="1">AVERAGE(OFFSET($BH$3,0,0,'Données projet'!$E$11+1,1))-AVERAGE(OFFSET($H$3,0,0,'Données projet'!$E$11+1,1))</f>
        <v>357.76044008074308</v>
      </c>
      <c r="BJ82" s="62">
        <f t="shared" si="92"/>
        <v>224.26555772810445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19.694111717774419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19.694111717774419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8.6770000000000014</v>
      </c>
      <c r="BY82" s="13">
        <f>IF('Données projet'!$A$114&gt;35,BY81+BX82-CG81,IF(A82&lt;'Données projet'!$A$114,$BV$205^A82,IF(A82='Données projet'!$A$114,'Données projet'!$B$114,BY81+BX82-CG81)))</f>
        <v>281.96500000000015</v>
      </c>
      <c r="BZ82" s="14">
        <f>BY82*VLOOKUP('Données projet'!$B$12,Paramètres!$A$1:$I$89,3,0)*VLOOKUP('Données projet'!$B$12,Paramètres!$A$1:$I$89,5,0)</f>
        <v>189.14212200000009</v>
      </c>
      <c r="CA82" s="14">
        <f t="shared" si="93"/>
        <v>47.350238281444589</v>
      </c>
      <c r="CB82" s="22">
        <f t="shared" si="64"/>
        <v>411.89086082351611</v>
      </c>
      <c r="CC82" s="62">
        <f t="shared" si="65"/>
        <v>705.22419415684942</v>
      </c>
      <c r="CD82" s="62">
        <f ca="1">AVERAGE(OFFSET($CC$3,0,0,'Données projet'!$E$12+1,1))-AVERAGE(OFFSET($H$3,0,0,'Données projet'!$E$12+1,1))</f>
        <v>222.86701323374945</v>
      </c>
      <c r="CE82" s="62">
        <f t="shared" si="94"/>
        <v>149.63671045240511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16.835289049065224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16.835289049065224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4.2</v>
      </c>
      <c r="CT82" s="13">
        <f>IF('Données projet'!$A$140&gt;35,CT81+CS82-DB81,IF(A82&lt;'Données projet'!$A$140,$CQ$205^A82,IF(A82='Données projet'!$A$140,'Données projet'!$B$140,CT81+CS82-DB81)))</f>
        <v>239.80000000000007</v>
      </c>
      <c r="CU82" s="18">
        <f>CT82*VLOOKUP('Données projet'!$B$13,Paramètres!$A$1:$I$89,3,0)*VLOOKUP('Données projet'!$B$13,Paramètres!$A$1:$I$89,5,0)</f>
        <v>157.11696000000003</v>
      </c>
      <c r="CV82" s="14">
        <f t="shared" si="95"/>
        <v>40.191551120265856</v>
      </c>
      <c r="CW82" s="22">
        <f t="shared" si="67"/>
        <v>343.6456568677965</v>
      </c>
      <c r="CX82" s="62">
        <f t="shared" si="68"/>
        <v>636.97899020112982</v>
      </c>
      <c r="CY82" s="62">
        <f ca="1">AVERAGE(OFFSET($CX$3,0,0,'Données projet'!$E$13+1,1))-AVERAGE(OFFSET($H$3,0,0,'Données projet'!$E$13+1,1))</f>
        <v>173.15672762188746</v>
      </c>
      <c r="CZ82" s="62">
        <f t="shared" si="96"/>
        <v>208.54841796921414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17.720001504641246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17.720001504641246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9.782</v>
      </c>
      <c r="EJ82" s="13">
        <f>IF('Données projet'!$A$192&gt;35,EJ81+EI82-ER81,IF(A82&lt;'Données projet'!$A$192,$EG$205^A82,IF(A82='Données projet'!$A$192,'Données projet'!$B$192,EJ81+EI82-ER81)))</f>
        <v>510.21799999999996</v>
      </c>
      <c r="EK82" s="18">
        <f>EJ82*VLOOKUP('Données projet'!$B$15,Paramètres!$A$1:$I$89,3,0)*VLOOKUP('Données projet'!$B$15,Paramètres!$A$1:$I$89,5,0)</f>
        <v>305.110364</v>
      </c>
      <c r="EL82" s="14">
        <f t="shared" si="99"/>
        <v>72.246736607705117</v>
      </c>
      <c r="EM82" s="22">
        <f t="shared" si="73"/>
        <v>657.23028355841973</v>
      </c>
      <c r="EN82" s="62">
        <f t="shared" si="74"/>
        <v>950.5636168917531</v>
      </c>
      <c r="EO82" s="62">
        <f ca="1">AVERAGE(OFFSET($EN$3,0,0,'Données projet'!$E$15+1,1))-AVERAGE(OFFSET($H$3,0,0,'Données projet'!$E$15+1,1))</f>
        <v>269.18638759204373</v>
      </c>
      <c r="EP82" s="62">
        <f t="shared" si="100"/>
        <v>197.07126167823969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54.432487006710652</v>
      </c>
      <c r="EW82" s="23">
        <f>EXP(-LN(2)/25)*EW81+(1-EXP(-LN(2)/25))/(LN(2)/25)*Calculateur!ER82*Calculateur!ET82*VLOOKUP('Données projet'!$B$15,Paramètres!$A$1:$I$89,3,0)*0.475*44/12</f>
        <v>11.528640639422488</v>
      </c>
      <c r="EX82" s="23">
        <f>EXP(-LN(2)/2)*EX81+(1-EXP(-LN(2)/2))/(LN(2)/2)*ER82*EU82*VLOOKUP('Données projet'!$B$15,Paramètres!$A$1:$I$89,3,0)*0.475*44/12</f>
        <v>0.1889670510288092</v>
      </c>
      <c r="EY82" s="24">
        <f t="shared" si="75"/>
        <v>66.150094697161947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1.1368683772161603E-13</v>
      </c>
      <c r="FF82" s="18">
        <f>FE82*VLOOKUP('Données projet'!$B$16,Paramètres!$A$1:$I$89,3,0)*VLOOKUP('Données projet'!$B$16,Paramètres!$A$1:$I$89,5,0)</f>
        <v>6.7984728957526396E-14</v>
      </c>
      <c r="FG82" s="14">
        <f t="shared" si="101"/>
        <v>1.0682447123141398E-12</v>
      </c>
      <c r="FH82" s="22">
        <f t="shared" si="76"/>
        <v>1.978932943548152E-12</v>
      </c>
      <c r="FI82" s="62">
        <f t="shared" si="77"/>
        <v>293.3333333333353</v>
      </c>
      <c r="FJ82" s="62">
        <f ca="1">AVERAGE(OFFSET($FI$3,0,0,'Données projet'!$E$16+1,1))-AVERAGE(OFFSET($H$3,0,0,'Données projet'!$E$16+1,1))</f>
        <v>330.48891719033065</v>
      </c>
      <c r="FK82" s="62">
        <f t="shared" si="102"/>
        <v>419.35494198427284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145.90790673925687</v>
      </c>
      <c r="FR82" s="23">
        <f>EXP(-LN(2)/25)*FR81+(1-EXP(-LN(2)/25))/(LN(2)/25)*Calculateur!FM82*Calculateur!FO82*VLOOKUP('Données projet'!$B$16,Paramètres!$A$1:$I$89,3,0)*0.475*44/12</f>
        <v>21.215972162272735</v>
      </c>
      <c r="FS82" s="23">
        <f>EXP(-LN(2)/2)*FS81+(1-EXP(-LN(2)/2))/(LN(2)/2)*FM82*FP82*VLOOKUP('Données projet'!$B$16,Paramètres!$A$1:$I$89,3,0)*0.475*44/12</f>
        <v>1.1994068370190004E-2</v>
      </c>
      <c r="FT82" s="24">
        <f t="shared" si="78"/>
        <v>167.13587296989982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>
        <f>FZ82*VLOOKUP('Données projet'!$B$17,Paramètres!$A$1:$I$89,3,0)*VLOOKUP('Données projet'!$B$17,Paramètres!$A$1:$I$89,5,0)</f>
        <v>0</v>
      </c>
      <c r="GB82" s="14" t="e">
        <f t="shared" si="103"/>
        <v>#NUM!</v>
      </c>
      <c r="GC82" s="22" t="e">
        <f t="shared" si="79"/>
        <v>#NUM!</v>
      </c>
      <c r="GD82" s="62" t="e">
        <f t="shared" si="80"/>
        <v>#NUM!</v>
      </c>
      <c r="GE82" s="62">
        <f ca="1">AVERAGE(OFFSET($GD$3,0,0,'Données projet'!$E$17+1,1))-AVERAGE(OFFSET($H$3,0,0,'Données projet'!$E$17+1,1))</f>
        <v>132.18258156780018</v>
      </c>
      <c r="GF82" s="62">
        <f t="shared" si="104"/>
        <v>315.58133946947294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16.436166328276087</v>
      </c>
      <c r="GM82" s="23">
        <f>EXP(-LN(2)/25)*GM81+(1-EXP(-LN(2)/25))/(LN(2)/25)*Calculateur!GH82*Calculateur!GJ82*VLOOKUP('Données projet'!$B$17,Paramètres!$A$1:$I$89,3,0)*0.475*44/12</f>
        <v>4.769030440948689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21.205196769224777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9">
        <f t="shared" si="56"/>
        <v>415.31735020294059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8.6770000000000014</v>
      </c>
      <c r="N83" s="14">
        <f>IF('Données projet'!$A$36&gt;35,N82+M83-V82,IF(A83&lt;'Données projet'!$A$36,$K$205^A83,IF(A83='Données projet'!$A$36,'Données projet'!$B$36,N82+M83-V82)))</f>
        <v>290.64200000000017</v>
      </c>
      <c r="O83" s="14">
        <f>N83*VLOOKUP('Données projet'!$B$9,Paramètres!$A$1:$I$89,3,0)*VLOOKUP('Données projet'!$B$9,Paramètres!$A$1:$I$89,5,0)</f>
        <v>262.97288160000016</v>
      </c>
      <c r="P83" s="14">
        <f t="shared" si="87"/>
        <v>63.355656254051972</v>
      </c>
      <c r="Q83" s="22">
        <f t="shared" si="54"/>
        <v>568.35553676247412</v>
      </c>
      <c r="R83" s="62">
        <f t="shared" si="55"/>
        <v>861.68887009580749</v>
      </c>
      <c r="S83" s="62">
        <f ca="1">AVERAGE(OFFSET($R$3,0,0,'Données projet'!$E$9+1,1))-AVERAGE(OFFSET($H$3,0,0,'Données projet'!$E$9+1,1))</f>
        <v>401.86262166363821</v>
      </c>
      <c r="T83" s="62">
        <f t="shared" si="88"/>
        <v>208.60314230781432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18.062249799261814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18.062249799261814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8.6770000000000014</v>
      </c>
      <c r="AI83" s="14">
        <f>IF('Données projet'!$A$62&gt;35,AI82+AH83-AQ82,IF(A83&lt;'Données projet'!$A$62,$AF$205^A83,IF(A83='Données projet'!$A$62,'Données projet'!$B$62,AI82+AH83-AQ82)))</f>
        <v>290.64200000000017</v>
      </c>
      <c r="AJ83" s="14">
        <f>AI83*VLOOKUP('Données projet'!$B$10,Paramètres!$A$1:$I$89,3,0)*VLOOKUP('Données projet'!$B$10,Paramètres!$A$1:$I$89,5,0)</f>
        <v>312.84704880000015</v>
      </c>
      <c r="AK83" s="14">
        <f t="shared" si="89"/>
        <v>73.863090550124298</v>
      </c>
      <c r="AL83" s="22">
        <f t="shared" si="58"/>
        <v>673.52015936813336</v>
      </c>
      <c r="AM83" s="62">
        <f t="shared" si="59"/>
        <v>966.85349270146662</v>
      </c>
      <c r="AN83" s="62">
        <f ca="1">AVERAGE(OFFSET($AM$3,0,0,'Données projet'!$E$10+1,1))-AVERAGE(OFFSET($H$3,0,0,'Données projet'!$E$10+1,1))</f>
        <v>407.22515465568205</v>
      </c>
      <c r="AO83" s="62">
        <f t="shared" si="90"/>
        <v>251.6218558398258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21.487848899121811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21.487848899121811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8.6770000000000014</v>
      </c>
      <c r="BD83" s="13">
        <f>IF('Données projet'!$A$88&gt;35,BD82+BC83-BL82,IF(A83&lt;'Données projet'!$A$88,$BA$205^A83,IF(A83='Données projet'!$A$88,'Données projet'!$B$88,BD82+BC83-BL82)))</f>
        <v>290.64200000000017</v>
      </c>
      <c r="BE83" s="14">
        <f>BD83*VLOOKUP('Données projet'!$B$11,Paramètres!$A$1:$I$89,3,0)*VLOOKUP('Données projet'!$B$11,Paramètres!$A$1:$I$89,5,0)</f>
        <v>281.10894240000016</v>
      </c>
      <c r="BF83" s="14">
        <f t="shared" si="91"/>
        <v>67.20130634962284</v>
      </c>
      <c r="BG83" s="22">
        <f t="shared" si="61"/>
        <v>606.64034990559333</v>
      </c>
      <c r="BH83" s="62">
        <f t="shared" si="62"/>
        <v>899.9736832389267</v>
      </c>
      <c r="BI83" s="62">
        <f ca="1">AVERAGE(OFFSET($BH$3,0,0,'Données projet'!$E$11+1,1))-AVERAGE(OFFSET($H$3,0,0,'Données projet'!$E$11+1,1))</f>
        <v>357.76044008074308</v>
      </c>
      <c r="BJ83" s="62">
        <f t="shared" si="92"/>
        <v>224.26555772810445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19.307922199210903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19.307922199210903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8.6770000000000014</v>
      </c>
      <c r="BY83" s="13">
        <f>IF('Données projet'!$A$114&gt;35,BY82+BX83-CG82,IF(A83&lt;'Données projet'!$A$114,$BV$205^A83,IF(A83='Données projet'!$A$114,'Données projet'!$B$114,BY82+BX83-CG82)))</f>
        <v>290.64200000000017</v>
      </c>
      <c r="BZ83" s="14">
        <f>BY83*VLOOKUP('Données projet'!$B$12,Paramètres!$A$1:$I$89,3,0)*VLOOKUP('Données projet'!$B$12,Paramètres!$A$1:$I$89,5,0)</f>
        <v>194.96265360000012</v>
      </c>
      <c r="CA83" s="14">
        <f t="shared" si="93"/>
        <v>48.635473237693247</v>
      </c>
      <c r="CB83" s="22">
        <f t="shared" si="64"/>
        <v>424.2667375756493</v>
      </c>
      <c r="CC83" s="62">
        <f t="shared" si="65"/>
        <v>717.60007090898262</v>
      </c>
      <c r="CD83" s="62">
        <f ca="1">AVERAGE(OFFSET($CC$3,0,0,'Données projet'!$E$12+1,1))-AVERAGE(OFFSET($H$3,0,0,'Données projet'!$E$12+1,1))</f>
        <v>222.86701323374945</v>
      </c>
      <c r="CE83" s="62">
        <f t="shared" si="94"/>
        <v>149.63671045240511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16.505159299325445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16.505159299325445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244</v>
      </c>
      <c r="CR83" s="13">
        <f>VLOOKUP(A83,'Données projet'!$A$139:$I$159,9,0)</f>
        <v>4.2</v>
      </c>
      <c r="CS83" s="13">
        <f t="array" ref="CS83">INDEX(CR:CR,MIN(IF(ISNUMBER(CR83:CR279),ROW(CR83:CR279),"")))</f>
        <v>4.2</v>
      </c>
      <c r="CT83" s="13">
        <f>IF('Données projet'!$A$140&gt;35,CT82+CS83-DB82,IF(A83&lt;'Données projet'!$A$140,$CQ$205^A83,IF(A83='Données projet'!$A$140,'Données projet'!$B$140,CT82+CS83-DB82)))</f>
        <v>244.00000000000006</v>
      </c>
      <c r="CU83" s="18">
        <f>CT83*VLOOKUP('Données projet'!$B$13,Paramètres!$A$1:$I$89,3,0)*VLOOKUP('Données projet'!$B$13,Paramètres!$A$1:$I$89,5,0)</f>
        <v>159.86880000000002</v>
      </c>
      <c r="CV83" s="14">
        <f t="shared" si="95"/>
        <v>40.812921467768035</v>
      </c>
      <c r="CW83" s="22">
        <f t="shared" si="67"/>
        <v>349.52066488969604</v>
      </c>
      <c r="CX83" s="62">
        <f t="shared" si="68"/>
        <v>642.85399822302929</v>
      </c>
      <c r="CY83" s="62">
        <f ca="1">AVERAGE(OFFSET($CX$3,0,0,'Données projet'!$E$13+1,1))-AVERAGE(OFFSET($H$3,0,0,'Données projet'!$E$13+1,1))</f>
        <v>173.15672762188746</v>
      </c>
      <c r="CZ83" s="62">
        <f t="shared" si="96"/>
        <v>208.54841796921414</v>
      </c>
      <c r="DA83" s="16">
        <f>IF(ISNA(VLOOKUP(A83,'Données projet'!$A$139:$I$159,3,0)),0,VLOOKUP(A83,'Données projet'!$A$139:$I$159,3,0))</f>
        <v>15</v>
      </c>
      <c r="DB83" s="16">
        <f>IF(ISNA(VLOOKUP(A83,'Données projet'!$A$139:$I$159,4,0)),0,VLOOKUP(A83,'Données projet'!$A$139:$I$159,4,0))</f>
        <v>16</v>
      </c>
      <c r="DC83" s="17">
        <f>IF(ISNA(VLOOKUP(A83,'Données projet'!$A$139:$I$159,5,0)),0%,VLOOKUP(A83,'Données projet'!$A$139:$I$159,5,0)*VLOOKUP('Données projet'!$B$13,Paramètres!$A$1:$I$89,7,0))</f>
        <v>0.30099999999999999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20.860772075167599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20.860772075167599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520</v>
      </c>
      <c r="EH83" s="13">
        <f>VLOOKUP(A83,'Données projet'!$A$191:$I$211,9,0)</f>
        <v>9.782</v>
      </c>
      <c r="EI83" s="13">
        <f t="array" ref="EI83">INDEX(EH:EH,MIN(IF(ISNUMBER(EH83:EH279),ROW(EH83:EH279),"")))</f>
        <v>9.782</v>
      </c>
      <c r="EJ83" s="13">
        <f>IF('Données projet'!$A$192&gt;35,EJ82+EI83-ER82,IF(A83&lt;'Données projet'!$A$192,$EG$205^A83,IF(A83='Données projet'!$A$192,'Données projet'!$B$192,EJ82+EI83-ER82)))</f>
        <v>520</v>
      </c>
      <c r="EK83" s="18">
        <f>EJ83*VLOOKUP('Données projet'!$B$15,Paramètres!$A$1:$I$89,3,0)*VLOOKUP('Données projet'!$B$15,Paramètres!$A$1:$I$89,5,0)</f>
        <v>310.96000000000004</v>
      </c>
      <c r="EL83" s="14">
        <f t="shared" si="99"/>
        <v>73.469280288324128</v>
      </c>
      <c r="EM83" s="22">
        <f t="shared" si="73"/>
        <v>669.54766316883126</v>
      </c>
      <c r="EN83" s="62">
        <f t="shared" si="74"/>
        <v>962.88099650216463</v>
      </c>
      <c r="EO83" s="62">
        <f ca="1">AVERAGE(OFFSET($EN$3,0,0,'Données projet'!$E$15+1,1))-AVERAGE(OFFSET($H$3,0,0,'Données projet'!$E$15+1,1))</f>
        <v>269.18638759204373</v>
      </c>
      <c r="EP83" s="62">
        <f t="shared" si="100"/>
        <v>197.07126167823969</v>
      </c>
      <c r="EQ83" s="16">
        <f>IF(ISNA(VLOOKUP(A83,'Données projet'!$A$191:$I$211,3,0)),0,VLOOKUP(A83,'Données projet'!$A$191:$I$211,3,0))</f>
        <v>8</v>
      </c>
      <c r="ER83" s="16">
        <f>IF(ISNA(VLOOKUP(A83,'Données projet'!$A$191:$I$211,4,0)),0,VLOOKUP(A83,'Données projet'!$A$191:$I$211,4,0))</f>
        <v>520</v>
      </c>
      <c r="ES83" s="17">
        <f>IF(ISNA(VLOOKUP(A83,'Données projet'!$A$191:$I$211,5,0)),0%,VLOOKUP(A83,'Données projet'!$A$191:$I$211,5,0)*VLOOKUP('Données projet'!$B$15,Paramètres!$A$1:$I$89,7,0))</f>
        <v>0.36000000000000004</v>
      </c>
      <c r="ET83" s="17">
        <f>IF(ISNA(VLOOKUP(A83,'Données projet'!$A$191:$I$211,6,0)),0%,VLOOKUP(A83,'Données projet'!$A$191:$I$211,6,0)*VLOOKUP('Données projet'!$B$15,Paramètres!$A$1:$I$89,7,0))</f>
        <v>4.9500000000000002E-2</v>
      </c>
      <c r="EU83" s="17">
        <f>IF(ISNA(VLOOKUP(A83,'Données projet'!$A$191:$I$211,7,0)),0%,VLOOKUP(A83,'Données projet'!$A$191:$I$211,7,0))</f>
        <v>0.09</v>
      </c>
      <c r="EV83" s="23">
        <f>EXP(-LN(2)/35)*EV82+(1-EXP(-LN(2)/35))/(LN(2)/35)*ER83*ES83*VLOOKUP('Données projet'!$B$15,Paramètres!$A$1:$I$89,3,0)*0.475*44/12</f>
        <v>201.86815303990045</v>
      </c>
      <c r="EW83" s="23">
        <f>EXP(-LN(2)/25)*EW82+(1-EXP(-LN(2)/25))/(LN(2)/25)*Calculateur!ER83*Calculateur!ET83*VLOOKUP('Données projet'!$B$15,Paramètres!$A$1:$I$89,3,0)*0.475*44/12</f>
        <v>31.552161214259012</v>
      </c>
      <c r="EX83" s="23">
        <f>EXP(-LN(2)/2)*EX82+(1-EXP(-LN(2)/2))/(LN(2)/2)*ER83*EU83*VLOOKUP('Données projet'!$B$15,Paramètres!$A$1:$I$89,3,0)*0.475*44/12</f>
        <v>31.820725854697983</v>
      </c>
      <c r="EY83" s="24">
        <f t="shared" si="75"/>
        <v>265.24104010885742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1.1368683772161603E-13</v>
      </c>
      <c r="FF83" s="18">
        <f>FE83*VLOOKUP('Données projet'!$B$16,Paramètres!$A$1:$I$89,3,0)*VLOOKUP('Données projet'!$B$16,Paramètres!$A$1:$I$89,5,0)</f>
        <v>6.7984728957526396E-14</v>
      </c>
      <c r="FG83" s="14">
        <f t="shared" si="101"/>
        <v>1.0682447123141398E-12</v>
      </c>
      <c r="FH83" s="22">
        <f t="shared" si="76"/>
        <v>1.978932943548152E-12</v>
      </c>
      <c r="FI83" s="62">
        <f t="shared" si="77"/>
        <v>293.3333333333353</v>
      </c>
      <c r="FJ83" s="62">
        <f ca="1">AVERAGE(OFFSET($FI$3,0,0,'Données projet'!$E$16+1,1))-AVERAGE(OFFSET($H$3,0,0,'Données projet'!$E$16+1,1))</f>
        <v>330.48891719033065</v>
      </c>
      <c r="FK83" s="62">
        <f t="shared" si="102"/>
        <v>419.35494198427284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143.04674168313562</v>
      </c>
      <c r="FR83" s="23">
        <f>EXP(-LN(2)/25)*FR82+(1-EXP(-LN(2)/25))/(LN(2)/25)*Calculateur!FM83*Calculateur!FO83*VLOOKUP('Données projet'!$B$16,Paramètres!$A$1:$I$89,3,0)*0.475*44/12</f>
        <v>20.635820287795902</v>
      </c>
      <c r="FS83" s="23">
        <f>EXP(-LN(2)/2)*FS82+(1-EXP(-LN(2)/2))/(LN(2)/2)*FM83*FP83*VLOOKUP('Données projet'!$B$16,Paramètres!$A$1:$I$89,3,0)*0.475*44/12</f>
        <v>8.4810870785764336E-3</v>
      </c>
      <c r="FT83" s="24">
        <f t="shared" si="78"/>
        <v>163.69104305801008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>
        <f>FZ83*VLOOKUP('Données projet'!$B$17,Paramètres!$A$1:$I$89,3,0)*VLOOKUP('Données projet'!$B$17,Paramètres!$A$1:$I$89,5,0)</f>
        <v>0</v>
      </c>
      <c r="GB83" s="14" t="e">
        <f t="shared" si="103"/>
        <v>#NUM!</v>
      </c>
      <c r="GC83" s="22" t="e">
        <f t="shared" si="79"/>
        <v>#NUM!</v>
      </c>
      <c r="GD83" s="62" t="e">
        <f t="shared" si="80"/>
        <v>#NUM!</v>
      </c>
      <c r="GE83" s="62">
        <f ca="1">AVERAGE(OFFSET($GD$3,0,0,'Données projet'!$E$17+1,1))-AVERAGE(OFFSET($H$3,0,0,'Données projet'!$E$17+1,1))</f>
        <v>132.18258156780018</v>
      </c>
      <c r="GF83" s="62">
        <f t="shared" si="104"/>
        <v>315.58133946947294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16.113863131650159</v>
      </c>
      <c r="GM83" s="23">
        <f>EXP(-LN(2)/25)*GM82+(1-EXP(-LN(2)/25))/(LN(2)/25)*Calculateur!GH83*Calculateur!GJ83*VLOOKUP('Données projet'!$B$17,Paramètres!$A$1:$I$89,3,0)*0.475*44/12</f>
        <v>4.6386210527485359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20.752484184398696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9">
        <f t="shared" si="56"/>
        <v>417.24963654057308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8.6770000000000014</v>
      </c>
      <c r="N84" s="14">
        <f>IF('Données projet'!$A$36&gt;35,N83+M84-V83,IF(A84&lt;'Données projet'!$A$36,$K$205^A84,IF(A84='Données projet'!$A$36,'Données projet'!$B$36,N83+M84-V83)))</f>
        <v>299.31900000000019</v>
      </c>
      <c r="O84" s="14">
        <f>N84*VLOOKUP('Données projet'!$B$9,Paramètres!$A$1:$I$89,3,0)*VLOOKUP('Données projet'!$B$9,Paramètres!$A$1:$I$89,5,0)</f>
        <v>270.8238312000002</v>
      </c>
      <c r="P84" s="14">
        <f t="shared" si="87"/>
        <v>65.024076047844915</v>
      </c>
      <c r="Q84" s="22">
        <f t="shared" si="54"/>
        <v>584.93510512333023</v>
      </c>
      <c r="R84" s="62">
        <f t="shared" si="55"/>
        <v>878.26843845666349</v>
      </c>
      <c r="S84" s="62">
        <f ca="1">AVERAGE(OFFSET($R$3,0,0,'Données projet'!$E$9+1,1))-AVERAGE(OFFSET($H$3,0,0,'Données projet'!$E$9+1,1))</f>
        <v>401.86262166363821</v>
      </c>
      <c r="T84" s="62">
        <f t="shared" si="88"/>
        <v>208.60314230781432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17.708060097582841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17.708060097582841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8.6770000000000014</v>
      </c>
      <c r="AI84" s="14">
        <f>IF('Données projet'!$A$62&gt;35,AI83+AH84-AQ83,IF(A84&lt;'Données projet'!$A$62,$AF$205^A84,IF(A84='Données projet'!$A$62,'Données projet'!$B$62,AI83+AH84-AQ83)))</f>
        <v>299.31900000000019</v>
      </c>
      <c r="AJ84" s="14">
        <f>AI84*VLOOKUP('Données projet'!$B$10,Paramètres!$A$1:$I$89,3,0)*VLOOKUP('Données projet'!$B$10,Paramètres!$A$1:$I$89,5,0)</f>
        <v>322.18697160000022</v>
      </c>
      <c r="AK84" s="14">
        <f t="shared" si="89"/>
        <v>75.808215099231475</v>
      </c>
      <c r="AL84" s="22">
        <f t="shared" si="58"/>
        <v>693.17495016782834</v>
      </c>
      <c r="AM84" s="62">
        <f t="shared" si="59"/>
        <v>986.50828350116171</v>
      </c>
      <c r="AN84" s="62">
        <f ca="1">AVERAGE(OFFSET($AM$3,0,0,'Données projet'!$E$10+1,1))-AVERAGE(OFFSET($H$3,0,0,'Données projet'!$E$10+1,1))</f>
        <v>407.22515465568205</v>
      </c>
      <c r="AO84" s="62">
        <f t="shared" si="90"/>
        <v>251.6218558398258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21.066485288503721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21.066485288503721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8.6770000000000014</v>
      </c>
      <c r="BD84" s="13">
        <f>IF('Données projet'!$A$88&gt;35,BD83+BC84-BL83,IF(A84&lt;'Données projet'!$A$88,$BA$205^A84,IF(A84='Données projet'!$A$88,'Données projet'!$B$88,BD83+BC84-BL83)))</f>
        <v>299.31900000000019</v>
      </c>
      <c r="BE84" s="14">
        <f>BD84*VLOOKUP('Données projet'!$B$11,Paramètres!$A$1:$I$89,3,0)*VLOOKUP('Données projet'!$B$11,Paramètres!$A$1:$I$89,5,0)</f>
        <v>289.50133680000016</v>
      </c>
      <c r="BF84" s="14">
        <f t="shared" si="91"/>
        <v>68.970998217904651</v>
      </c>
      <c r="BG84" s="22">
        <f t="shared" si="61"/>
        <v>624.33931682285095</v>
      </c>
      <c r="BH84" s="62">
        <f t="shared" si="62"/>
        <v>917.67265015618432</v>
      </c>
      <c r="BI84" s="62">
        <f ca="1">AVERAGE(OFFSET($BH$3,0,0,'Données projet'!$E$11+1,1))-AVERAGE(OFFSET($H$3,0,0,'Données projet'!$E$11+1,1))</f>
        <v>357.76044008074308</v>
      </c>
      <c r="BJ84" s="62">
        <f t="shared" si="92"/>
        <v>224.26555772810445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18.929305621554068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18.929305621554068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8.6770000000000014</v>
      </c>
      <c r="BY84" s="13">
        <f>IF('Données projet'!$A$114&gt;35,BY83+BX84-CG83,IF(A84&lt;'Données projet'!$A$114,$BV$205^A84,IF(A84='Données projet'!$A$114,'Données projet'!$B$114,BY83+BX84-CG83)))</f>
        <v>299.31900000000019</v>
      </c>
      <c r="BZ84" s="14">
        <f>BY84*VLOOKUP('Données projet'!$B$12,Paramètres!$A$1:$I$89,3,0)*VLOOKUP('Données projet'!$B$12,Paramètres!$A$1:$I$89,5,0)</f>
        <v>200.78318520000013</v>
      </c>
      <c r="CA84" s="14">
        <f t="shared" si="93"/>
        <v>49.916248957304894</v>
      </c>
      <c r="CB84" s="22">
        <f t="shared" si="64"/>
        <v>436.6348478239729</v>
      </c>
      <c r="CC84" s="62">
        <f t="shared" si="65"/>
        <v>729.96818115730616</v>
      </c>
      <c r="CD84" s="62">
        <f ca="1">AVERAGE(OFFSET($CC$3,0,0,'Données projet'!$E$12+1,1))-AVERAGE(OFFSET($H$3,0,0,'Données projet'!$E$12+1,1))</f>
        <v>222.86701323374945</v>
      </c>
      <c r="CE84" s="62">
        <f t="shared" si="94"/>
        <v>149.63671045240511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16.181503192618798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16.181503192618798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3.8</v>
      </c>
      <c r="CT84" s="13">
        <f>IF('Données projet'!$A$140&gt;35,CT83+CS84-DB83,IF(A84&lt;'Données projet'!$A$140,$CQ$205^A84,IF(A84='Données projet'!$A$140,'Données projet'!$B$140,CT83+CS84-DB83)))</f>
        <v>231.80000000000007</v>
      </c>
      <c r="CU84" s="18">
        <f>CT84*VLOOKUP('Données projet'!$B$13,Paramètres!$A$1:$I$89,3,0)*VLOOKUP('Données projet'!$B$13,Paramètres!$A$1:$I$89,5,0)</f>
        <v>151.87536000000003</v>
      </c>
      <c r="CV84" s="14">
        <f t="shared" si="95"/>
        <v>39.004459236504758</v>
      </c>
      <c r="CW84" s="22">
        <f t="shared" si="67"/>
        <v>332.44901850357911</v>
      </c>
      <c r="CX84" s="62">
        <f t="shared" si="68"/>
        <v>625.78235183691243</v>
      </c>
      <c r="CY84" s="62">
        <f ca="1">AVERAGE(OFFSET($CX$3,0,0,'Données projet'!$E$13+1,1))-AVERAGE(OFFSET($H$3,0,0,'Données projet'!$E$13+1,1))</f>
        <v>173.15672762188746</v>
      </c>
      <c r="CZ84" s="62">
        <f t="shared" si="96"/>
        <v>208.54841796921414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20.451705058588157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20.451705058588157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>
        <f>EJ84*VLOOKUP('Données projet'!$B$15,Paramètres!$A$1:$I$89,3,0)*VLOOKUP('Données projet'!$B$15,Paramètres!$A$1:$I$89,5,0)</f>
        <v>0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269.18638759204373</v>
      </c>
      <c r="EP84" s="62">
        <f t="shared" si="100"/>
        <v>197.07126167823969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197.90964168620354</v>
      </c>
      <c r="EW84" s="23">
        <f>EXP(-LN(2)/25)*EW83+(1-EXP(-LN(2)/25))/(LN(2)/25)*Calculateur!ER84*Calculateur!ET84*VLOOKUP('Données projet'!$B$15,Paramètres!$A$1:$I$89,3,0)*0.475*44/12</f>
        <v>30.689365706599055</v>
      </c>
      <c r="EX84" s="23">
        <f>EXP(-LN(2)/2)*EX83+(1-EXP(-LN(2)/2))/(LN(2)/2)*ER84*EU84*VLOOKUP('Données projet'!$B$15,Paramètres!$A$1:$I$89,3,0)*0.475*44/12</f>
        <v>22.500651034135043</v>
      </c>
      <c r="EY84" s="24">
        <f t="shared" si="75"/>
        <v>251.09965842693765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1.1368683772161603E-13</v>
      </c>
      <c r="FF84" s="18">
        <f>FE84*VLOOKUP('Données projet'!$B$16,Paramètres!$A$1:$I$89,3,0)*VLOOKUP('Données projet'!$B$16,Paramètres!$A$1:$I$89,5,0)</f>
        <v>6.7984728957526396E-14</v>
      </c>
      <c r="FG84" s="14">
        <f t="shared" si="101"/>
        <v>1.0682447123141398E-12</v>
      </c>
      <c r="FH84" s="22">
        <f t="shared" si="76"/>
        <v>1.978932943548152E-12</v>
      </c>
      <c r="FI84" s="62">
        <f t="shared" si="77"/>
        <v>293.3333333333353</v>
      </c>
      <c r="FJ84" s="62">
        <f ca="1">AVERAGE(OFFSET($FI$3,0,0,'Données projet'!$E$16+1,1))-AVERAGE(OFFSET($H$3,0,0,'Données projet'!$E$16+1,1))</f>
        <v>330.48891719033065</v>
      </c>
      <c r="FK84" s="62">
        <f t="shared" si="102"/>
        <v>419.35494198427284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140.24168232862655</v>
      </c>
      <c r="FR84" s="23">
        <f>EXP(-LN(2)/25)*FR83+(1-EXP(-LN(2)/25))/(LN(2)/25)*Calculateur!FM84*Calculateur!FO84*VLOOKUP('Données projet'!$B$16,Paramètres!$A$1:$I$89,3,0)*0.475*44/12</f>
        <v>20.071532696835497</v>
      </c>
      <c r="FS84" s="23">
        <f>EXP(-LN(2)/2)*FS83+(1-EXP(-LN(2)/2))/(LN(2)/2)*FM84*FP84*VLOOKUP('Données projet'!$B$16,Paramètres!$A$1:$I$89,3,0)*0.475*44/12</f>
        <v>5.9970341850950019E-3</v>
      </c>
      <c r="FT84" s="24">
        <f t="shared" si="78"/>
        <v>160.31921205964716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>
        <f>FZ84*VLOOKUP('Données projet'!$B$17,Paramètres!$A$1:$I$89,3,0)*VLOOKUP('Données projet'!$B$17,Paramètres!$A$1:$I$89,5,0)</f>
        <v>0</v>
      </c>
      <c r="GB84" s="14" t="e">
        <f t="shared" si="103"/>
        <v>#NUM!</v>
      </c>
      <c r="GC84" s="22" t="e">
        <f t="shared" si="79"/>
        <v>#NUM!</v>
      </c>
      <c r="GD84" s="62" t="e">
        <f t="shared" si="80"/>
        <v>#NUM!</v>
      </c>
      <c r="GE84" s="62">
        <f ca="1">AVERAGE(OFFSET($GD$3,0,0,'Données projet'!$E$17+1,1))-AVERAGE(OFFSET($H$3,0,0,'Données projet'!$E$17+1,1))</f>
        <v>132.18258156780018</v>
      </c>
      <c r="GF84" s="62">
        <f t="shared" si="104"/>
        <v>315.58133946947294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15.797880104124527</v>
      </c>
      <c r="GM84" s="23">
        <f>EXP(-LN(2)/25)*GM83+(1-EXP(-LN(2)/25))/(LN(2)/25)*Calculateur!GH84*Calculateur!GJ84*VLOOKUP('Données projet'!$B$17,Paramètres!$A$1:$I$89,3,0)*0.475*44/12</f>
        <v>4.5117777161266481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20.309657820251175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9">
        <f t="shared" si="56"/>
        <v>419.18137201715149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8.6770000000000014</v>
      </c>
      <c r="N85" s="14">
        <f>IF('Données projet'!$A$36&gt;35,N84+M85-V84,IF(A85&lt;'Données projet'!$A$36,$K$205^A85,IF(A85='Données projet'!$A$36,'Données projet'!$B$36,N84+M85-V84)))</f>
        <v>307.99600000000021</v>
      </c>
      <c r="O85" s="14">
        <f>N85*VLOOKUP('Données projet'!$B$9,Paramètres!$A$1:$I$89,3,0)*VLOOKUP('Données projet'!$B$9,Paramètres!$A$1:$I$89,5,0)</f>
        <v>278.67478080000018</v>
      </c>
      <c r="P85" s="14">
        <f t="shared" si="87"/>
        <v>66.686874688958113</v>
      </c>
      <c r="Q85" s="22">
        <f t="shared" si="54"/>
        <v>601.50488330993562</v>
      </c>
      <c r="R85" s="62">
        <f t="shared" si="55"/>
        <v>894.83821664326888</v>
      </c>
      <c r="S85" s="62">
        <f ca="1">AVERAGE(OFFSET($R$3,0,0,'Données projet'!$E$9+1,1))-AVERAGE(OFFSET($H$3,0,0,'Données projet'!$E$9+1,1))</f>
        <v>401.86262166363821</v>
      </c>
      <c r="T85" s="62">
        <f t="shared" si="88"/>
        <v>208.60314230781432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17.360815839919407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17.360815839919407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8.6770000000000014</v>
      </c>
      <c r="AI85" s="14">
        <f>IF('Données projet'!$A$62&gt;35,AI84+AH85-AQ84,IF(A85&lt;'Données projet'!$A$62,$AF$205^A85,IF(A85='Données projet'!$A$62,'Données projet'!$B$62,AI84+AH85-AQ84)))</f>
        <v>307.99600000000021</v>
      </c>
      <c r="AJ85" s="14">
        <f>AI85*VLOOKUP('Données projet'!$B$10,Paramètres!$A$1:$I$89,3,0)*VLOOKUP('Données projet'!$B$10,Paramètres!$A$1:$I$89,5,0)</f>
        <v>331.52689440000023</v>
      </c>
      <c r="AK85" s="14">
        <f t="shared" si="89"/>
        <v>77.746786236474065</v>
      </c>
      <c r="AL85" s="22">
        <f t="shared" si="58"/>
        <v>712.81832710852598</v>
      </c>
      <c r="AM85" s="62">
        <f t="shared" si="59"/>
        <v>1006.1516604418593</v>
      </c>
      <c r="AN85" s="62">
        <f ca="1">AVERAGE(OFFSET($AM$3,0,0,'Données projet'!$E$10+1,1))-AVERAGE(OFFSET($H$3,0,0,'Données projet'!$E$10+1,1))</f>
        <v>407.22515465568205</v>
      </c>
      <c r="AO85" s="62">
        <f t="shared" si="90"/>
        <v>251.6218558398258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20.653384361283425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20.653384361283425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8.6770000000000014</v>
      </c>
      <c r="BD85" s="13">
        <f>IF('Données projet'!$A$88&gt;35,BD84+BC85-BL84,IF(A85&lt;'Données projet'!$A$88,$BA$205^A85,IF(A85='Données projet'!$A$88,'Données projet'!$B$88,BD84+BC85-BL84)))</f>
        <v>307.99600000000021</v>
      </c>
      <c r="BE85" s="14">
        <f>BD85*VLOOKUP('Données projet'!$B$11,Paramètres!$A$1:$I$89,3,0)*VLOOKUP('Données projet'!$B$11,Paramètres!$A$1:$I$89,5,0)</f>
        <v>297.89373120000022</v>
      </c>
      <c r="BF85" s="14">
        <f t="shared" si="91"/>
        <v>70.734727732931788</v>
      </c>
      <c r="BG85" s="22">
        <f t="shared" si="61"/>
        <v>642.02789930818994</v>
      </c>
      <c r="BH85" s="62">
        <f t="shared" si="62"/>
        <v>935.3612326415232</v>
      </c>
      <c r="BI85" s="62">
        <f ca="1">AVERAGE(OFFSET($BH$3,0,0,'Données projet'!$E$11+1,1))-AVERAGE(OFFSET($H$3,0,0,'Données projet'!$E$11+1,1))</f>
        <v>357.76044008074308</v>
      </c>
      <c r="BJ85" s="62">
        <f t="shared" si="92"/>
        <v>224.26555772810445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18.558113484051773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18.558113484051773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8.6770000000000014</v>
      </c>
      <c r="BY85" s="13">
        <f>IF('Données projet'!$A$114&gt;35,BY84+BX85-CG84,IF(A85&lt;'Données projet'!$A$114,$BV$205^A85,IF(A85='Données projet'!$A$114,'Données projet'!$B$114,BY84+BX85-CG84)))</f>
        <v>307.99600000000021</v>
      </c>
      <c r="BZ85" s="14">
        <f>BY85*VLOOKUP('Données projet'!$B$12,Paramètres!$A$1:$I$89,3,0)*VLOOKUP('Données projet'!$B$12,Paramètres!$A$1:$I$89,5,0)</f>
        <v>206.60371680000011</v>
      </c>
      <c r="CA85" s="14">
        <f t="shared" si="93"/>
        <v>51.192709554370559</v>
      </c>
      <c r="CB85" s="22">
        <f t="shared" si="64"/>
        <v>448.9954425671956</v>
      </c>
      <c r="CC85" s="62">
        <f t="shared" si="65"/>
        <v>742.32877590052885</v>
      </c>
      <c r="CD85" s="62">
        <f ca="1">AVERAGE(OFFSET($CC$3,0,0,'Données projet'!$E$12+1,1))-AVERAGE(OFFSET($H$3,0,0,'Données projet'!$E$12+1,1))</f>
        <v>222.86701323374945</v>
      </c>
      <c r="CE85" s="62">
        <f t="shared" si="94"/>
        <v>149.63671045240511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15.864193784753935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15.864193784753935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3.8</v>
      </c>
      <c r="CT85" s="13">
        <f>IF('Données projet'!$A$140&gt;35,CT84+CS85-DB84,IF(A85&lt;'Données projet'!$A$140,$CQ$205^A85,IF(A85='Données projet'!$A$140,'Données projet'!$B$140,CT84+CS85-DB84)))</f>
        <v>235.60000000000008</v>
      </c>
      <c r="CU85" s="18">
        <f>CT85*VLOOKUP('Données projet'!$B$13,Paramètres!$A$1:$I$89,3,0)*VLOOKUP('Données projet'!$B$13,Paramètres!$A$1:$I$89,5,0)</f>
        <v>154.36512000000005</v>
      </c>
      <c r="CV85" s="14">
        <f t="shared" si="95"/>
        <v>39.568912624848309</v>
      </c>
      <c r="CW85" s="22">
        <f t="shared" si="67"/>
        <v>337.76844015494419</v>
      </c>
      <c r="CX85" s="62">
        <f t="shared" si="68"/>
        <v>631.10177348827756</v>
      </c>
      <c r="CY85" s="62">
        <f ca="1">AVERAGE(OFFSET($CX$3,0,0,'Données projet'!$E$13+1,1))-AVERAGE(OFFSET($H$3,0,0,'Données projet'!$E$13+1,1))</f>
        <v>173.15672762188746</v>
      </c>
      <c r="CZ85" s="62">
        <f t="shared" si="96"/>
        <v>208.54841796921414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20.050659596697592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20.050659596697592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>
        <f>EJ85*VLOOKUP('Données projet'!$B$15,Paramètres!$A$1:$I$89,3,0)*VLOOKUP('Données projet'!$B$15,Paramètres!$A$1:$I$89,5,0)</f>
        <v>0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269.18638759204373</v>
      </c>
      <c r="EP85" s="62">
        <f t="shared" si="100"/>
        <v>197.07126167823969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194.02875432569911</v>
      </c>
      <c r="EW85" s="23">
        <f>EXP(-LN(2)/25)*EW84+(1-EXP(-LN(2)/25))/(LN(2)/25)*Calculateur!ER85*Calculateur!ET85*VLOOKUP('Données projet'!$B$15,Paramètres!$A$1:$I$89,3,0)*0.475*44/12</f>
        <v>29.850163387468502</v>
      </c>
      <c r="EX85" s="23">
        <f>EXP(-LN(2)/2)*EX84+(1-EXP(-LN(2)/2))/(LN(2)/2)*ER85*EU85*VLOOKUP('Données projet'!$B$15,Paramètres!$A$1:$I$89,3,0)*0.475*44/12</f>
        <v>15.910362927348993</v>
      </c>
      <c r="EY85" s="24">
        <f t="shared" si="75"/>
        <v>239.78928064051661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1.1368683772161603E-13</v>
      </c>
      <c r="FF85" s="18">
        <f>FE85*VLOOKUP('Données projet'!$B$16,Paramètres!$A$1:$I$89,3,0)*VLOOKUP('Données projet'!$B$16,Paramètres!$A$1:$I$89,5,0)</f>
        <v>6.7984728957526396E-14</v>
      </c>
      <c r="FG85" s="14">
        <f t="shared" si="101"/>
        <v>1.0682447123141398E-12</v>
      </c>
      <c r="FH85" s="22">
        <f t="shared" si="76"/>
        <v>1.978932943548152E-12</v>
      </c>
      <c r="FI85" s="62">
        <f t="shared" si="77"/>
        <v>293.3333333333353</v>
      </c>
      <c r="FJ85" s="62">
        <f ca="1">AVERAGE(OFFSET($FI$3,0,0,'Données projet'!$E$16+1,1))-AVERAGE(OFFSET($H$3,0,0,'Données projet'!$E$16+1,1))</f>
        <v>330.48891719033065</v>
      </c>
      <c r="FK85" s="62">
        <f t="shared" si="102"/>
        <v>419.35494198427284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137.49162847714214</v>
      </c>
      <c r="FR85" s="23">
        <f>EXP(-LN(2)/25)*FR84+(1-EXP(-LN(2)/25))/(LN(2)/25)*Calculateur!FM85*Calculateur!FO85*VLOOKUP('Données projet'!$B$16,Paramètres!$A$1:$I$89,3,0)*0.475*44/12</f>
        <v>19.522675579724499</v>
      </c>
      <c r="FS85" s="23">
        <f>EXP(-LN(2)/2)*FS84+(1-EXP(-LN(2)/2))/(LN(2)/2)*FM85*FP85*VLOOKUP('Données projet'!$B$16,Paramètres!$A$1:$I$89,3,0)*0.475*44/12</f>
        <v>4.2405435392882168E-3</v>
      </c>
      <c r="FT85" s="24">
        <f t="shared" si="78"/>
        <v>157.01854460040593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>
        <f>FZ85*VLOOKUP('Données projet'!$B$17,Paramètres!$A$1:$I$89,3,0)*VLOOKUP('Données projet'!$B$17,Paramètres!$A$1:$I$89,5,0)</f>
        <v>0</v>
      </c>
      <c r="GB85" s="14" t="e">
        <f t="shared" si="103"/>
        <v>#NUM!</v>
      </c>
      <c r="GC85" s="22" t="e">
        <f t="shared" si="79"/>
        <v>#NUM!</v>
      </c>
      <c r="GD85" s="62" t="e">
        <f t="shared" si="80"/>
        <v>#NUM!</v>
      </c>
      <c r="GE85" s="62">
        <f ca="1">AVERAGE(OFFSET($GD$3,0,0,'Données projet'!$E$17+1,1))-AVERAGE(OFFSET($H$3,0,0,'Données projet'!$E$17+1,1))</f>
        <v>132.18258156780018</v>
      </c>
      <c r="GF85" s="62">
        <f t="shared" si="104"/>
        <v>315.58133946947294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15.488093311038057</v>
      </c>
      <c r="GM85" s="23">
        <f>EXP(-LN(2)/25)*GM84+(1-EXP(-LN(2)/25))/(LN(2)/25)*Calculateur!GH85*Calculateur!GJ85*VLOOKUP('Données projet'!$B$17,Paramètres!$A$1:$I$89,3,0)*0.475*44/12</f>
        <v>4.3884029172150862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19.876496228253142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9">
        <f t="shared" si="56"/>
        <v>421.1125641275006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8.6770000000000014</v>
      </c>
      <c r="N86" s="14">
        <f>IF('Données projet'!$A$36&gt;35,N85+M86-V85,IF(A86&lt;'Données projet'!$A$36,$K$205^A86,IF(A86='Données projet'!$A$36,'Données projet'!$B$36,N85+M86-V85)))</f>
        <v>316.67300000000023</v>
      </c>
      <c r="O86" s="14">
        <f>N86*VLOOKUP('Données projet'!$B$9,Paramètres!$A$1:$I$89,3,0)*VLOOKUP('Données projet'!$B$9,Paramètres!$A$1:$I$89,5,0)</f>
        <v>286.52573040000021</v>
      </c>
      <c r="P86" s="14">
        <f t="shared" si="87"/>
        <v>68.344228730046424</v>
      </c>
      <c r="Q86" s="22">
        <f t="shared" si="54"/>
        <v>618.06517881816455</v>
      </c>
      <c r="R86" s="62">
        <f t="shared" si="55"/>
        <v>911.39851215149793</v>
      </c>
      <c r="S86" s="62">
        <f ca="1">AVERAGE(OFFSET($R$3,0,0,'Données projet'!$E$9+1,1))-AVERAGE(OFFSET($H$3,0,0,'Données projet'!$E$9+1,1))</f>
        <v>401.86262166363821</v>
      </c>
      <c r="T86" s="62">
        <f t="shared" si="88"/>
        <v>208.60314230781432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17.020380830350668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17.020380830350668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8.6770000000000014</v>
      </c>
      <c r="AI86" s="14">
        <f>IF('Données projet'!$A$62&gt;35,AI85+AH86-AQ85,IF(A86&lt;'Données projet'!$A$62,$AF$205^A86,IF(A86='Données projet'!$A$62,'Données projet'!$B$62,AI85+AH86-AQ85)))</f>
        <v>316.67300000000023</v>
      </c>
      <c r="AJ86" s="14">
        <f>AI86*VLOOKUP('Données projet'!$B$10,Paramètres!$A$1:$I$89,3,0)*VLOOKUP('Données projet'!$B$10,Paramètres!$A$1:$I$89,5,0)</f>
        <v>340.86681720000024</v>
      </c>
      <c r="AK86" s="14">
        <f t="shared" si="89"/>
        <v>79.679009795482443</v>
      </c>
      <c r="AL86" s="22">
        <f t="shared" si="58"/>
        <v>732.45064868379905</v>
      </c>
      <c r="AM86" s="62">
        <f t="shared" si="59"/>
        <v>1025.7839820171323</v>
      </c>
      <c r="AN86" s="62">
        <f ca="1">AVERAGE(OFFSET($AM$3,0,0,'Données projet'!$E$10+1,1))-AVERAGE(OFFSET($H$3,0,0,'Données projet'!$E$10+1,1))</f>
        <v>407.22515465568205</v>
      </c>
      <c r="AO86" s="62">
        <f t="shared" si="90"/>
        <v>251.6218558398258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20.248384091279235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20.248384091279235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8.6770000000000014</v>
      </c>
      <c r="BD86" s="13">
        <f>IF('Données projet'!$A$88&gt;35,BD85+BC86-BL85,IF(A86&lt;'Données projet'!$A$88,$BA$205^A86,IF(A86='Données projet'!$A$88,'Données projet'!$B$88,BD85+BC86-BL85)))</f>
        <v>316.67300000000023</v>
      </c>
      <c r="BE86" s="14">
        <f>BD86*VLOOKUP('Données projet'!$B$11,Paramètres!$A$1:$I$89,3,0)*VLOOKUP('Données projet'!$B$11,Paramètres!$A$1:$I$89,5,0)</f>
        <v>306.28612560000022</v>
      </c>
      <c r="BF86" s="14">
        <f t="shared" si="91"/>
        <v>72.492682163998609</v>
      </c>
      <c r="BG86" s="22">
        <f t="shared" si="61"/>
        <v>659.70642352229788</v>
      </c>
      <c r="BH86" s="62">
        <f t="shared" si="62"/>
        <v>953.03975685563114</v>
      </c>
      <c r="BI86" s="62">
        <f ca="1">AVERAGE(OFFSET($BH$3,0,0,'Données projet'!$E$11+1,1))-AVERAGE(OFFSET($H$3,0,0,'Données projet'!$E$11+1,1))</f>
        <v>357.76044008074308</v>
      </c>
      <c r="BJ86" s="62">
        <f t="shared" si="92"/>
        <v>224.26555772810445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18.194200197961052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18.194200197961052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8.6770000000000014</v>
      </c>
      <c r="BY86" s="13">
        <f>IF('Données projet'!$A$114&gt;35,BY85+BX86-CG85,IF(A86&lt;'Données projet'!$A$114,$BV$205^A86,IF(A86='Données projet'!$A$114,'Données projet'!$B$114,BY85+BX86-CG85)))</f>
        <v>316.67300000000023</v>
      </c>
      <c r="BZ86" s="14">
        <f>BY86*VLOOKUP('Données projet'!$B$12,Paramètres!$A$1:$I$89,3,0)*VLOOKUP('Données projet'!$B$12,Paramètres!$A$1:$I$89,5,0)</f>
        <v>212.42424840000018</v>
      </c>
      <c r="CA86" s="14">
        <f t="shared" si="93"/>
        <v>52.464990560939327</v>
      </c>
      <c r="CB86" s="22">
        <f t="shared" si="64"/>
        <v>461.3487578569696</v>
      </c>
      <c r="CC86" s="62">
        <f t="shared" si="65"/>
        <v>754.68209119030291</v>
      </c>
      <c r="CD86" s="62">
        <f ca="1">AVERAGE(OFFSET($CC$3,0,0,'Données projet'!$E$12+1,1))-AVERAGE(OFFSET($H$3,0,0,'Données projet'!$E$12+1,1))</f>
        <v>222.86701323374945</v>
      </c>
      <c r="CE86" s="62">
        <f t="shared" si="94"/>
        <v>149.63671045240511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15.553106620837672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15.553106620837672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3.8</v>
      </c>
      <c r="CT86" s="13">
        <f>IF('Données projet'!$A$140&gt;35,CT85+CS86-DB85,IF(A86&lt;'Données projet'!$A$140,$CQ$205^A86,IF(A86='Données projet'!$A$140,'Données projet'!$B$140,CT85+CS86-DB85)))</f>
        <v>239.40000000000009</v>
      </c>
      <c r="CU86" s="18">
        <f>CT86*VLOOKUP('Données projet'!$B$13,Paramètres!$A$1:$I$89,3,0)*VLOOKUP('Données projet'!$B$13,Paramètres!$A$1:$I$89,5,0)</f>
        <v>156.85488000000007</v>
      </c>
      <c r="CV86" s="14">
        <f t="shared" si="95"/>
        <v>40.132307243083858</v>
      </c>
      <c r="CW86" s="22">
        <f t="shared" si="67"/>
        <v>343.08601778170447</v>
      </c>
      <c r="CX86" s="62">
        <f t="shared" si="68"/>
        <v>636.41935111503778</v>
      </c>
      <c r="CY86" s="62">
        <f ca="1">AVERAGE(OFFSET($CX$3,0,0,'Données projet'!$E$13+1,1))-AVERAGE(OFFSET($H$3,0,0,'Données projet'!$E$13+1,1))</f>
        <v>173.15672762188746</v>
      </c>
      <c r="CZ86" s="62">
        <f t="shared" si="96"/>
        <v>208.54841796921414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19.657478391701126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19.657478391701126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>
        <f>EJ86*VLOOKUP('Données projet'!$B$15,Paramètres!$A$1:$I$89,3,0)*VLOOKUP('Données projet'!$B$15,Paramètres!$A$1:$I$89,5,0)</f>
        <v>0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269.18638759204373</v>
      </c>
      <c r="EP86" s="62">
        <f t="shared" si="100"/>
        <v>197.07126167823969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190.22396879922661</v>
      </c>
      <c r="EW86" s="23">
        <f>EXP(-LN(2)/25)*EW85+(1-EXP(-LN(2)/25))/(LN(2)/25)*Calculateur!ER86*Calculateur!ET86*VLOOKUP('Données projet'!$B$15,Paramètres!$A$1:$I$89,3,0)*0.475*44/12</f>
        <v>29.033909099886305</v>
      </c>
      <c r="EX86" s="23">
        <f>EXP(-LN(2)/2)*EX85+(1-EXP(-LN(2)/2))/(LN(2)/2)*ER86*EU86*VLOOKUP('Données projet'!$B$15,Paramètres!$A$1:$I$89,3,0)*0.475*44/12</f>
        <v>11.250325517067523</v>
      </c>
      <c r="EY86" s="24">
        <f t="shared" si="75"/>
        <v>230.50820341618044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1.1368683772161603E-13</v>
      </c>
      <c r="FF86" s="18">
        <f>FE86*VLOOKUP('Données projet'!$B$16,Paramètres!$A$1:$I$89,3,0)*VLOOKUP('Données projet'!$B$16,Paramètres!$A$1:$I$89,5,0)</f>
        <v>6.7984728957526396E-14</v>
      </c>
      <c r="FG86" s="14">
        <f t="shared" si="101"/>
        <v>1.0682447123141398E-12</v>
      </c>
      <c r="FH86" s="22">
        <f t="shared" si="76"/>
        <v>1.978932943548152E-12</v>
      </c>
      <c r="FI86" s="62">
        <f t="shared" si="77"/>
        <v>293.3333333333353</v>
      </c>
      <c r="FJ86" s="62">
        <f ca="1">AVERAGE(OFFSET($FI$3,0,0,'Données projet'!$E$16+1,1))-AVERAGE(OFFSET($H$3,0,0,'Données projet'!$E$16+1,1))</f>
        <v>330.48891719033065</v>
      </c>
      <c r="FK86" s="62">
        <f t="shared" si="102"/>
        <v>419.35494198427284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134.79550150431811</v>
      </c>
      <c r="FR86" s="23">
        <f>EXP(-LN(2)/25)*FR85+(1-EXP(-LN(2)/25))/(LN(2)/25)*Calculateur!FM86*Calculateur!FO86*VLOOKUP('Données projet'!$B$16,Paramètres!$A$1:$I$89,3,0)*0.475*44/12</f>
        <v>18.988826989344044</v>
      </c>
      <c r="FS86" s="23">
        <f>EXP(-LN(2)/2)*FS85+(1-EXP(-LN(2)/2))/(LN(2)/2)*FM86*FP86*VLOOKUP('Données projet'!$B$16,Paramètres!$A$1:$I$89,3,0)*0.475*44/12</f>
        <v>2.9985170925475009E-3</v>
      </c>
      <c r="FT86" s="24">
        <f t="shared" si="78"/>
        <v>153.78732701075469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>
        <f>FZ86*VLOOKUP('Données projet'!$B$17,Paramètres!$A$1:$I$89,3,0)*VLOOKUP('Données projet'!$B$17,Paramètres!$A$1:$I$89,5,0)</f>
        <v>0</v>
      </c>
      <c r="GB86" s="14" t="e">
        <f t="shared" si="103"/>
        <v>#NUM!</v>
      </c>
      <c r="GC86" s="22" t="e">
        <f t="shared" si="79"/>
        <v>#NUM!</v>
      </c>
      <c r="GD86" s="62" t="e">
        <f t="shared" si="80"/>
        <v>#NUM!</v>
      </c>
      <c r="GE86" s="62">
        <f ca="1">AVERAGE(OFFSET($GD$3,0,0,'Données projet'!$E$17+1,1))-AVERAGE(OFFSET($H$3,0,0,'Données projet'!$E$17+1,1))</f>
        <v>132.18258156780018</v>
      </c>
      <c r="GF86" s="62">
        <f t="shared" si="104"/>
        <v>315.58133946947294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15.184381248012725</v>
      </c>
      <c r="GM86" s="23">
        <f>EXP(-LN(2)/25)*GM85+(1-EXP(-LN(2)/25))/(LN(2)/25)*Calculateur!GH86*Calculateur!GJ86*VLOOKUP('Données projet'!$B$17,Paramètres!$A$1:$I$89,3,0)*0.475*44/12</f>
        <v>4.2684018086677602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19.452783056680484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9">
        <f t="shared" si="56"/>
        <v>423.0432201754565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325.35000000000002</v>
      </c>
      <c r="L87" s="13">
        <f>VLOOKUP(A87,'Données projet'!$A$35:$I$55,9,0)</f>
        <v>8.6770000000000014</v>
      </c>
      <c r="M87" s="13">
        <f t="array" ref="M87">INDEX(L:L,MIN(IF(ISNUMBER(L87:L283),ROW(L87:L283),"")))</f>
        <v>8.6770000000000014</v>
      </c>
      <c r="N87" s="14">
        <f>IF('Données projet'!$A$36&gt;35,N86+M87-V86,IF(A87&lt;'Données projet'!$A$36,$K$205^A87,IF(A87='Données projet'!$A$36,'Données projet'!$B$36,N86+M87-V86)))</f>
        <v>325.35000000000025</v>
      </c>
      <c r="O87" s="14">
        <f>N87*VLOOKUP('Données projet'!$B$9,Paramètres!$A$1:$I$89,3,0)*VLOOKUP('Données projet'!$B$9,Paramètres!$A$1:$I$89,5,0)</f>
        <v>294.37668000000025</v>
      </c>
      <c r="P87" s="14">
        <f t="shared" si="87"/>
        <v>69.99630449784344</v>
      </c>
      <c r="Q87" s="22">
        <f t="shared" si="54"/>
        <v>634.61628133374438</v>
      </c>
      <c r="R87" s="62">
        <f t="shared" si="55"/>
        <v>927.94961466707764</v>
      </c>
      <c r="S87" s="62">
        <f ca="1">AVERAGE(OFFSET($R$3,0,0,'Données projet'!$E$9+1,1))-AVERAGE(OFFSET($H$3,0,0,'Données projet'!$E$9+1,1))</f>
        <v>401.86262166363821</v>
      </c>
      <c r="T87" s="62">
        <f t="shared" si="88"/>
        <v>208.60314230781432</v>
      </c>
      <c r="U87" s="16">
        <f>IF(ISNA(VLOOKUP(A87,'Données projet'!$A$35:$I$55,3,0)),0,VLOOKUP(A87,'Données projet'!$A$35:$I$55,3,0))</f>
        <v>6</v>
      </c>
      <c r="V87" s="16">
        <f>IF(ISNA(VLOOKUP(A87,'Données projet'!$A$35:$I$55,4,0)),0,VLOOKUP(A87,'Données projet'!$A$35:$I$55,4,0))</f>
        <v>61.47</v>
      </c>
      <c r="W87" s="17">
        <f>IF(ISNA(VLOOKUP(A87,'Données projet'!$A$35:$I$55,5,0)),0%,VLOOKUP(A87,'Données projet'!$A$35:$I$55,5,0)*VLOOKUP('Données projet'!$B$9,Paramètres!$A$1:$I$89,7,0))</f>
        <v>0.17200000000000001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27.26188906140996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27.26188906140996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>
        <f>VLOOKUP(A87,'Données projet'!$A$61:$I$81,2,0)</f>
        <v>325.35000000000002</v>
      </c>
      <c r="AG87" s="13">
        <f>VLOOKUP(A87,'Données projet'!$A$61:$I$81,9,0)</f>
        <v>8.6770000000000014</v>
      </c>
      <c r="AH87" s="13">
        <f t="array" ref="AH87">INDEX(AG:AG,MIN(IF(ISNUMBER(AG87:AG283),ROW(AG87:AG283),"")))</f>
        <v>8.6770000000000014</v>
      </c>
      <c r="AI87" s="14">
        <f>IF('Données projet'!$A$62&gt;35,AI86+AH87-AQ86,IF(A87&lt;'Données projet'!$A$62,$AF$205^A87,IF(A87='Données projet'!$A$62,'Données projet'!$B$62,AI86+AH87-AQ86)))</f>
        <v>325.35000000000025</v>
      </c>
      <c r="AJ87" s="14">
        <f>AI87*VLOOKUP('Données projet'!$B$10,Paramètres!$A$1:$I$89,3,0)*VLOOKUP('Données projet'!$B$10,Paramètres!$A$1:$I$89,5,0)</f>
        <v>350.20674000000025</v>
      </c>
      <c r="AK87" s="14">
        <f t="shared" si="89"/>
        <v>81.605079688013205</v>
      </c>
      <c r="AL87" s="22">
        <f t="shared" si="58"/>
        <v>752.07225262328996</v>
      </c>
      <c r="AM87" s="62">
        <f t="shared" si="59"/>
        <v>1045.4055859566233</v>
      </c>
      <c r="AN87" s="62">
        <f ca="1">AVERAGE(OFFSET($AM$3,0,0,'Données projet'!$E$10+1,1))-AVERAGE(OFFSET($H$3,0,0,'Données projet'!$E$10+1,1))</f>
        <v>407.22515465568205</v>
      </c>
      <c r="AO87" s="62">
        <f t="shared" si="90"/>
        <v>251.6218558398258</v>
      </c>
      <c r="AP87" s="16">
        <f>IF(ISNA(VLOOKUP(A87,'Données projet'!$A$61:$I$81,3,0)),0,VLOOKUP(A87,'Données projet'!$A$61:$I$81,3,0))</f>
        <v>6</v>
      </c>
      <c r="AQ87" s="16">
        <f>IF(ISNA(VLOOKUP(A87,'Données projet'!$A$61:$I$81,4,0)),0,VLOOKUP(A87,'Données projet'!$A$61:$I$81,4,0))</f>
        <v>61.47</v>
      </c>
      <c r="AR87" s="17">
        <f>IF(ISNA(VLOOKUP(A87,'Données projet'!$A$61:$I$81,5,0)),0%,VLOOKUP(A87,'Données projet'!$A$61:$I$81,5,0)*VLOOKUP('Données projet'!$B$10,Paramètres!$A$1:$I$89,7,0))</f>
        <v>0.17200000000000001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32.432247331677353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32.432247331677353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>
        <f>VLOOKUP(A87,'Données projet'!$A$87:$I$107,2,0)</f>
        <v>325.35000000000002</v>
      </c>
      <c r="BB87" s="13">
        <f>VLOOKUP(A87,'Données projet'!$A$87:$I$107,9,0)</f>
        <v>8.6770000000000014</v>
      </c>
      <c r="BC87" s="13">
        <f t="array" ref="BC87">INDEX(BB:BB,MIN(IF(ISNUMBER(BB87:BB283),ROW(BB87:BB283),"")))</f>
        <v>8.6770000000000014</v>
      </c>
      <c r="BD87" s="13">
        <f>IF('Données projet'!$A$88&gt;35,BD86+BC87-BL86,IF(A87&lt;'Données projet'!$A$88,$BA$205^A87,IF(A87='Données projet'!$A$88,'Données projet'!$B$88,BD86+BC87-BL86)))</f>
        <v>325.35000000000025</v>
      </c>
      <c r="BE87" s="14">
        <f>BD87*VLOOKUP('Données projet'!$B$11,Paramètres!$A$1:$I$89,3,0)*VLOOKUP('Données projet'!$B$11,Paramètres!$A$1:$I$89,5,0)</f>
        <v>314.67852000000028</v>
      </c>
      <c r="BF87" s="14">
        <f t="shared" si="91"/>
        <v>74.245037933771187</v>
      </c>
      <c r="BG87" s="22">
        <f t="shared" si="61"/>
        <v>677.37519673465192</v>
      </c>
      <c r="BH87" s="62">
        <f t="shared" si="62"/>
        <v>970.70853006798529</v>
      </c>
      <c r="BI87" s="62">
        <f ca="1">AVERAGE(OFFSET($BH$3,0,0,'Données projet'!$E$11+1,1))-AVERAGE(OFFSET($H$3,0,0,'Données projet'!$E$11+1,1))</f>
        <v>357.76044008074308</v>
      </c>
      <c r="BJ87" s="62">
        <f t="shared" si="92"/>
        <v>224.26555772810445</v>
      </c>
      <c r="BK87" s="16">
        <f>IF(ISNA(VLOOKUP(A87,'Données projet'!$A$87:$I$107,3,0)),0,VLOOKUP(A87,'Données projet'!$A$87:$I$107,3,0))</f>
        <v>6</v>
      </c>
      <c r="BL87" s="16">
        <f>IF(ISNA(VLOOKUP(A87,'Données projet'!$A$87:$I$107,4,0)),0,VLOOKUP(A87,'Données projet'!$A$87:$I$107,4,0))</f>
        <v>61.47</v>
      </c>
      <c r="BM87" s="17">
        <f>IF(ISNA(VLOOKUP(A87,'Données projet'!$A$87:$I$107,5,0)),0%,VLOOKUP(A87,'Données projet'!$A$87:$I$107,5,0)*VLOOKUP('Données projet'!$B$11,Paramètres!$A$1:$I$89,7,0))</f>
        <v>0.17200000000000001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29.142019341507194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29.142019341507194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>
        <f>VLOOKUP(A87,'Données projet'!$A$113:$I$133,2,0)</f>
        <v>325.35000000000002</v>
      </c>
      <c r="BW87" s="13">
        <f>VLOOKUP(A87,'Données projet'!$A$113:$I$133,9,0)</f>
        <v>8.6770000000000014</v>
      </c>
      <c r="BX87" s="13">
        <f t="array" ref="BX87">INDEX(BW:BW,MIN(IF(ISNUMBER(BW87:BW283),ROW(BW87:BW283),"")))</f>
        <v>8.6770000000000014</v>
      </c>
      <c r="BY87" s="13">
        <f>IF('Données projet'!$A$114&gt;35,BY86+BX87-CG86,IF(A87&lt;'Données projet'!$A$114,$BV$205^A87,IF(A87='Données projet'!$A$114,'Données projet'!$B$114,BY86+BX87-CG86)))</f>
        <v>325.35000000000025</v>
      </c>
      <c r="BZ87" s="14">
        <f>BY87*VLOOKUP('Données projet'!$B$12,Paramètres!$A$1:$I$89,3,0)*VLOOKUP('Données projet'!$B$12,Paramètres!$A$1:$I$89,5,0)</f>
        <v>218.24478000000016</v>
      </c>
      <c r="CA87" s="14">
        <f t="shared" si="93"/>
        <v>53.733219659050746</v>
      </c>
      <c r="CB87" s="22">
        <f t="shared" si="64"/>
        <v>473.69501607284701</v>
      </c>
      <c r="CC87" s="62">
        <f t="shared" si="65"/>
        <v>767.02834940618027</v>
      </c>
      <c r="CD87" s="62">
        <f ca="1">AVERAGE(OFFSET($CC$3,0,0,'Données projet'!$E$12+1,1))-AVERAGE(OFFSET($H$3,0,0,'Données projet'!$E$12+1,1))</f>
        <v>222.86701323374945</v>
      </c>
      <c r="CE87" s="62">
        <f t="shared" si="94"/>
        <v>149.63671045240511</v>
      </c>
      <c r="CF87" s="16">
        <f>IF(ISNA(VLOOKUP(A87,'Données projet'!$A$113:$I$133,3,0)),0,VLOOKUP(A87,'Données projet'!$A$113:$I$133,3,0))</f>
        <v>6</v>
      </c>
      <c r="CG87" s="16">
        <f>IF(ISNA(VLOOKUP(A87,'Données projet'!$A$113:$I$133,4,0)),0,VLOOKUP(A87,'Données projet'!$A$113:$I$133,4,0))</f>
        <v>61.47</v>
      </c>
      <c r="CH87" s="17">
        <f>IF(ISNA(VLOOKUP(A87,'Données projet'!$A$113:$I$133,5,0)),0%,VLOOKUP(A87,'Données projet'!$A$113:$I$133,5,0)*VLOOKUP('Données projet'!$B$12,Paramètres!$A$1:$I$89,7,0))</f>
        <v>0.21200000000000002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24.911726211288403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24.911726211288403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3.8</v>
      </c>
      <c r="CT87" s="13">
        <f>IF('Données projet'!$A$140&gt;35,CT86+CS87-DB86,IF(A87&lt;'Données projet'!$A$140,$CQ$205^A87,IF(A87='Données projet'!$A$140,'Données projet'!$B$140,CT86+CS87-DB86)))</f>
        <v>243.2000000000001</v>
      </c>
      <c r="CU87" s="18">
        <f>CT87*VLOOKUP('Données projet'!$B$13,Paramètres!$A$1:$I$89,3,0)*VLOOKUP('Données projet'!$B$13,Paramètres!$A$1:$I$89,5,0)</f>
        <v>159.34464000000006</v>
      </c>
      <c r="CV87" s="14">
        <f t="shared" si="95"/>
        <v>40.694661837553809</v>
      </c>
      <c r="CW87" s="22">
        <f t="shared" si="67"/>
        <v>348.40178403373966</v>
      </c>
      <c r="CX87" s="62">
        <f t="shared" si="68"/>
        <v>641.73511736707292</v>
      </c>
      <c r="CY87" s="62">
        <f ca="1">AVERAGE(OFFSET($CX$3,0,0,'Données projet'!$E$13+1,1))-AVERAGE(OFFSET($H$3,0,0,'Données projet'!$E$13+1,1))</f>
        <v>173.15672762188746</v>
      </c>
      <c r="CZ87" s="62">
        <f t="shared" si="96"/>
        <v>208.54841796921414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19.272007230317783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19.272007230317783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>
        <f>EJ87*VLOOKUP('Données projet'!$B$15,Paramètres!$A$1:$I$89,3,0)*VLOOKUP('Données projet'!$B$15,Paramètres!$A$1:$I$89,5,0)</f>
        <v>0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269.18638759204373</v>
      </c>
      <c r="EP87" s="62">
        <f t="shared" si="100"/>
        <v>197.07126167823969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186.49379279623821</v>
      </c>
      <c r="EW87" s="23">
        <f>EXP(-LN(2)/25)*EW86+(1-EXP(-LN(2)/25))/(LN(2)/25)*Calculateur!ER87*Calculateur!ET87*VLOOKUP('Données projet'!$B$15,Paramètres!$A$1:$I$89,3,0)*0.475*44/12</f>
        <v>28.239975328722991</v>
      </c>
      <c r="EX87" s="23">
        <f>EXP(-LN(2)/2)*EX86+(1-EXP(-LN(2)/2))/(LN(2)/2)*ER87*EU87*VLOOKUP('Données projet'!$B$15,Paramètres!$A$1:$I$89,3,0)*0.475*44/12</f>
        <v>7.9551814636744975</v>
      </c>
      <c r="EY87" s="24">
        <f t="shared" si="75"/>
        <v>222.68894958863572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1.1368683772161603E-13</v>
      </c>
      <c r="FF87" s="18">
        <f>FE87*VLOOKUP('Données projet'!$B$16,Paramètres!$A$1:$I$89,3,0)*VLOOKUP('Données projet'!$B$16,Paramètres!$A$1:$I$89,5,0)</f>
        <v>6.7984728957526396E-14</v>
      </c>
      <c r="FG87" s="14">
        <f t="shared" si="101"/>
        <v>1.0682447123141398E-12</v>
      </c>
      <c r="FH87" s="22">
        <f t="shared" si="76"/>
        <v>1.978932943548152E-12</v>
      </c>
      <c r="FI87" s="62">
        <f t="shared" si="77"/>
        <v>293.3333333333353</v>
      </c>
      <c r="FJ87" s="62">
        <f ca="1">AVERAGE(OFFSET($FI$3,0,0,'Données projet'!$E$16+1,1))-AVERAGE(OFFSET($H$3,0,0,'Données projet'!$E$16+1,1))</f>
        <v>330.48891719033065</v>
      </c>
      <c r="FK87" s="62">
        <f t="shared" si="102"/>
        <v>419.35494198427284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132.15224393695607</v>
      </c>
      <c r="FR87" s="23">
        <f>EXP(-LN(2)/25)*FR86+(1-EXP(-LN(2)/25))/(LN(2)/25)*Calculateur!FM87*Calculateur!FO87*VLOOKUP('Données projet'!$B$16,Paramètres!$A$1:$I$89,3,0)*0.475*44/12</f>
        <v>18.469576516741419</v>
      </c>
      <c r="FS87" s="23">
        <f>EXP(-LN(2)/2)*FS86+(1-EXP(-LN(2)/2))/(LN(2)/2)*FM87*FP87*VLOOKUP('Données projet'!$B$16,Paramètres!$A$1:$I$89,3,0)*0.475*44/12</f>
        <v>2.1202717696441084E-3</v>
      </c>
      <c r="FT87" s="24">
        <f t="shared" si="78"/>
        <v>150.62394072546715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>
        <f>FZ87*VLOOKUP('Données projet'!$B$17,Paramètres!$A$1:$I$89,3,0)*VLOOKUP('Données projet'!$B$17,Paramètres!$A$1:$I$89,5,0)</f>
        <v>0</v>
      </c>
      <c r="GB87" s="14" t="e">
        <f t="shared" si="103"/>
        <v>#NUM!</v>
      </c>
      <c r="GC87" s="22" t="e">
        <f t="shared" si="79"/>
        <v>#NUM!</v>
      </c>
      <c r="GD87" s="62" t="e">
        <f t="shared" si="80"/>
        <v>#NUM!</v>
      </c>
      <c r="GE87" s="62">
        <f ca="1">AVERAGE(OFFSET($GD$3,0,0,'Données projet'!$E$17+1,1))-AVERAGE(OFFSET($H$3,0,0,'Données projet'!$E$17+1,1))</f>
        <v>132.18258156780018</v>
      </c>
      <c r="GF87" s="62">
        <f t="shared" si="104"/>
        <v>315.58133946947294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14.886624793297255</v>
      </c>
      <c r="GM87" s="23">
        <f>EXP(-LN(2)/25)*GM86+(1-EXP(-LN(2)/25))/(LN(2)/25)*Calculateur!GH87*Calculateur!GJ87*VLOOKUP('Données projet'!$B$17,Paramètres!$A$1:$I$89,3,0)*0.475*44/12</f>
        <v>4.1516821367442445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19.0383069300415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9">
        <f t="shared" si="56"/>
        <v>424.97334728094779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8.2910000000000021</v>
      </c>
      <c r="N88" s="14">
        <f>IF('Données projet'!$A$36&gt;35,N87+M88-V87,IF(A88&lt;'Données projet'!$A$36,$K$205^A88,IF(A88='Données projet'!$A$36,'Données projet'!$B$36,N87+M88-V87)))</f>
        <v>272.17100000000028</v>
      </c>
      <c r="O88" s="14">
        <f>N88*VLOOKUP('Données projet'!$B$9,Paramètres!$A$1:$I$89,3,0)*VLOOKUP('Données projet'!$B$9,Paramètres!$A$1:$I$89,5,0)</f>
        <v>246.26032080000024</v>
      </c>
      <c r="P88" s="14">
        <f t="shared" si="87"/>
        <v>59.784443753506842</v>
      </c>
      <c r="Q88" s="22">
        <f t="shared" si="54"/>
        <v>533.02796493069138</v>
      </c>
      <c r="R88" s="62">
        <f t="shared" si="55"/>
        <v>826.36129826402475</v>
      </c>
      <c r="S88" s="62">
        <f ca="1">AVERAGE(OFFSET($R$3,0,0,'Données projet'!$E$9+1,1))-AVERAGE(OFFSET($H$3,0,0,'Données projet'!$E$9+1,1))</f>
        <v>401.86262166363821</v>
      </c>
      <c r="T88" s="62">
        <f t="shared" si="88"/>
        <v>208.60314230781432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26.727300045026148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26.727300045026148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8.2910000000000021</v>
      </c>
      <c r="AI88" s="14">
        <f>IF('Données projet'!$A$62&gt;35,AI87+AH88-AQ87,IF(A88&lt;'Données projet'!$A$62,$AF$205^A88,IF(A88='Données projet'!$A$62,'Données projet'!$B$62,AI87+AH88-AQ87)))</f>
        <v>272.17100000000028</v>
      </c>
      <c r="AJ88" s="14">
        <f>AI88*VLOOKUP('Données projet'!$B$10,Paramètres!$A$1:$I$89,3,0)*VLOOKUP('Données projet'!$B$10,Paramètres!$A$1:$I$89,5,0)</f>
        <v>292.96486440000029</v>
      </c>
      <c r="AK88" s="14">
        <f t="shared" si="89"/>
        <v>69.699598166054386</v>
      </c>
      <c r="AL88" s="22">
        <f t="shared" si="58"/>
        <v>631.64060563587861</v>
      </c>
      <c r="AM88" s="62">
        <f t="shared" si="59"/>
        <v>924.97393896921199</v>
      </c>
      <c r="AN88" s="62">
        <f ca="1">AVERAGE(OFFSET($AM$3,0,0,'Données projet'!$E$10+1,1))-AVERAGE(OFFSET($H$3,0,0,'Données projet'!$E$10+1,1))</f>
        <v>407.22515465568205</v>
      </c>
      <c r="AO88" s="62">
        <f t="shared" si="90"/>
        <v>251.6218558398258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31.796270743220749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31.796270743220749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8.2910000000000021</v>
      </c>
      <c r="BD88" s="13">
        <f>IF('Données projet'!$A$88&gt;35,BD87+BC88-BL87,IF(A88&lt;'Données projet'!$A$88,$BA$205^A88,IF(A88='Données projet'!$A$88,'Données projet'!$B$88,BD87+BC88-BL87)))</f>
        <v>272.17100000000028</v>
      </c>
      <c r="BE88" s="14">
        <f>BD88*VLOOKUP('Données projet'!$B$11,Paramètres!$A$1:$I$89,3,0)*VLOOKUP('Données projet'!$B$11,Paramètres!$A$1:$I$89,5,0)</f>
        <v>263.24379120000026</v>
      </c>
      <c r="BF88" s="14">
        <f t="shared" si="91"/>
        <v>63.413323405741842</v>
      </c>
      <c r="BG88" s="22">
        <f t="shared" si="61"/>
        <v>568.92780793833413</v>
      </c>
      <c r="BH88" s="62">
        <f t="shared" si="62"/>
        <v>862.26114127166738</v>
      </c>
      <c r="BI88" s="62">
        <f ca="1">AVERAGE(OFFSET($BH$3,0,0,'Données projet'!$E$11+1,1))-AVERAGE(OFFSET($H$3,0,0,'Données projet'!$E$11+1,1))</f>
        <v>357.76044008074308</v>
      </c>
      <c r="BJ88" s="62">
        <f t="shared" si="92"/>
        <v>224.26555772810445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28.570562117096912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28.570562117096912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8.2910000000000021</v>
      </c>
      <c r="BY88" s="13">
        <f>IF('Données projet'!$A$114&gt;35,BY87+BX88-CG87,IF(A88&lt;'Données projet'!$A$114,$BV$205^A88,IF(A88='Données projet'!$A$114,'Données projet'!$B$114,BY87+BX88-CG87)))</f>
        <v>272.17100000000028</v>
      </c>
      <c r="BZ88" s="14">
        <f>BY88*VLOOKUP('Données projet'!$B$12,Paramètres!$A$1:$I$89,3,0)*VLOOKUP('Données projet'!$B$12,Paramètres!$A$1:$I$89,5,0)</f>
        <v>182.57230680000018</v>
      </c>
      <c r="CA88" s="14">
        <f t="shared" si="93"/>
        <v>45.894003568435856</v>
      </c>
      <c r="CB88" s="22">
        <f t="shared" si="64"/>
        <v>397.91215722502608</v>
      </c>
      <c r="CC88" s="62">
        <f t="shared" si="65"/>
        <v>691.24549055835939</v>
      </c>
      <c r="CD88" s="62">
        <f ca="1">AVERAGE(OFFSET($CC$3,0,0,'Données projet'!$E$12+1,1))-AVERAGE(OFFSET($H$3,0,0,'Données projet'!$E$12+1,1))</f>
        <v>222.86701323374945</v>
      </c>
      <c r="CE88" s="62">
        <f t="shared" si="94"/>
        <v>149.63671045240511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24.42322245493768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24.42322245493768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247</v>
      </c>
      <c r="CR88" s="13">
        <f>VLOOKUP(A88,'Données projet'!$A$139:$I$159,9,0)</f>
        <v>3.8</v>
      </c>
      <c r="CS88" s="13">
        <f t="array" ref="CS88">INDEX(CR:CR,MIN(IF(ISNUMBER(CR88:CR284),ROW(CR88:CR284),"")))</f>
        <v>3.8</v>
      </c>
      <c r="CT88" s="13">
        <f>IF('Données projet'!$A$140&gt;35,CT87+CS88-DB87,IF(A88&lt;'Données projet'!$A$140,$CQ$205^A88,IF(A88='Données projet'!$A$140,'Données projet'!$B$140,CT87+CS88-DB87)))</f>
        <v>247.00000000000011</v>
      </c>
      <c r="CU88" s="18">
        <f>CT88*VLOOKUP('Données projet'!$B$13,Paramètres!$A$1:$I$89,3,0)*VLOOKUP('Données projet'!$B$13,Paramètres!$A$1:$I$89,5,0)</f>
        <v>161.83440000000007</v>
      </c>
      <c r="CV88" s="14">
        <f t="shared" si="95"/>
        <v>41.255994535170515</v>
      </c>
      <c r="CW88" s="22">
        <f t="shared" si="67"/>
        <v>353.71577048208877</v>
      </c>
      <c r="CX88" s="62">
        <f t="shared" si="68"/>
        <v>647.04910381542209</v>
      </c>
      <c r="CY88" s="62">
        <f ca="1">AVERAGE(OFFSET($CX$3,0,0,'Données projet'!$E$13+1,1))-AVERAGE(OFFSET($H$3,0,0,'Données projet'!$E$13+1,1))</f>
        <v>173.15672762188746</v>
      </c>
      <c r="CZ88" s="62">
        <f t="shared" si="96"/>
        <v>208.54841796921414</v>
      </c>
      <c r="DA88" s="16">
        <f>IF(ISNA(VLOOKUP(A88,'Données projet'!$A$139:$I$159,3,0)),0,VLOOKUP(A88,'Données projet'!$A$139:$I$159,3,0))</f>
        <v>16</v>
      </c>
      <c r="DB88" s="16">
        <f>IF(ISNA(VLOOKUP(A88,'Données projet'!$A$139:$I$159,4,0)),0,VLOOKUP(A88,'Données projet'!$A$139:$I$159,4,0))</f>
        <v>15</v>
      </c>
      <c r="DC88" s="17">
        <f>IF(ISNA(VLOOKUP(A88,'Données projet'!$A$139:$I$159,5,0)),0%,VLOOKUP(A88,'Données projet'!$A$139:$I$159,5,0)*VLOOKUP('Données projet'!$B$13,Paramètres!$A$1:$I$89,7,0))</f>
        <v>0.30099999999999999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22.164328353199977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22.164328353199977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>
        <f>EJ88*VLOOKUP('Données projet'!$B$15,Paramètres!$A$1:$I$89,3,0)*VLOOKUP('Données projet'!$B$15,Paramètres!$A$1:$I$89,5,0)</f>
        <v>0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269.18638759204373</v>
      </c>
      <c r="EP88" s="62">
        <f t="shared" si="100"/>
        <v>197.07126167823969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182.83676326948571</v>
      </c>
      <c r="EW88" s="23">
        <f>EXP(-LN(2)/25)*EW87+(1-EXP(-LN(2)/25))/(LN(2)/25)*Calculateur!ER88*Calculateur!ET88*VLOOKUP('Données projet'!$B$15,Paramètres!$A$1:$I$89,3,0)*0.475*44/12</f>
        <v>27.467751718283303</v>
      </c>
      <c r="EX88" s="23">
        <f>EXP(-LN(2)/2)*EX87+(1-EXP(-LN(2)/2))/(LN(2)/2)*ER88*EU88*VLOOKUP('Données projet'!$B$15,Paramètres!$A$1:$I$89,3,0)*0.475*44/12</f>
        <v>5.6251627585337625</v>
      </c>
      <c r="EY88" s="24">
        <f t="shared" si="75"/>
        <v>215.92967774630279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1.1368683772161603E-13</v>
      </c>
      <c r="FF88" s="18">
        <f>FE88*VLOOKUP('Données projet'!$B$16,Paramètres!$A$1:$I$89,3,0)*VLOOKUP('Données projet'!$B$16,Paramètres!$A$1:$I$89,5,0)</f>
        <v>6.7984728957526396E-14</v>
      </c>
      <c r="FG88" s="14">
        <f t="shared" si="101"/>
        <v>1.0682447123141398E-12</v>
      </c>
      <c r="FH88" s="22">
        <f t="shared" si="76"/>
        <v>1.978932943548152E-12</v>
      </c>
      <c r="FI88" s="62">
        <f t="shared" si="77"/>
        <v>293.3333333333353</v>
      </c>
      <c r="FJ88" s="62">
        <f ca="1">AVERAGE(OFFSET($FI$3,0,0,'Données projet'!$E$16+1,1))-AVERAGE(OFFSET($H$3,0,0,'Données projet'!$E$16+1,1))</f>
        <v>330.48891719033065</v>
      </c>
      <c r="FK88" s="62">
        <f t="shared" si="102"/>
        <v>419.35494198427284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129.56081903826208</v>
      </c>
      <c r="FR88" s="23">
        <f>EXP(-LN(2)/25)*FR87+(1-EXP(-LN(2)/25))/(LN(2)/25)*Calculateur!FM88*Calculateur!FO88*VLOOKUP('Données projet'!$B$16,Paramètres!$A$1:$I$89,3,0)*0.475*44/12</f>
        <v>17.964524975618311</v>
      </c>
      <c r="FS88" s="23">
        <f>EXP(-LN(2)/2)*FS87+(1-EXP(-LN(2)/2))/(LN(2)/2)*FM88*FP88*VLOOKUP('Données projet'!$B$16,Paramètres!$A$1:$I$89,3,0)*0.475*44/12</f>
        <v>1.4992585462737505E-3</v>
      </c>
      <c r="FT88" s="24">
        <f t="shared" si="78"/>
        <v>147.52684327242665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>
        <f>FZ88*VLOOKUP('Données projet'!$B$17,Paramètres!$A$1:$I$89,3,0)*VLOOKUP('Données projet'!$B$17,Paramètres!$A$1:$I$89,5,0)</f>
        <v>0</v>
      </c>
      <c r="GB88" s="14" t="e">
        <f t="shared" si="103"/>
        <v>#NUM!</v>
      </c>
      <c r="GC88" s="22" t="e">
        <f t="shared" si="79"/>
        <v>#NUM!</v>
      </c>
      <c r="GD88" s="62" t="e">
        <f t="shared" si="80"/>
        <v>#NUM!</v>
      </c>
      <c r="GE88" s="62">
        <f ca="1">AVERAGE(OFFSET($GD$3,0,0,'Données projet'!$E$17+1,1))-AVERAGE(OFFSET($H$3,0,0,'Données projet'!$E$17+1,1))</f>
        <v>132.18258156780018</v>
      </c>
      <c r="GF88" s="62">
        <f t="shared" si="104"/>
        <v>315.58133946947294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14.59470716104525</v>
      </c>
      <c r="GM88" s="23">
        <f>EXP(-LN(2)/25)*GM87+(1-EXP(-LN(2)/25))/(LN(2)/25)*Calculateur!GH88*Calculateur!GJ88*VLOOKUP('Données projet'!$B$17,Paramètres!$A$1:$I$89,3,0)*0.475*44/12</f>
        <v>4.0381541703874984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18.63286133143275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9">
        <f t="shared" si="56"/>
        <v>426.9029523867344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8.2910000000000021</v>
      </c>
      <c r="N89" s="14">
        <f>IF('Données projet'!$A$36&gt;35,N88+M89-V88,IF(A89&lt;'Données projet'!$A$36,$K$205^A89,IF(A89='Données projet'!$A$36,'Données projet'!$B$36,N88+M89-V88)))</f>
        <v>280.46200000000027</v>
      </c>
      <c r="O89" s="14">
        <f>N89*VLOOKUP('Données projet'!$B$9,Paramètres!$A$1:$I$89,3,0)*VLOOKUP('Données projet'!$B$9,Paramètres!$A$1:$I$89,5,0)</f>
        <v>253.76201760000023</v>
      </c>
      <c r="P89" s="14">
        <f t="shared" si="87"/>
        <v>61.390818695638195</v>
      </c>
      <c r="Q89" s="22">
        <f t="shared" si="54"/>
        <v>548.89118988157031</v>
      </c>
      <c r="R89" s="62">
        <f t="shared" si="55"/>
        <v>842.22452321490368</v>
      </c>
      <c r="S89" s="62">
        <f ca="1">AVERAGE(OFFSET($R$3,0,0,'Données projet'!$E$9+1,1))-AVERAGE(OFFSET($H$3,0,0,'Données projet'!$E$9+1,1))</f>
        <v>401.86262166363821</v>
      </c>
      <c r="T89" s="62">
        <f t="shared" si="88"/>
        <v>208.60314230781432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26.20319399318652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26.20319399318652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8.2910000000000021</v>
      </c>
      <c r="AI89" s="14">
        <f>IF('Données projet'!$A$62&gt;35,AI88+AH89-AQ88,IF(A89&lt;'Données projet'!$A$62,$AF$205^A89,IF(A89='Données projet'!$A$62,'Données projet'!$B$62,AI88+AH89-AQ88)))</f>
        <v>280.46200000000027</v>
      </c>
      <c r="AJ89" s="14">
        <f>AI89*VLOOKUP('Données projet'!$B$10,Paramètres!$A$1:$I$89,3,0)*VLOOKUP('Données projet'!$B$10,Paramètres!$A$1:$I$89,5,0)</f>
        <v>301.88929680000024</v>
      </c>
      <c r="AK89" s="14">
        <f t="shared" si="89"/>
        <v>71.572387824049713</v>
      </c>
      <c r="AL89" s="22">
        <f t="shared" si="58"/>
        <v>650.44576738688704</v>
      </c>
      <c r="AM89" s="62">
        <f t="shared" si="59"/>
        <v>943.77910072022041</v>
      </c>
      <c r="AN89" s="62">
        <f ca="1">AVERAGE(OFFSET($AM$3,0,0,'Données projet'!$E$10+1,1))-AVERAGE(OFFSET($H$3,0,0,'Données projet'!$E$10+1,1))</f>
        <v>407.22515465568205</v>
      </c>
      <c r="AO89" s="62">
        <f t="shared" si="90"/>
        <v>251.6218558398258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31.172765267756365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31.172765267756365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8.2910000000000021</v>
      </c>
      <c r="BD89" s="13">
        <f>IF('Données projet'!$A$88&gt;35,BD88+BC89-BL88,IF(A89&lt;'Données projet'!$A$88,$BA$205^A89,IF(A89='Données projet'!$A$88,'Données projet'!$B$88,BD88+BC89-BL88)))</f>
        <v>280.46200000000027</v>
      </c>
      <c r="BE89" s="14">
        <f>BD89*VLOOKUP('Données projet'!$B$11,Paramètres!$A$1:$I$89,3,0)*VLOOKUP('Données projet'!$B$11,Paramètres!$A$1:$I$89,5,0)</f>
        <v>271.26284640000029</v>
      </c>
      <c r="BF89" s="14">
        <f t="shared" si="91"/>
        <v>65.117204337314064</v>
      </c>
      <c r="BG89" s="22">
        <f t="shared" si="61"/>
        <v>585.86192170082245</v>
      </c>
      <c r="BH89" s="62">
        <f t="shared" si="62"/>
        <v>879.19525503415571</v>
      </c>
      <c r="BI89" s="62">
        <f ca="1">AVERAGE(OFFSET($BH$3,0,0,'Données projet'!$E$11+1,1))-AVERAGE(OFFSET($H$3,0,0,'Données projet'!$E$11+1,1))</f>
        <v>357.76044008074308</v>
      </c>
      <c r="BJ89" s="62">
        <f t="shared" si="92"/>
        <v>224.26555772810445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28.010310820302827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28.010310820302827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8.2910000000000021</v>
      </c>
      <c r="BY89" s="13">
        <f>IF('Données projet'!$A$114&gt;35,BY88+BX89-CG88,IF(A89&lt;'Données projet'!$A$114,$BV$205^A89,IF(A89='Données projet'!$A$114,'Données projet'!$B$114,BY88+BX89-CG88)))</f>
        <v>280.46200000000027</v>
      </c>
      <c r="BZ89" s="14">
        <f>BY89*VLOOKUP('Données projet'!$B$12,Paramètres!$A$1:$I$89,3,0)*VLOOKUP('Données projet'!$B$12,Paramètres!$A$1:$I$89,5,0)</f>
        <v>188.13390960000018</v>
      </c>
      <c r="CA89" s="14">
        <f t="shared" si="93"/>
        <v>47.12715006437692</v>
      </c>
      <c r="CB89" s="22">
        <f t="shared" si="64"/>
        <v>409.74634558212347</v>
      </c>
      <c r="CC89" s="62">
        <f t="shared" si="65"/>
        <v>703.07967891545673</v>
      </c>
      <c r="CD89" s="62">
        <f ca="1">AVERAGE(OFFSET($CC$3,0,0,'Données projet'!$E$12+1,1))-AVERAGE(OFFSET($H$3,0,0,'Données projet'!$E$12+1,1))</f>
        <v>222.86701323374945</v>
      </c>
      <c r="CE89" s="62">
        <f t="shared" si="94"/>
        <v>149.63671045240511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23.944297959291124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23.944297959291124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3.6</v>
      </c>
      <c r="CT89" s="13">
        <f>IF('Données projet'!$A$140&gt;35,CT88+CS89-DB88,IF(A89&lt;'Données projet'!$A$140,$CQ$205^A89,IF(A89='Données projet'!$A$140,'Données projet'!$B$140,CT88+CS89-DB88)))</f>
        <v>235.60000000000011</v>
      </c>
      <c r="CU89" s="18">
        <f>CT89*VLOOKUP('Données projet'!$B$13,Paramètres!$A$1:$I$89,3,0)*VLOOKUP('Données projet'!$B$13,Paramètres!$A$1:$I$89,5,0)</f>
        <v>154.36512000000008</v>
      </c>
      <c r="CV89" s="14">
        <f t="shared" si="95"/>
        <v>39.568912624848309</v>
      </c>
      <c r="CW89" s="22">
        <f t="shared" si="67"/>
        <v>337.76844015494424</v>
      </c>
      <c r="CX89" s="62">
        <f t="shared" si="68"/>
        <v>631.10177348827756</v>
      </c>
      <c r="CY89" s="62">
        <f ca="1">AVERAGE(OFFSET($CX$3,0,0,'Données projet'!$E$13+1,1))-AVERAGE(OFFSET($H$3,0,0,'Données projet'!$E$13+1,1))</f>
        <v>173.15672762188746</v>
      </c>
      <c r="CZ89" s="62">
        <f t="shared" si="96"/>
        <v>208.54841796921414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21.729699393099139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21.729699393099139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>
        <f>EJ89*VLOOKUP('Données projet'!$B$15,Paramètres!$A$1:$I$89,3,0)*VLOOKUP('Données projet'!$B$15,Paramètres!$A$1:$I$89,5,0)</f>
        <v>0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269.18638759204373</v>
      </c>
      <c r="EP89" s="62">
        <f t="shared" si="100"/>
        <v>197.07126167823969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179.25144586118506</v>
      </c>
      <c r="EW89" s="23">
        <f>EXP(-LN(2)/25)*EW88+(1-EXP(-LN(2)/25))/(LN(2)/25)*Calculateur!ER89*Calculateur!ET89*VLOOKUP('Données projet'!$B$15,Paramètres!$A$1:$I$89,3,0)*0.475*44/12</f>
        <v>26.71664460308056</v>
      </c>
      <c r="EX89" s="23">
        <f>EXP(-LN(2)/2)*EX88+(1-EXP(-LN(2)/2))/(LN(2)/2)*ER89*EU89*VLOOKUP('Données projet'!$B$15,Paramètres!$A$1:$I$89,3,0)*0.475*44/12</f>
        <v>3.9775907318372496</v>
      </c>
      <c r="EY89" s="24">
        <f t="shared" si="75"/>
        <v>209.94568119610287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1.1368683772161603E-13</v>
      </c>
      <c r="FF89" s="18">
        <f>FE89*VLOOKUP('Données projet'!$B$16,Paramètres!$A$1:$I$89,3,0)*VLOOKUP('Données projet'!$B$16,Paramètres!$A$1:$I$89,5,0)</f>
        <v>6.7984728957526396E-14</v>
      </c>
      <c r="FG89" s="14">
        <f t="shared" si="101"/>
        <v>1.0682447123141398E-12</v>
      </c>
      <c r="FH89" s="22">
        <f t="shared" si="76"/>
        <v>1.978932943548152E-12</v>
      </c>
      <c r="FI89" s="62">
        <f t="shared" si="77"/>
        <v>293.3333333333353</v>
      </c>
      <c r="FJ89" s="62">
        <f ca="1">AVERAGE(OFFSET($FI$3,0,0,'Données projet'!$E$16+1,1))-AVERAGE(OFFSET($H$3,0,0,'Données projet'!$E$16+1,1))</f>
        <v>330.48891719033065</v>
      </c>
      <c r="FK89" s="62">
        <f t="shared" si="102"/>
        <v>419.35494198427284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127.02021040121838</v>
      </c>
      <c r="FR89" s="23">
        <f>EXP(-LN(2)/25)*FR88+(1-EXP(-LN(2)/25))/(LN(2)/25)*Calculateur!FM89*Calculateur!FO89*VLOOKUP('Données projet'!$B$16,Paramètres!$A$1:$I$89,3,0)*0.475*44/12</f>
        <v>17.473284095446719</v>
      </c>
      <c r="FS89" s="23">
        <f>EXP(-LN(2)/2)*FS88+(1-EXP(-LN(2)/2))/(LN(2)/2)*FM89*FP89*VLOOKUP('Données projet'!$B$16,Paramètres!$A$1:$I$89,3,0)*0.475*44/12</f>
        <v>1.0601358848220542E-3</v>
      </c>
      <c r="FT89" s="24">
        <f t="shared" si="78"/>
        <v>144.49455463254992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>
        <f>FZ89*VLOOKUP('Données projet'!$B$17,Paramètres!$A$1:$I$89,3,0)*VLOOKUP('Données projet'!$B$17,Paramètres!$A$1:$I$89,5,0)</f>
        <v>0</v>
      </c>
      <c r="GB89" s="14" t="e">
        <f t="shared" si="103"/>
        <v>#NUM!</v>
      </c>
      <c r="GC89" s="22" t="e">
        <f t="shared" si="79"/>
        <v>#NUM!</v>
      </c>
      <c r="GD89" s="62" t="e">
        <f t="shared" si="80"/>
        <v>#NUM!</v>
      </c>
      <c r="GE89" s="62">
        <f ca="1">AVERAGE(OFFSET($GD$3,0,0,'Données projet'!$E$17+1,1))-AVERAGE(OFFSET($H$3,0,0,'Données projet'!$E$17+1,1))</f>
        <v>132.18258156780018</v>
      </c>
      <c r="GF89" s="62">
        <f t="shared" si="104"/>
        <v>315.58133946947294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14.308513855509531</v>
      </c>
      <c r="GM89" s="23">
        <f>EXP(-LN(2)/25)*GM88+(1-EXP(-LN(2)/25))/(LN(2)/25)*Calculateur!GH89*Calculateur!GJ89*VLOOKUP('Données projet'!$B$17,Paramètres!$A$1:$I$89,3,0)*0.475*44/12</f>
        <v>3.9277306322409538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18.236244487750486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9">
        <f t="shared" si="56"/>
        <v>428.83204226482388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8.2910000000000021</v>
      </c>
      <c r="N90" s="14">
        <f>IF('Données projet'!$A$36&gt;35,N89+M90-V89,IF(A90&lt;'Données projet'!$A$36,$K$205^A90,IF(A90='Données projet'!$A$36,'Données projet'!$B$36,N89+M90-V89)))</f>
        <v>288.75300000000027</v>
      </c>
      <c r="O90" s="14">
        <f>N90*VLOOKUP('Données projet'!$B$9,Paramètres!$A$1:$I$89,3,0)*VLOOKUP('Données projet'!$B$9,Paramètres!$A$1:$I$89,5,0)</f>
        <v>261.26371440000025</v>
      </c>
      <c r="P90" s="14">
        <f t="shared" si="87"/>
        <v>62.991674736313257</v>
      </c>
      <c r="Q90" s="22">
        <f t="shared" si="54"/>
        <v>564.74480274574603</v>
      </c>
      <c r="R90" s="62">
        <f t="shared" si="55"/>
        <v>858.07813607907929</v>
      </c>
      <c r="S90" s="62">
        <f ca="1">AVERAGE(OFFSET($R$3,0,0,'Données projet'!$E$9+1,1))-AVERAGE(OFFSET($H$3,0,0,'Données projet'!$E$9+1,1))</f>
        <v>401.86262166363821</v>
      </c>
      <c r="T90" s="62">
        <f t="shared" si="88"/>
        <v>208.60314230781432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25.689365341350342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25.689365341350342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8.2910000000000021</v>
      </c>
      <c r="AI90" s="14">
        <f>IF('Données projet'!$A$62&gt;35,AI89+AH90-AQ89,IF(A90&lt;'Données projet'!$A$62,$AF$205^A90,IF(A90='Données projet'!$A$62,'Données projet'!$B$62,AI89+AH90-AQ89)))</f>
        <v>288.75300000000027</v>
      </c>
      <c r="AJ90" s="14">
        <f>AI90*VLOOKUP('Données projet'!$B$10,Paramètres!$A$1:$I$89,3,0)*VLOOKUP('Données projet'!$B$10,Paramètres!$A$1:$I$89,5,0)</f>
        <v>310.81372920000024</v>
      </c>
      <c r="AK90" s="14">
        <f t="shared" si="89"/>
        <v>73.438743279606001</v>
      </c>
      <c r="AL90" s="22">
        <f t="shared" si="58"/>
        <v>669.23972290198083</v>
      </c>
      <c r="AM90" s="62">
        <f t="shared" si="59"/>
        <v>962.5730562353142</v>
      </c>
      <c r="AN90" s="62">
        <f ca="1">AVERAGE(OFFSET($AM$3,0,0,'Données projet'!$E$10+1,1))-AVERAGE(OFFSET($H$3,0,0,'Données projet'!$E$10+1,1))</f>
        <v>407.22515465568205</v>
      </c>
      <c r="AO90" s="62">
        <f t="shared" si="90"/>
        <v>251.6218558398258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30.561486354365048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30.561486354365048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8.2910000000000021</v>
      </c>
      <c r="BD90" s="13">
        <f>IF('Données projet'!$A$88&gt;35,BD89+BC90-BL89,IF(A90&lt;'Données projet'!$A$88,$BA$205^A90,IF(A90='Données projet'!$A$88,'Données projet'!$B$88,BD89+BC90-BL89)))</f>
        <v>288.75300000000027</v>
      </c>
      <c r="BE90" s="14">
        <f>BD90*VLOOKUP('Données projet'!$B$11,Paramètres!$A$1:$I$89,3,0)*VLOOKUP('Données projet'!$B$11,Paramètres!$A$1:$I$89,5,0)</f>
        <v>279.28190160000025</v>
      </c>
      <c r="BF90" s="14">
        <f t="shared" si="91"/>
        <v>66.815231373442643</v>
      </c>
      <c r="BG90" s="22">
        <f t="shared" si="61"/>
        <v>602.78583992874633</v>
      </c>
      <c r="BH90" s="62">
        <f t="shared" si="62"/>
        <v>896.11917326207958</v>
      </c>
      <c r="BI90" s="62">
        <f ca="1">AVERAGE(OFFSET($BH$3,0,0,'Données projet'!$E$11+1,1))-AVERAGE(OFFSET($H$3,0,0,'Données projet'!$E$11+1,1))</f>
        <v>357.76044008074308</v>
      </c>
      <c r="BJ90" s="62">
        <f t="shared" si="92"/>
        <v>224.26555772810445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27.461045709719325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27.461045709719325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8.2910000000000021</v>
      </c>
      <c r="BY90" s="13">
        <f>IF('Données projet'!$A$114&gt;35,BY89+BX90-CG89,IF(A90&lt;'Données projet'!$A$114,$BV$205^A90,IF(A90='Données projet'!$A$114,'Données projet'!$B$114,BY89+BX90-CG89)))</f>
        <v>288.75300000000027</v>
      </c>
      <c r="BZ90" s="14">
        <f>BY90*VLOOKUP('Données projet'!$B$12,Paramètres!$A$1:$I$89,3,0)*VLOOKUP('Données projet'!$B$12,Paramètres!$A$1:$I$89,5,0)</f>
        <v>193.69551240000018</v>
      </c>
      <c r="CA90" s="14">
        <f t="shared" si="93"/>
        <v>48.356059931736581</v>
      </c>
      <c r="CB90" s="22">
        <f t="shared" si="64"/>
        <v>421.5731551444415</v>
      </c>
      <c r="CC90" s="62">
        <f t="shared" si="65"/>
        <v>714.90648847777481</v>
      </c>
      <c r="CD90" s="62">
        <f ca="1">AVERAGE(OFFSET($CC$3,0,0,'Données projet'!$E$12+1,1))-AVERAGE(OFFSET($H$3,0,0,'Données projet'!$E$12+1,1))</f>
        <v>222.86701323374945</v>
      </c>
      <c r="CE90" s="62">
        <f t="shared" si="94"/>
        <v>149.63671045240511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23.474764880889097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23.474764880889097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3.6</v>
      </c>
      <c r="CT90" s="13">
        <f>IF('Données projet'!$A$140&gt;35,CT89+CS90-DB89,IF(A90&lt;'Données projet'!$A$140,$CQ$205^A90,IF(A90='Données projet'!$A$140,'Données projet'!$B$140,CT89+CS90-DB89)))</f>
        <v>239.2000000000001</v>
      </c>
      <c r="CU90" s="18">
        <f>CT90*VLOOKUP('Données projet'!$B$13,Paramètres!$A$1:$I$89,3,0)*VLOOKUP('Données projet'!$B$13,Paramètres!$A$1:$I$89,5,0)</f>
        <v>156.72384000000008</v>
      </c>
      <c r="CV90" s="14">
        <f t="shared" si="95"/>
        <v>40.102680984620484</v>
      </c>
      <c r="CW90" s="22">
        <f t="shared" si="67"/>
        <v>342.80619071488081</v>
      </c>
      <c r="CX90" s="62">
        <f t="shared" si="68"/>
        <v>636.13952404821407</v>
      </c>
      <c r="CY90" s="62">
        <f ca="1">AVERAGE(OFFSET($CX$3,0,0,'Données projet'!$E$13+1,1))-AVERAGE(OFFSET($H$3,0,0,'Données projet'!$E$13+1,1))</f>
        <v>173.15672762188746</v>
      </c>
      <c r="CZ90" s="62">
        <f t="shared" si="96"/>
        <v>208.54841796921414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21.30359324180839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21.30359324180839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>
        <f>EJ90*VLOOKUP('Données projet'!$B$15,Paramètres!$A$1:$I$89,3,0)*VLOOKUP('Données projet'!$B$15,Paramètres!$A$1:$I$89,5,0)</f>
        <v>0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269.18638759204373</v>
      </c>
      <c r="EP90" s="62">
        <f t="shared" si="100"/>
        <v>197.07126167823969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175.7364343404335</v>
      </c>
      <c r="EW90" s="23">
        <f>EXP(-LN(2)/25)*EW89+(1-EXP(-LN(2)/25))/(LN(2)/25)*Calculateur!ER90*Calculateur!ET90*VLOOKUP('Données projet'!$B$15,Paramètres!$A$1:$I$89,3,0)*0.475*44/12</f>
        <v>25.986076551442043</v>
      </c>
      <c r="EX90" s="23">
        <f>EXP(-LN(2)/2)*EX89+(1-EXP(-LN(2)/2))/(LN(2)/2)*ER90*EU90*VLOOKUP('Données projet'!$B$15,Paramètres!$A$1:$I$89,3,0)*0.475*44/12</f>
        <v>2.8125813792668817</v>
      </c>
      <c r="EY90" s="24">
        <f t="shared" si="75"/>
        <v>204.53509227114242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1.1368683772161603E-13</v>
      </c>
      <c r="FF90" s="18">
        <f>FE90*VLOOKUP('Données projet'!$B$16,Paramètres!$A$1:$I$89,3,0)*VLOOKUP('Données projet'!$B$16,Paramètres!$A$1:$I$89,5,0)</f>
        <v>6.7984728957526396E-14</v>
      </c>
      <c r="FG90" s="14">
        <f t="shared" si="101"/>
        <v>1.0682447123141398E-12</v>
      </c>
      <c r="FH90" s="22">
        <f t="shared" si="76"/>
        <v>1.978932943548152E-12</v>
      </c>
      <c r="FI90" s="62">
        <f t="shared" si="77"/>
        <v>293.3333333333353</v>
      </c>
      <c r="FJ90" s="62">
        <f ca="1">AVERAGE(OFFSET($FI$3,0,0,'Données projet'!$E$16+1,1))-AVERAGE(OFFSET($H$3,0,0,'Données projet'!$E$16+1,1))</f>
        <v>330.48891719033065</v>
      </c>
      <c r="FK90" s="62">
        <f t="shared" si="102"/>
        <v>419.35494198427284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124.52942154992884</v>
      </c>
      <c r="FR90" s="23">
        <f>EXP(-LN(2)/25)*FR89+(1-EXP(-LN(2)/25))/(LN(2)/25)*Calculateur!FM90*Calculateur!FO90*VLOOKUP('Données projet'!$B$16,Paramètres!$A$1:$I$89,3,0)*0.475*44/12</f>
        <v>16.995476222976652</v>
      </c>
      <c r="FS90" s="23">
        <f>EXP(-LN(2)/2)*FS89+(1-EXP(-LN(2)/2))/(LN(2)/2)*FM90*FP90*VLOOKUP('Données projet'!$B$16,Paramètres!$A$1:$I$89,3,0)*0.475*44/12</f>
        <v>7.4962927313687523E-4</v>
      </c>
      <c r="FT90" s="24">
        <f t="shared" si="78"/>
        <v>141.52564740217863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>
        <f>FZ90*VLOOKUP('Données projet'!$B$17,Paramètres!$A$1:$I$89,3,0)*VLOOKUP('Données projet'!$B$17,Paramètres!$A$1:$I$89,5,0)</f>
        <v>0</v>
      </c>
      <c r="GB90" s="14" t="e">
        <f t="shared" si="103"/>
        <v>#NUM!</v>
      </c>
      <c r="GC90" s="22" t="e">
        <f t="shared" si="79"/>
        <v>#NUM!</v>
      </c>
      <c r="GD90" s="62" t="e">
        <f t="shared" si="80"/>
        <v>#NUM!</v>
      </c>
      <c r="GE90" s="62">
        <f ca="1">AVERAGE(OFFSET($GD$3,0,0,'Données projet'!$E$17+1,1))-AVERAGE(OFFSET($H$3,0,0,'Données projet'!$E$17+1,1))</f>
        <v>132.18258156780018</v>
      </c>
      <c r="GF90" s="62">
        <f t="shared" si="104"/>
        <v>315.58133946947294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14.027932626134689</v>
      </c>
      <c r="GM90" s="23">
        <f>EXP(-LN(2)/25)*GM89+(1-EXP(-LN(2)/25))/(LN(2)/25)*Calculateur!GH90*Calculateur!GJ90*VLOOKUP('Données projet'!$B$17,Paramètres!$A$1:$I$89,3,0)*0.475*44/12</f>
        <v>3.8203266315519477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17.848259257686635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9">
        <f t="shared" si="56"/>
        <v>430.76062352258458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8.2910000000000021</v>
      </c>
      <c r="N91" s="14">
        <f>IF('Données projet'!$A$36&gt;35,N90+M91-V90,IF(A91&lt;'Données projet'!$A$36,$K$205^A91,IF(A91='Données projet'!$A$36,'Données projet'!$B$36,N90+M91-V90)))</f>
        <v>297.04400000000027</v>
      </c>
      <c r="O91" s="14">
        <f>N91*VLOOKUP('Données projet'!$B$9,Paramètres!$A$1:$I$89,3,0)*VLOOKUP('Données projet'!$B$9,Paramètres!$A$1:$I$89,5,0)</f>
        <v>268.76541120000024</v>
      </c>
      <c r="P91" s="14">
        <f t="shared" si="87"/>
        <v>64.587188539623412</v>
      </c>
      <c r="Q91" s="22">
        <f t="shared" si="54"/>
        <v>580.58911121317794</v>
      </c>
      <c r="R91" s="62">
        <f t="shared" si="55"/>
        <v>873.92244454651131</v>
      </c>
      <c r="S91" s="62">
        <f ca="1">AVERAGE(OFFSET($R$3,0,0,'Données projet'!$E$9+1,1))-AVERAGE(OFFSET($H$3,0,0,'Données projet'!$E$9+1,1))</f>
        <v>401.86262166363821</v>
      </c>
      <c r="T91" s="62">
        <f t="shared" si="88"/>
        <v>208.60314230781432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25.185612555972138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25.185612555972138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8.2910000000000021</v>
      </c>
      <c r="AI91" s="14">
        <f>IF('Données projet'!$A$62&gt;35,AI90+AH91-AQ90,IF(A91&lt;'Données projet'!$A$62,$AF$205^A91,IF(A91='Données projet'!$A$62,'Données projet'!$B$62,AI90+AH91-AQ90)))</f>
        <v>297.04400000000027</v>
      </c>
      <c r="AJ91" s="14">
        <f>AI91*VLOOKUP('Données projet'!$B$10,Paramètres!$A$1:$I$89,3,0)*VLOOKUP('Données projet'!$B$10,Paramètres!$A$1:$I$89,5,0)</f>
        <v>319.7381616000003</v>
      </c>
      <c r="AK91" s="14">
        <f t="shared" si="89"/>
        <v>75.298870496271519</v>
      </c>
      <c r="AL91" s="22">
        <f t="shared" si="58"/>
        <v>688.02283090100661</v>
      </c>
      <c r="AM91" s="62">
        <f t="shared" si="59"/>
        <v>981.35616423433999</v>
      </c>
      <c r="AN91" s="62">
        <f ca="1">AVERAGE(OFFSET($AM$3,0,0,'Données projet'!$E$10+1,1))-AVERAGE(OFFSET($H$3,0,0,'Données projet'!$E$10+1,1))</f>
        <v>407.22515465568205</v>
      </c>
      <c r="AO91" s="62">
        <f t="shared" si="90"/>
        <v>251.6218558398258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29.962194247622012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29.962194247622012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8.2910000000000021</v>
      </c>
      <c r="BD91" s="13">
        <f>IF('Données projet'!$A$88&gt;35,BD90+BC91-BL90,IF(A91&lt;'Données projet'!$A$88,$BA$205^A91,IF(A91='Données projet'!$A$88,'Données projet'!$B$88,BD90+BC91-BL90)))</f>
        <v>297.04400000000027</v>
      </c>
      <c r="BE91" s="14">
        <f>BD91*VLOOKUP('Données projet'!$B$11,Paramètres!$A$1:$I$89,3,0)*VLOOKUP('Données projet'!$B$11,Paramètres!$A$1:$I$89,5,0)</f>
        <v>287.30095680000028</v>
      </c>
      <c r="BF91" s="14">
        <f t="shared" si="91"/>
        <v>68.507591901622632</v>
      </c>
      <c r="BG91" s="22">
        <f t="shared" si="61"/>
        <v>619.69988898865984</v>
      </c>
      <c r="BH91" s="62">
        <f t="shared" si="62"/>
        <v>913.03322232199321</v>
      </c>
      <c r="BI91" s="62">
        <f ca="1">AVERAGE(OFFSET($BH$3,0,0,'Données projet'!$E$11+1,1))-AVERAGE(OFFSET($H$3,0,0,'Données projet'!$E$11+1,1))</f>
        <v>357.76044008074308</v>
      </c>
      <c r="BJ91" s="62">
        <f t="shared" si="92"/>
        <v>224.26555772810445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26.922551352935727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26.922551352935727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8.2910000000000021</v>
      </c>
      <c r="BY91" s="13">
        <f>IF('Données projet'!$A$114&gt;35,BY90+BX91-CG90,IF(A91&lt;'Données projet'!$A$114,$BV$205^A91,IF(A91='Données projet'!$A$114,'Données projet'!$B$114,BY90+BX91-CG90)))</f>
        <v>297.04400000000027</v>
      </c>
      <c r="BZ91" s="14">
        <f>BY91*VLOOKUP('Données projet'!$B$12,Paramètres!$A$1:$I$89,3,0)*VLOOKUP('Données projet'!$B$12,Paramètres!$A$1:$I$89,5,0)</f>
        <v>199.25711520000019</v>
      </c>
      <c r="CA91" s="14">
        <f t="shared" si="93"/>
        <v>49.580868788109186</v>
      </c>
      <c r="CB91" s="22">
        <f t="shared" si="64"/>
        <v>433.39282211262383</v>
      </c>
      <c r="CC91" s="62">
        <f t="shared" si="65"/>
        <v>726.72615544595715</v>
      </c>
      <c r="CD91" s="62">
        <f ca="1">AVERAGE(OFFSET($CC$3,0,0,'Données projet'!$E$12+1,1))-AVERAGE(OFFSET($H$3,0,0,'Données projet'!$E$12+1,1))</f>
        <v>222.86701323374945</v>
      </c>
      <c r="CE91" s="62">
        <f t="shared" si="94"/>
        <v>149.63671045240511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23.014439059767636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23.014439059767636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3.6</v>
      </c>
      <c r="CT91" s="13">
        <f>IF('Données projet'!$A$140&gt;35,CT90+CS91-DB90,IF(A91&lt;'Données projet'!$A$140,$CQ$205^A91,IF(A91='Données projet'!$A$140,'Données projet'!$B$140,CT90+CS91-DB90)))</f>
        <v>242.8000000000001</v>
      </c>
      <c r="CU91" s="18">
        <f>CT91*VLOOKUP('Données projet'!$B$13,Paramètres!$A$1:$I$89,3,0)*VLOOKUP('Données projet'!$B$13,Paramètres!$A$1:$I$89,5,0)</f>
        <v>159.08256000000006</v>
      </c>
      <c r="CV91" s="14">
        <f t="shared" si="95"/>
        <v>40.635515049195902</v>
      </c>
      <c r="CW91" s="22">
        <f t="shared" si="67"/>
        <v>347.84231404401629</v>
      </c>
      <c r="CX91" s="62">
        <f t="shared" si="68"/>
        <v>641.17564737734961</v>
      </c>
      <c r="CY91" s="62">
        <f ca="1">AVERAGE(OFFSET($CX$3,0,0,'Données projet'!$E$13+1,1))-AVERAGE(OFFSET($H$3,0,0,'Données projet'!$E$13+1,1))</f>
        <v>173.15672762188746</v>
      </c>
      <c r="CZ91" s="62">
        <f t="shared" si="96"/>
        <v>208.54841796921414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20.885842772245361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20.885842772245361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>
        <f>EJ91*VLOOKUP('Données projet'!$B$15,Paramètres!$A$1:$I$89,3,0)*VLOOKUP('Données projet'!$B$15,Paramètres!$A$1:$I$89,5,0)</f>
        <v>0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269.18638759204373</v>
      </c>
      <c r="EP91" s="62">
        <f t="shared" si="100"/>
        <v>197.07126167823969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172.29035005165855</v>
      </c>
      <c r="EW91" s="23">
        <f>EXP(-LN(2)/25)*EW90+(1-EXP(-LN(2)/25))/(LN(2)/25)*Calculateur!ER91*Calculateur!ET91*VLOOKUP('Données projet'!$B$15,Paramètres!$A$1:$I$89,3,0)*0.475*44/12</f>
        <v>25.275485921594488</v>
      </c>
      <c r="EX91" s="23">
        <f>EXP(-LN(2)/2)*EX90+(1-EXP(-LN(2)/2))/(LN(2)/2)*ER91*EU91*VLOOKUP('Données projet'!$B$15,Paramètres!$A$1:$I$89,3,0)*0.475*44/12</f>
        <v>1.988795365918625</v>
      </c>
      <c r="EY91" s="24">
        <f t="shared" si="75"/>
        <v>199.55463133917166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1.1368683772161603E-13</v>
      </c>
      <c r="FF91" s="18">
        <f>FE91*VLOOKUP('Données projet'!$B$16,Paramètres!$A$1:$I$89,3,0)*VLOOKUP('Données projet'!$B$16,Paramètres!$A$1:$I$89,5,0)</f>
        <v>6.7984728957526396E-14</v>
      </c>
      <c r="FG91" s="14">
        <f t="shared" si="101"/>
        <v>1.0682447123141398E-12</v>
      </c>
      <c r="FH91" s="22">
        <f t="shared" si="76"/>
        <v>1.978932943548152E-12</v>
      </c>
      <c r="FI91" s="62">
        <f t="shared" si="77"/>
        <v>293.3333333333353</v>
      </c>
      <c r="FJ91" s="62">
        <f ca="1">AVERAGE(OFFSET($FI$3,0,0,'Données projet'!$E$16+1,1))-AVERAGE(OFFSET($H$3,0,0,'Données projet'!$E$16+1,1))</f>
        <v>330.48891719033065</v>
      </c>
      <c r="FK91" s="62">
        <f t="shared" si="102"/>
        <v>419.35494198427284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122.08747554878191</v>
      </c>
      <c r="FR91" s="23">
        <f>EXP(-LN(2)/25)*FR90+(1-EXP(-LN(2)/25))/(LN(2)/25)*Calculateur!FM91*Calculateur!FO91*VLOOKUP('Données projet'!$B$16,Paramètres!$A$1:$I$89,3,0)*0.475*44/12</f>
        <v>16.530734031906103</v>
      </c>
      <c r="FS91" s="23">
        <f>EXP(-LN(2)/2)*FS90+(1-EXP(-LN(2)/2))/(LN(2)/2)*FM91*FP91*VLOOKUP('Données projet'!$B$16,Paramètres!$A$1:$I$89,3,0)*0.475*44/12</f>
        <v>5.300679424110271E-4</v>
      </c>
      <c r="FT91" s="24">
        <f t="shared" si="78"/>
        <v>138.61873964863042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>
        <f>FZ91*VLOOKUP('Données projet'!$B$17,Paramètres!$A$1:$I$89,3,0)*VLOOKUP('Données projet'!$B$17,Paramètres!$A$1:$I$89,5,0)</f>
        <v>0</v>
      </c>
      <c r="GB91" s="14" t="e">
        <f t="shared" si="103"/>
        <v>#NUM!</v>
      </c>
      <c r="GC91" s="22" t="e">
        <f t="shared" si="79"/>
        <v>#NUM!</v>
      </c>
      <c r="GD91" s="62" t="e">
        <f t="shared" si="80"/>
        <v>#NUM!</v>
      </c>
      <c r="GE91" s="62">
        <f ca="1">AVERAGE(OFFSET($GD$3,0,0,'Données projet'!$E$17+1,1))-AVERAGE(OFFSET($H$3,0,0,'Données projet'!$E$17+1,1))</f>
        <v>132.18258156780018</v>
      </c>
      <c r="GF91" s="62">
        <f t="shared" si="104"/>
        <v>315.58133946947294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13.752853423530235</v>
      </c>
      <c r="GM91" s="23">
        <f>EXP(-LN(2)/25)*GM90+(1-EXP(-LN(2)/25))/(LN(2)/25)*Calculateur!GH91*Calculateur!GJ91*VLOOKUP('Données projet'!$B$17,Paramètres!$A$1:$I$89,3,0)*0.475*44/12</f>
        <v>3.7158595989099137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17.468713022440149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9">
        <f t="shared" si="56"/>
        <v>432.68870260857216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8.2910000000000021</v>
      </c>
      <c r="N92" s="14">
        <f>IF('Données projet'!$A$36&gt;35,N91+M92-V91,IF(A92&lt;'Données projet'!$A$36,$K$205^A92,IF(A92='Données projet'!$A$36,'Données projet'!$B$36,N91+M92-V91)))</f>
        <v>305.33500000000026</v>
      </c>
      <c r="O92" s="14">
        <f>N92*VLOOKUP('Données projet'!$B$9,Paramètres!$A$1:$I$89,3,0)*VLOOKUP('Données projet'!$B$9,Paramètres!$A$1:$I$89,5,0)</f>
        <v>276.26710800000023</v>
      </c>
      <c r="P92" s="14">
        <f t="shared" si="87"/>
        <v>66.177526346547864</v>
      </c>
      <c r="Q92" s="22">
        <f t="shared" si="54"/>
        <v>596.42440482023801</v>
      </c>
      <c r="R92" s="62">
        <f t="shared" si="55"/>
        <v>889.75773815357138</v>
      </c>
      <c r="S92" s="62">
        <f ca="1">AVERAGE(OFFSET($R$3,0,0,'Données projet'!$E$9+1,1))-AVERAGE(OFFSET($H$3,0,0,'Données projet'!$E$9+1,1))</f>
        <v>401.86262166363821</v>
      </c>
      <c r="T92" s="62">
        <f t="shared" si="88"/>
        <v>208.60314230781432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24.691738055456341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24.691738055456341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8.2910000000000021</v>
      </c>
      <c r="AI92" s="14">
        <f>IF('Données projet'!$A$62&gt;35,AI91+AH92-AQ91,IF(A92&lt;'Données projet'!$A$62,$AF$205^A92,IF(A92='Données projet'!$A$62,'Données projet'!$B$62,AI91+AH92-AQ91)))</f>
        <v>305.33500000000026</v>
      </c>
      <c r="AJ92" s="14">
        <f>AI92*VLOOKUP('Données projet'!$B$10,Paramètres!$A$1:$I$89,3,0)*VLOOKUP('Données projet'!$B$10,Paramètres!$A$1:$I$89,5,0)</f>
        <v>328.6625940000003</v>
      </c>
      <c r="AK92" s="14">
        <f t="shared" si="89"/>
        <v>77.152963285826345</v>
      </c>
      <c r="AL92" s="22">
        <f t="shared" si="58"/>
        <v>706.79542893948144</v>
      </c>
      <c r="AM92" s="62">
        <f t="shared" si="59"/>
        <v>1000.1287622728148</v>
      </c>
      <c r="AN92" s="62">
        <f ca="1">AVERAGE(OFFSET($AM$3,0,0,'Données projet'!$E$10+1,1))-AVERAGE(OFFSET($H$3,0,0,'Données projet'!$E$10+1,1))</f>
        <v>407.22515465568205</v>
      </c>
      <c r="AO92" s="62">
        <f t="shared" si="90"/>
        <v>251.6218558398258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29.374653893560115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29.374653893560115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8.2910000000000021</v>
      </c>
      <c r="BD92" s="13">
        <f>IF('Données projet'!$A$88&gt;35,BD91+BC92-BL91,IF(A92&lt;'Données projet'!$A$88,$BA$205^A92,IF(A92='Données projet'!$A$88,'Données projet'!$B$88,BD91+BC92-BL91)))</f>
        <v>305.33500000000026</v>
      </c>
      <c r="BE92" s="14">
        <f>BD92*VLOOKUP('Données projet'!$B$11,Paramètres!$A$1:$I$89,3,0)*VLOOKUP('Données projet'!$B$11,Paramètres!$A$1:$I$89,5,0)</f>
        <v>295.32001200000025</v>
      </c>
      <c r="BF92" s="14">
        <f t="shared" si="91"/>
        <v>70.194462253560403</v>
      </c>
      <c r="BG92" s="22">
        <f t="shared" si="61"/>
        <v>636.60437599161821</v>
      </c>
      <c r="BH92" s="62">
        <f t="shared" si="62"/>
        <v>929.93770932495158</v>
      </c>
      <c r="BI92" s="62">
        <f ca="1">AVERAGE(OFFSET($BH$3,0,0,'Données projet'!$E$11+1,1))-AVERAGE(OFFSET($H$3,0,0,'Données projet'!$E$11+1,1))</f>
        <v>357.76044008074308</v>
      </c>
      <c r="BJ92" s="62">
        <f t="shared" si="92"/>
        <v>224.26555772810445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26.394616542039529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26.394616542039529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8.2910000000000021</v>
      </c>
      <c r="BY92" s="13">
        <f>IF('Données projet'!$A$114&gt;35,BY91+BX92-CG91,IF(A92&lt;'Données projet'!$A$114,$BV$205^A92,IF(A92='Données projet'!$A$114,'Données projet'!$B$114,BY91+BX92-CG91)))</f>
        <v>305.33500000000026</v>
      </c>
      <c r="BZ92" s="14">
        <f>BY92*VLOOKUP('Données projet'!$B$12,Paramètres!$A$1:$I$89,3,0)*VLOOKUP('Données projet'!$B$12,Paramètres!$A$1:$I$89,5,0)</f>
        <v>204.81871800000019</v>
      </c>
      <c r="CA92" s="14">
        <f t="shared" si="93"/>
        <v>50.801704249704173</v>
      </c>
      <c r="CB92" s="22">
        <f t="shared" si="64"/>
        <v>445.20556875156836</v>
      </c>
      <c r="CC92" s="62">
        <f t="shared" si="65"/>
        <v>738.53890208490168</v>
      </c>
      <c r="CD92" s="62">
        <f ca="1">AVERAGE(OFFSET($CC$3,0,0,'Données projet'!$E$12+1,1))-AVERAGE(OFFSET($H$3,0,0,'Données projet'!$E$12+1,1))</f>
        <v>222.86701323374945</v>
      </c>
      <c r="CE92" s="62">
        <f t="shared" si="94"/>
        <v>149.63671045240511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22.563139947227338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22.563139947227338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3.6</v>
      </c>
      <c r="CT92" s="13">
        <f>IF('Données projet'!$A$140&gt;35,CT91+CS92-DB91,IF(A92&lt;'Données projet'!$A$140,$CQ$205^A92,IF(A92='Données projet'!$A$140,'Données projet'!$B$140,CT91+CS92-DB91)))</f>
        <v>246.40000000000009</v>
      </c>
      <c r="CU92" s="18">
        <f>CT92*VLOOKUP('Données projet'!$B$13,Paramètres!$A$1:$I$89,3,0)*VLOOKUP('Données projet'!$B$13,Paramètres!$A$1:$I$89,5,0)</f>
        <v>161.44128000000006</v>
      </c>
      <c r="CV92" s="14">
        <f t="shared" si="95"/>
        <v>41.167430271655704</v>
      </c>
      <c r="CW92" s="22">
        <f t="shared" si="67"/>
        <v>352.87683705646708</v>
      </c>
      <c r="CX92" s="62">
        <f t="shared" si="68"/>
        <v>646.2101703898004</v>
      </c>
      <c r="CY92" s="62">
        <f ca="1">AVERAGE(OFFSET($CX$3,0,0,'Données projet'!$E$13+1,1))-AVERAGE(OFFSET($H$3,0,0,'Données projet'!$E$13+1,1))</f>
        <v>173.15672762188746</v>
      </c>
      <c r="CZ92" s="62">
        <f t="shared" si="96"/>
        <v>208.54841796921414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20.476284134587839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20.476284134587839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>
        <f>EJ92*VLOOKUP('Données projet'!$B$15,Paramètres!$A$1:$I$89,3,0)*VLOOKUP('Données projet'!$B$15,Paramètres!$A$1:$I$89,5,0)</f>
        <v>0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269.18638759204373</v>
      </c>
      <c r="EP92" s="62">
        <f t="shared" si="100"/>
        <v>197.07126167823969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168.9118413738826</v>
      </c>
      <c r="EW92" s="23">
        <f>EXP(-LN(2)/25)*EW91+(1-EXP(-LN(2)/25))/(LN(2)/25)*Calculateur!ER92*Calculateur!ET92*VLOOKUP('Données projet'!$B$15,Paramètres!$A$1:$I$89,3,0)*0.475*44/12</f>
        <v>24.584326429888449</v>
      </c>
      <c r="EX92" s="23">
        <f>EXP(-LN(2)/2)*EX91+(1-EXP(-LN(2)/2))/(LN(2)/2)*ER92*EU92*VLOOKUP('Données projet'!$B$15,Paramètres!$A$1:$I$89,3,0)*0.475*44/12</f>
        <v>1.4062906896334411</v>
      </c>
      <c r="EY92" s="24">
        <f t="shared" si="75"/>
        <v>194.90245849340448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1.1368683772161603E-13</v>
      </c>
      <c r="FF92" s="18">
        <f>FE92*VLOOKUP('Données projet'!$B$16,Paramètres!$A$1:$I$89,3,0)*VLOOKUP('Données projet'!$B$16,Paramètres!$A$1:$I$89,5,0)</f>
        <v>6.7984728957526396E-14</v>
      </c>
      <c r="FG92" s="14">
        <f t="shared" si="101"/>
        <v>1.0682447123141398E-12</v>
      </c>
      <c r="FH92" s="22">
        <f t="shared" si="76"/>
        <v>1.978932943548152E-12</v>
      </c>
      <c r="FI92" s="62">
        <f t="shared" si="77"/>
        <v>293.3333333333353</v>
      </c>
      <c r="FJ92" s="62">
        <f ca="1">AVERAGE(OFFSET($FI$3,0,0,'Données projet'!$E$16+1,1))-AVERAGE(OFFSET($H$3,0,0,'Données projet'!$E$16+1,1))</f>
        <v>330.48891719033065</v>
      </c>
      <c r="FK92" s="62">
        <f t="shared" si="102"/>
        <v>419.35494198427284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119.69341461927748</v>
      </c>
      <c r="FR92" s="23">
        <f>EXP(-LN(2)/25)*FR91+(1-EXP(-LN(2)/25))/(LN(2)/25)*Calculateur!FM92*Calculateur!FO92*VLOOKUP('Données projet'!$B$16,Paramètres!$A$1:$I$89,3,0)*0.475*44/12</f>
        <v>16.078700240490111</v>
      </c>
      <c r="FS92" s="23">
        <f>EXP(-LN(2)/2)*FS91+(1-EXP(-LN(2)/2))/(LN(2)/2)*FM92*FP92*VLOOKUP('Données projet'!$B$16,Paramètres!$A$1:$I$89,3,0)*0.475*44/12</f>
        <v>3.7481463656843762E-4</v>
      </c>
      <c r="FT92" s="24">
        <f t="shared" si="78"/>
        <v>135.77248967440414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>
        <f>FZ92*VLOOKUP('Données projet'!$B$17,Paramètres!$A$1:$I$89,3,0)*VLOOKUP('Données projet'!$B$17,Paramètres!$A$1:$I$89,5,0)</f>
        <v>0</v>
      </c>
      <c r="GB92" s="14" t="e">
        <f t="shared" si="103"/>
        <v>#NUM!</v>
      </c>
      <c r="GC92" s="22" t="e">
        <f t="shared" si="79"/>
        <v>#NUM!</v>
      </c>
      <c r="GD92" s="62" t="e">
        <f t="shared" si="80"/>
        <v>#NUM!</v>
      </c>
      <c r="GE92" s="62">
        <f ca="1">AVERAGE(OFFSET($GD$3,0,0,'Données projet'!$E$17+1,1))-AVERAGE(OFFSET($H$3,0,0,'Données projet'!$E$17+1,1))</f>
        <v>132.18258156780018</v>
      </c>
      <c r="GF92" s="62">
        <f t="shared" si="104"/>
        <v>315.58133946947294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13.483168356307109</v>
      </c>
      <c r="GM92" s="23">
        <f>EXP(-LN(2)/25)*GM91+(1-EXP(-LN(2)/25))/(LN(2)/25)*Calculateur!GH92*Calculateur!GJ92*VLOOKUP('Données projet'!$B$17,Paramètres!$A$1:$I$89,3,0)*0.475*44/12</f>
        <v>3.6142492227691587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17.097417579076268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9">
        <f t="shared" si="56"/>
        <v>434.61628581808787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8.2910000000000021</v>
      </c>
      <c r="N93" s="14">
        <f>IF('Données projet'!$A$36&gt;35,N92+M93-V92,IF(A93&lt;'Données projet'!$A$36,$K$205^A93,IF(A93='Données projet'!$A$36,'Données projet'!$B$36,N92+M93-V92)))</f>
        <v>313.62600000000026</v>
      </c>
      <c r="O93" s="14">
        <f>N93*VLOOKUP('Données projet'!$B$9,Paramètres!$A$1:$I$89,3,0)*VLOOKUP('Données projet'!$B$9,Paramètres!$A$1:$I$89,5,0)</f>
        <v>283.76880480000023</v>
      </c>
      <c r="P93" s="14">
        <f t="shared" si="87"/>
        <v>67.762844856024827</v>
      </c>
      <c r="Q93" s="22">
        <f t="shared" si="54"/>
        <v>612.2509564842436</v>
      </c>
      <c r="R93" s="62">
        <f t="shared" si="55"/>
        <v>905.58428981757697</v>
      </c>
      <c r="S93" s="62">
        <f ca="1">AVERAGE(OFFSET($R$3,0,0,'Données projet'!$E$9+1,1))-AVERAGE(OFFSET($H$3,0,0,'Données projet'!$E$9+1,1))</f>
        <v>401.86262166363821</v>
      </c>
      <c r="T93" s="62">
        <f t="shared" si="88"/>
        <v>208.60314230781432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24.207548132661959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24.207548132661959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8.2910000000000021</v>
      </c>
      <c r="AI93" s="14">
        <f>IF('Données projet'!$A$62&gt;35,AI92+AH93-AQ92,IF(A93&lt;'Données projet'!$A$62,$AF$205^A93,IF(A93='Données projet'!$A$62,'Données projet'!$B$62,AI92+AH93-AQ92)))</f>
        <v>313.62600000000026</v>
      </c>
      <c r="AJ93" s="14">
        <f>AI93*VLOOKUP('Données projet'!$B$10,Paramètres!$A$1:$I$89,3,0)*VLOOKUP('Données projet'!$B$10,Paramètres!$A$1:$I$89,5,0)</f>
        <v>337.5870264000003</v>
      </c>
      <c r="AK93" s="14">
        <f t="shared" si="89"/>
        <v>79.001204335476828</v>
      </c>
      <c r="AL93" s="22">
        <f t="shared" si="58"/>
        <v>725.55783519762269</v>
      </c>
      <c r="AM93" s="62">
        <f t="shared" si="59"/>
        <v>1018.8911685309561</v>
      </c>
      <c r="AN93" s="62">
        <f ca="1">AVERAGE(OFFSET($AM$3,0,0,'Données projet'!$E$10+1,1))-AVERAGE(OFFSET($H$3,0,0,'Données projet'!$E$10+1,1))</f>
        <v>407.22515465568205</v>
      </c>
      <c r="AO93" s="62">
        <f t="shared" si="90"/>
        <v>251.6218558398258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28.798634847477143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28.798634847477143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8.2910000000000021</v>
      </c>
      <c r="BD93" s="13">
        <f>IF('Données projet'!$A$88&gt;35,BD92+BC93-BL92,IF(A93&lt;'Données projet'!$A$88,$BA$205^A93,IF(A93='Données projet'!$A$88,'Données projet'!$B$88,BD92+BC93-BL92)))</f>
        <v>313.62600000000026</v>
      </c>
      <c r="BE93" s="14">
        <f>BD93*VLOOKUP('Données projet'!$B$11,Paramètres!$A$1:$I$89,3,0)*VLOOKUP('Données projet'!$B$11,Paramètres!$A$1:$I$89,5,0)</f>
        <v>303.33906720000027</v>
      </c>
      <c r="BF93" s="14">
        <f t="shared" si="91"/>
        <v>71.876008639724958</v>
      </c>
      <c r="BG93" s="22">
        <f t="shared" si="61"/>
        <v>653.4995904208547</v>
      </c>
      <c r="BH93" s="62">
        <f t="shared" si="62"/>
        <v>946.83292375418796</v>
      </c>
      <c r="BI93" s="62">
        <f ca="1">AVERAGE(OFFSET($BH$3,0,0,'Données projet'!$E$11+1,1))-AVERAGE(OFFSET($H$3,0,0,'Données projet'!$E$11+1,1))</f>
        <v>357.76044008074308</v>
      </c>
      <c r="BJ93" s="62">
        <f t="shared" si="92"/>
        <v>224.26555772810445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25.877034210776568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25.877034210776568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8.2910000000000021</v>
      </c>
      <c r="BY93" s="13">
        <f>IF('Données projet'!$A$114&gt;35,BY92+BX93-CG92,IF(A93&lt;'Données projet'!$A$114,$BV$205^A93,IF(A93='Données projet'!$A$114,'Données projet'!$B$114,BY92+BX93-CG92)))</f>
        <v>313.62600000000026</v>
      </c>
      <c r="BZ93" s="14">
        <f>BY93*VLOOKUP('Données projet'!$B$12,Paramètres!$A$1:$I$89,3,0)*VLOOKUP('Données projet'!$B$12,Paramètres!$A$1:$I$89,5,0)</f>
        <v>210.38032080000019</v>
      </c>
      <c r="CA93" s="14">
        <f t="shared" si="93"/>
        <v>52.018686607707167</v>
      </c>
      <c r="CB93" s="22">
        <f t="shared" si="64"/>
        <v>457.01160456842371</v>
      </c>
      <c r="CC93" s="62">
        <f t="shared" si="65"/>
        <v>750.34493790175702</v>
      </c>
      <c r="CD93" s="62">
        <f ca="1">AVERAGE(OFFSET($CC$3,0,0,'Données projet'!$E$12+1,1))-AVERAGE(OFFSET($H$3,0,0,'Données projet'!$E$12+1,1))</f>
        <v>222.86701323374945</v>
      </c>
      <c r="CE93" s="62">
        <f t="shared" si="94"/>
        <v>149.63671045240511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22.120690535018678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22.120690535018678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250</v>
      </c>
      <c r="CR93" s="13">
        <f>VLOOKUP(A93,'Données projet'!$A$139:$I$159,9,0)</f>
        <v>3.6</v>
      </c>
      <c r="CS93" s="13">
        <f t="array" ref="CS93">INDEX(CR:CR,MIN(IF(ISNUMBER(CR93:CR289),ROW(CR93:CR289),"")))</f>
        <v>3.6</v>
      </c>
      <c r="CT93" s="13">
        <f>IF('Données projet'!$A$140&gt;35,CT92+CS93-DB92,IF(A93&lt;'Données projet'!$A$140,$CQ$205^A93,IF(A93='Données projet'!$A$140,'Données projet'!$B$140,CT92+CS93-DB92)))</f>
        <v>250.00000000000009</v>
      </c>
      <c r="CU93" s="18">
        <f>CT93*VLOOKUP('Données projet'!$B$13,Paramètres!$A$1:$I$89,3,0)*VLOOKUP('Données projet'!$B$13,Paramètres!$A$1:$I$89,5,0)</f>
        <v>163.80000000000004</v>
      </c>
      <c r="CV93" s="14">
        <f t="shared" si="95"/>
        <v>41.698441627605334</v>
      </c>
      <c r="CW93" s="22">
        <f t="shared" si="67"/>
        <v>357.90978583474595</v>
      </c>
      <c r="CX93" s="62">
        <f t="shared" si="68"/>
        <v>651.24311916807926</v>
      </c>
      <c r="CY93" s="62">
        <f ca="1">AVERAGE(OFFSET($CX$3,0,0,'Données projet'!$E$13+1,1))-AVERAGE(OFFSET($H$3,0,0,'Données projet'!$E$13+1,1))</f>
        <v>173.15672762188746</v>
      </c>
      <c r="CZ93" s="62">
        <f t="shared" si="96"/>
        <v>208.54841796921414</v>
      </c>
      <c r="DA93" s="16">
        <f>IF(ISNA(VLOOKUP(A93,'Données projet'!$A$139:$I$159,3,0)),0,VLOOKUP(A93,'Données projet'!$A$139:$I$159,3,0))</f>
        <v>17</v>
      </c>
      <c r="DB93" s="16">
        <f>IF(ISNA(VLOOKUP(A93,'Données projet'!$A$139:$I$159,4,0)),0,VLOOKUP(A93,'Données projet'!$A$139:$I$159,4,0))</f>
        <v>250</v>
      </c>
      <c r="DC93" s="17">
        <f>IF(ISNA(VLOOKUP(A93,'Données projet'!$A$139:$I$159,5,0)),0%,VLOOKUP(A93,'Données projet'!$A$139:$I$159,5,0)*VLOOKUP('Données projet'!$B$13,Paramètres!$A$1:$I$89,7,0))</f>
        <v>0.34400000000000003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82.364917261627724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82.364917261627724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>
        <f>EJ93*VLOOKUP('Données projet'!$B$15,Paramètres!$A$1:$I$89,3,0)*VLOOKUP('Données projet'!$B$15,Paramètres!$A$1:$I$89,5,0)</f>
        <v>0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269.18638759204373</v>
      </c>
      <c r="EP93" s="62">
        <f t="shared" si="100"/>
        <v>197.07126167823969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165.59958319059101</v>
      </c>
      <c r="EW93" s="23">
        <f>EXP(-LN(2)/25)*EW92+(1-EXP(-LN(2)/25))/(LN(2)/25)*Calculateur!ER93*Calculateur!ET93*VLOOKUP('Données projet'!$B$15,Paramètres!$A$1:$I$89,3,0)*0.475*44/12</f>
        <v>23.912066730829611</v>
      </c>
      <c r="EX93" s="23">
        <f>EXP(-LN(2)/2)*EX92+(1-EXP(-LN(2)/2))/(LN(2)/2)*ER93*EU93*VLOOKUP('Données projet'!$B$15,Paramètres!$A$1:$I$89,3,0)*0.475*44/12</f>
        <v>0.99439768295931275</v>
      </c>
      <c r="EY93" s="24">
        <f t="shared" si="75"/>
        <v>190.50604760437994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1.1368683772161603E-13</v>
      </c>
      <c r="FF93" s="18">
        <f>FE93*VLOOKUP('Données projet'!$B$16,Paramètres!$A$1:$I$89,3,0)*VLOOKUP('Données projet'!$B$16,Paramètres!$A$1:$I$89,5,0)</f>
        <v>6.7984728957526396E-14</v>
      </c>
      <c r="FG93" s="14">
        <f t="shared" si="101"/>
        <v>1.0682447123141398E-12</v>
      </c>
      <c r="FH93" s="22">
        <f t="shared" si="76"/>
        <v>1.978932943548152E-12</v>
      </c>
      <c r="FI93" s="62">
        <f t="shared" si="77"/>
        <v>293.3333333333353</v>
      </c>
      <c r="FJ93" s="62">
        <f ca="1">AVERAGE(OFFSET($FI$3,0,0,'Données projet'!$E$16+1,1))-AVERAGE(OFFSET($H$3,0,0,'Données projet'!$E$16+1,1))</f>
        <v>330.48891719033065</v>
      </c>
      <c r="FK93" s="62">
        <f t="shared" si="102"/>
        <v>419.35494198427284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117.34629976436764</v>
      </c>
      <c r="FR93" s="23">
        <f>EXP(-LN(2)/25)*FR92+(1-EXP(-LN(2)/25))/(LN(2)/25)*Calculateur!FM93*Calculateur!FO93*VLOOKUP('Données projet'!$B$16,Paramètres!$A$1:$I$89,3,0)*0.475*44/12</f>
        <v>15.639027336871811</v>
      </c>
      <c r="FS93" s="23">
        <f>EXP(-LN(2)/2)*FS92+(1-EXP(-LN(2)/2))/(LN(2)/2)*FM93*FP93*VLOOKUP('Données projet'!$B$16,Paramètres!$A$1:$I$89,3,0)*0.475*44/12</f>
        <v>2.6503397120551355E-4</v>
      </c>
      <c r="FT93" s="24">
        <f t="shared" si="78"/>
        <v>132.98559213521065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>
        <f>FZ93*VLOOKUP('Données projet'!$B$17,Paramètres!$A$1:$I$89,3,0)*VLOOKUP('Données projet'!$B$17,Paramètres!$A$1:$I$89,5,0)</f>
        <v>0</v>
      </c>
      <c r="GB93" s="14" t="e">
        <f t="shared" si="103"/>
        <v>#NUM!</v>
      </c>
      <c r="GC93" s="22" t="e">
        <f t="shared" si="79"/>
        <v>#NUM!</v>
      </c>
      <c r="GD93" s="62" t="e">
        <f t="shared" si="80"/>
        <v>#NUM!</v>
      </c>
      <c r="GE93" s="62">
        <f ca="1">AVERAGE(OFFSET($GD$3,0,0,'Données projet'!$E$17+1,1))-AVERAGE(OFFSET($H$3,0,0,'Données projet'!$E$17+1,1))</f>
        <v>132.18258156780018</v>
      </c>
      <c r="GF93" s="62">
        <f t="shared" si="104"/>
        <v>315.58133946947294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13.21877164876058</v>
      </c>
      <c r="GM93" s="23">
        <f>EXP(-LN(2)/25)*GM92+(1-EXP(-LN(2)/25))/(LN(2)/25)*Calculateur!GH93*Calculateur!GJ93*VLOOKUP('Données projet'!$B$17,Paramètres!$A$1:$I$89,3,0)*0.475*44/12</f>
        <v>3.51541738770743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16.73418903646801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9">
        <f t="shared" si="56"/>
        <v>436.54337929848225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8.2910000000000021</v>
      </c>
      <c r="N94" s="14">
        <f>IF('Données projet'!$A$36&gt;35,N93+M94-V93,IF(A94&lt;'Données projet'!$A$36,$K$205^A94,IF(A94='Données projet'!$A$36,'Données projet'!$B$36,N93+M94-V93)))</f>
        <v>321.91700000000026</v>
      </c>
      <c r="O94" s="14">
        <f>N94*VLOOKUP('Données projet'!$B$9,Paramètres!$A$1:$I$89,3,0)*VLOOKUP('Données projet'!$B$9,Paramètres!$A$1:$I$89,5,0)</f>
        <v>291.27050160000022</v>
      </c>
      <c r="P94" s="14">
        <f t="shared" si="87"/>
        <v>69.343292010233441</v>
      </c>
      <c r="Q94" s="22">
        <f t="shared" si="54"/>
        <v>628.0690238711569</v>
      </c>
      <c r="R94" s="62">
        <f t="shared" si="55"/>
        <v>921.40235720449027</v>
      </c>
      <c r="S94" s="62">
        <f ca="1">AVERAGE(OFFSET($R$3,0,0,'Données projet'!$E$9+1,1))-AVERAGE(OFFSET($H$3,0,0,'Données projet'!$E$9+1,1))</f>
        <v>401.86262166363821</v>
      </c>
      <c r="T94" s="62">
        <f t="shared" si="88"/>
        <v>208.60314230781432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23.732852878926881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23.732852878926881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8.2910000000000021</v>
      </c>
      <c r="AI94" s="14">
        <f>IF('Données projet'!$A$62&gt;35,AI93+AH94-AQ93,IF(A94&lt;'Données projet'!$A$62,$AF$205^A94,IF(A94='Données projet'!$A$62,'Données projet'!$B$62,AI93+AH94-AQ93)))</f>
        <v>321.91700000000026</v>
      </c>
      <c r="AJ94" s="14">
        <f>AI94*VLOOKUP('Données projet'!$B$10,Paramètres!$A$1:$I$89,3,0)*VLOOKUP('Données projet'!$B$10,Paramètres!$A$1:$I$89,5,0)</f>
        <v>346.51145880000024</v>
      </c>
      <c r="AK94" s="14">
        <f t="shared" si="89"/>
        <v>80.843766123376099</v>
      </c>
      <c r="AL94" s="22">
        <f t="shared" si="58"/>
        <v>744.31035007488038</v>
      </c>
      <c r="AM94" s="62">
        <f t="shared" si="59"/>
        <v>1037.6436834082137</v>
      </c>
      <c r="AN94" s="62">
        <f ca="1">AVERAGE(OFFSET($AM$3,0,0,'Données projet'!$E$10+1,1))-AVERAGE(OFFSET($H$3,0,0,'Données projet'!$E$10+1,1))</f>
        <v>407.22515465568205</v>
      </c>
      <c r="AO94" s="62">
        <f t="shared" si="90"/>
        <v>251.6218558398258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28.23391118355093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28.23391118355093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8.2910000000000021</v>
      </c>
      <c r="BD94" s="13">
        <f>IF('Données projet'!$A$88&gt;35,BD93+BC94-BL93,IF(A94&lt;'Données projet'!$A$88,$BA$205^A94,IF(A94='Données projet'!$A$88,'Données projet'!$B$88,BD93+BC94-BL93)))</f>
        <v>321.91700000000026</v>
      </c>
      <c r="BE94" s="14">
        <f>BD94*VLOOKUP('Données projet'!$B$11,Paramètres!$A$1:$I$89,3,0)*VLOOKUP('Données projet'!$B$11,Paramètres!$A$1:$I$89,5,0)</f>
        <v>311.35812240000024</v>
      </c>
      <c r="BF94" s="14">
        <f t="shared" si="91"/>
        <v>73.552387982296665</v>
      </c>
      <c r="BG94" s="22">
        <f t="shared" si="61"/>
        <v>670.38580558250044</v>
      </c>
      <c r="BH94" s="62">
        <f t="shared" si="62"/>
        <v>963.71913891583381</v>
      </c>
      <c r="BI94" s="62">
        <f ca="1">AVERAGE(OFFSET($BH$3,0,0,'Données projet'!$E$11+1,1))-AVERAGE(OFFSET($H$3,0,0,'Données projet'!$E$11+1,1))</f>
        <v>357.76044008074308</v>
      </c>
      <c r="BJ94" s="62">
        <f t="shared" si="92"/>
        <v>224.26555772810445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25.369601353335625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25.369601353335625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8.2910000000000021</v>
      </c>
      <c r="BY94" s="13">
        <f>IF('Données projet'!$A$114&gt;35,BY93+BX94-CG93,IF(A94&lt;'Données projet'!$A$114,$BV$205^A94,IF(A94='Données projet'!$A$114,'Données projet'!$B$114,BY93+BX94-CG93)))</f>
        <v>321.91700000000026</v>
      </c>
      <c r="BZ94" s="14">
        <f>BY94*VLOOKUP('Données projet'!$B$12,Paramètres!$A$1:$I$89,3,0)*VLOOKUP('Données projet'!$B$12,Paramètres!$A$1:$I$89,5,0)</f>
        <v>215.94192360000017</v>
      </c>
      <c r="CA94" s="14">
        <f t="shared" si="93"/>
        <v>53.231929431108412</v>
      </c>
      <c r="CB94" s="22">
        <f t="shared" si="64"/>
        <v>468.81112736251407</v>
      </c>
      <c r="CC94" s="62">
        <f t="shared" si="65"/>
        <v>762.14446069584733</v>
      </c>
      <c r="CD94" s="62">
        <f ca="1">AVERAGE(OFFSET($CC$3,0,0,'Données projet'!$E$12+1,1))-AVERAGE(OFFSET($H$3,0,0,'Données projet'!$E$12+1,1))</f>
        <v>222.86701323374945</v>
      </c>
      <c r="CE94" s="62">
        <f t="shared" si="94"/>
        <v>149.63671045240511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21.686917285915936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21.686917285915936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8.5265128291212022E-14</v>
      </c>
      <c r="CU94" s="18">
        <f>CT94*VLOOKUP('Données projet'!$B$13,Paramètres!$A$1:$I$89,3,0)*VLOOKUP('Données projet'!$B$13,Paramètres!$A$1:$I$89,5,0)</f>
        <v>5.5865712056402117E-14</v>
      </c>
      <c r="CV94" s="14">
        <f t="shared" si="95"/>
        <v>8.9811031843713517E-13</v>
      </c>
      <c r="CW94" s="22">
        <f t="shared" si="67"/>
        <v>1.6615082531095774E-12</v>
      </c>
      <c r="CX94" s="62">
        <f t="shared" si="68"/>
        <v>293.33333333333496</v>
      </c>
      <c r="CY94" s="62">
        <f ca="1">AVERAGE(OFFSET($CX$3,0,0,'Données projet'!$E$13+1,1))-AVERAGE(OFFSET($H$3,0,0,'Données projet'!$E$13+1,1))</f>
        <v>173.15672762188746</v>
      </c>
      <c r="CZ94" s="62">
        <f t="shared" si="96"/>
        <v>208.54841796921414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80.749791471766173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80.749791471766173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>
        <f>EJ94*VLOOKUP('Données projet'!$B$15,Paramètres!$A$1:$I$89,3,0)*VLOOKUP('Données projet'!$B$15,Paramètres!$A$1:$I$89,5,0)</f>
        <v>0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269.18638759204373</v>
      </c>
      <c r="EP94" s="62">
        <f t="shared" si="100"/>
        <v>197.07126167823969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162.35227636999576</v>
      </c>
      <c r="EW94" s="23">
        <f>EXP(-LN(2)/25)*EW93+(1-EXP(-LN(2)/25))/(LN(2)/25)*Calculateur!ER94*Calculateur!ET94*VLOOKUP('Données projet'!$B$15,Paramètres!$A$1:$I$89,3,0)*0.475*44/12</f>
        <v>23.258190008594138</v>
      </c>
      <c r="EX94" s="23">
        <f>EXP(-LN(2)/2)*EX93+(1-EXP(-LN(2)/2))/(LN(2)/2)*ER94*EU94*VLOOKUP('Données projet'!$B$15,Paramètres!$A$1:$I$89,3,0)*0.475*44/12</f>
        <v>0.70314534481672064</v>
      </c>
      <c r="EY94" s="24">
        <f t="shared" si="75"/>
        <v>186.31361172340664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1.1368683772161603E-13</v>
      </c>
      <c r="FF94" s="18">
        <f>FE94*VLOOKUP('Données projet'!$B$16,Paramètres!$A$1:$I$89,3,0)*VLOOKUP('Données projet'!$B$16,Paramètres!$A$1:$I$89,5,0)</f>
        <v>6.7984728957526396E-14</v>
      </c>
      <c r="FG94" s="14">
        <f t="shared" si="101"/>
        <v>1.0682447123141398E-12</v>
      </c>
      <c r="FH94" s="22">
        <f t="shared" si="76"/>
        <v>1.978932943548152E-12</v>
      </c>
      <c r="FI94" s="62">
        <f t="shared" si="77"/>
        <v>293.3333333333353</v>
      </c>
      <c r="FJ94" s="62">
        <f ca="1">AVERAGE(OFFSET($FI$3,0,0,'Données projet'!$E$16+1,1))-AVERAGE(OFFSET($H$3,0,0,'Données projet'!$E$16+1,1))</f>
        <v>330.48891719033065</v>
      </c>
      <c r="FK94" s="62">
        <f t="shared" si="102"/>
        <v>419.35494198427284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115.04521040016388</v>
      </c>
      <c r="FR94" s="23">
        <f>EXP(-LN(2)/25)*FR93+(1-EXP(-LN(2)/25))/(LN(2)/25)*Calculateur!FM94*Calculateur!FO94*VLOOKUP('Données projet'!$B$16,Paramètres!$A$1:$I$89,3,0)*0.475*44/12</f>
        <v>15.211377311924347</v>
      </c>
      <c r="FS94" s="23">
        <f>EXP(-LN(2)/2)*FS93+(1-EXP(-LN(2)/2))/(LN(2)/2)*FM94*FP94*VLOOKUP('Données projet'!$B$16,Paramètres!$A$1:$I$89,3,0)*0.475*44/12</f>
        <v>1.8740731828421881E-4</v>
      </c>
      <c r="FT94" s="24">
        <f t="shared" si="78"/>
        <v>130.25677511940651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>
        <f>FZ94*VLOOKUP('Données projet'!$B$17,Paramètres!$A$1:$I$89,3,0)*VLOOKUP('Données projet'!$B$17,Paramètres!$A$1:$I$89,5,0)</f>
        <v>0</v>
      </c>
      <c r="GB94" s="14" t="e">
        <f t="shared" si="103"/>
        <v>#NUM!</v>
      </c>
      <c r="GC94" s="22" t="e">
        <f t="shared" si="79"/>
        <v>#NUM!</v>
      </c>
      <c r="GD94" s="62" t="e">
        <f t="shared" si="80"/>
        <v>#NUM!</v>
      </c>
      <c r="GE94" s="62">
        <f ca="1">AVERAGE(OFFSET($GD$3,0,0,'Données projet'!$E$17+1,1))-AVERAGE(OFFSET($H$3,0,0,'Données projet'!$E$17+1,1))</f>
        <v>132.18258156780018</v>
      </c>
      <c r="GF94" s="62">
        <f t="shared" si="104"/>
        <v>315.58133946947294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12.959559599382969</v>
      </c>
      <c r="GM94" s="23">
        <f>EXP(-LN(2)/25)*GM93+(1-EXP(-LN(2)/25))/(LN(2)/25)*Calculateur!GH94*Calculateur!GJ94*VLOOKUP('Données projet'!$B$17,Paramètres!$A$1:$I$89,3,0)*0.475*44/12</f>
        <v>3.4192881143728044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16.378847713755775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9">
        <f t="shared" si="56"/>
        <v>438.46998905421867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8.2910000000000021</v>
      </c>
      <c r="N95" s="14">
        <f>IF('Données projet'!$A$36&gt;35,N94+M95-V94,IF(A95&lt;'Données projet'!$A$36,$K$205^A95,IF(A95='Données projet'!$A$36,'Données projet'!$B$36,N94+M95-V94)))</f>
        <v>330.20800000000025</v>
      </c>
      <c r="O95" s="14">
        <f>N95*VLOOKUP('Données projet'!$B$9,Paramètres!$A$1:$I$89,3,0)*VLOOKUP('Données projet'!$B$9,Paramètres!$A$1:$I$89,5,0)</f>
        <v>298.77219840000021</v>
      </c>
      <c r="P95" s="14">
        <f t="shared" si="87"/>
        <v>70.919007696700163</v>
      </c>
      <c r="Q95" s="22">
        <f t="shared" si="54"/>
        <v>643.87885061841985</v>
      </c>
      <c r="R95" s="62">
        <f t="shared" si="55"/>
        <v>937.2121839517531</v>
      </c>
      <c r="S95" s="62">
        <f ca="1">AVERAGE(OFFSET($R$3,0,0,'Données projet'!$E$9+1,1))-AVERAGE(OFFSET($H$3,0,0,'Données projet'!$E$9+1,1))</f>
        <v>401.86262166363821</v>
      </c>
      <c r="T95" s="62">
        <f t="shared" si="88"/>
        <v>208.60314230781432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23.267466109582035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23.267466109582035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8.2910000000000021</v>
      </c>
      <c r="AI95" s="14">
        <f>IF('Données projet'!$A$62&gt;35,AI94+AH95-AQ94,IF(A95&lt;'Données projet'!$A$62,$AF$205^A95,IF(A95='Données projet'!$A$62,'Données projet'!$B$62,AI94+AH95-AQ94)))</f>
        <v>330.20800000000025</v>
      </c>
      <c r="AJ95" s="14">
        <f>AI95*VLOOKUP('Données projet'!$B$10,Paramètres!$A$1:$I$89,3,0)*VLOOKUP('Données projet'!$B$10,Paramètres!$A$1:$I$89,5,0)</f>
        <v>355.43589120000024</v>
      </c>
      <c r="AK95" s="14">
        <f t="shared" si="89"/>
        <v>82.68081173717313</v>
      </c>
      <c r="AL95" s="22">
        <f t="shared" si="58"/>
        <v>763.05325761557697</v>
      </c>
      <c r="AM95" s="62">
        <f t="shared" si="59"/>
        <v>1056.3865909489102</v>
      </c>
      <c r="AN95" s="62">
        <f ca="1">AVERAGE(OFFSET($AM$3,0,0,'Données projet'!$E$10+1,1))-AVERAGE(OFFSET($H$3,0,0,'Données projet'!$E$10+1,1))</f>
        <v>407.22515465568205</v>
      </c>
      <c r="AO95" s="62">
        <f t="shared" si="90"/>
        <v>251.6218558398258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27.680261406226887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27.680261406226887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8.2910000000000021</v>
      </c>
      <c r="BD95" s="13">
        <f>IF('Données projet'!$A$88&gt;35,BD94+BC95-BL94,IF(A95&lt;'Données projet'!$A$88,$BA$205^A95,IF(A95='Données projet'!$A$88,'Données projet'!$B$88,BD94+BC95-BL94)))</f>
        <v>330.20800000000025</v>
      </c>
      <c r="BE95" s="14">
        <f>BD95*VLOOKUP('Données projet'!$B$11,Paramètres!$A$1:$I$89,3,0)*VLOOKUP('Données projet'!$B$11,Paramètres!$A$1:$I$89,5,0)</f>
        <v>319.37717760000021</v>
      </c>
      <c r="BF95" s="14">
        <f t="shared" si="91"/>
        <v>75.223748659890148</v>
      </c>
      <c r="BG95" s="22">
        <f t="shared" si="61"/>
        <v>687.26327990264235</v>
      </c>
      <c r="BH95" s="62">
        <f t="shared" si="62"/>
        <v>980.59661323597561</v>
      </c>
      <c r="BI95" s="62">
        <f ca="1">AVERAGE(OFFSET($BH$3,0,0,'Données projet'!$E$11+1,1))-AVERAGE(OFFSET($H$3,0,0,'Données projet'!$E$11+1,1))</f>
        <v>357.76044008074308</v>
      </c>
      <c r="BJ95" s="62">
        <f t="shared" si="92"/>
        <v>224.26555772810445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24.872118944725614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24.872118944725614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8.2910000000000021</v>
      </c>
      <c r="BY95" s="13">
        <f>IF('Données projet'!$A$114&gt;35,BY94+BX95-CG94,IF(A95&lt;'Données projet'!$A$114,$BV$205^A95,IF(A95='Données projet'!$A$114,'Données projet'!$B$114,BY94+BX95-CG94)))</f>
        <v>330.20800000000025</v>
      </c>
      <c r="BZ95" s="14">
        <f>BY95*VLOOKUP('Données projet'!$B$12,Paramètres!$A$1:$I$89,3,0)*VLOOKUP('Données projet'!$B$12,Paramètres!$A$1:$I$89,5,0)</f>
        <v>221.5035264000002</v>
      </c>
      <c r="CA95" s="14">
        <f t="shared" si="93"/>
        <v>54.441540105679579</v>
      </c>
      <c r="CB95" s="22">
        <f t="shared" si="64"/>
        <v>480.60432416405894</v>
      </c>
      <c r="CC95" s="62">
        <f t="shared" si="65"/>
        <v>773.93765749739225</v>
      </c>
      <c r="CD95" s="62">
        <f ca="1">AVERAGE(OFFSET($CC$3,0,0,'Données projet'!$E$12+1,1))-AVERAGE(OFFSET($H$3,0,0,'Données projet'!$E$12+1,1))</f>
        <v>222.86701323374945</v>
      </c>
      <c r="CE95" s="62">
        <f t="shared" si="94"/>
        <v>149.63671045240511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21.261650065652539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21.261650065652539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8.5265128291212022E-14</v>
      </c>
      <c r="CU95" s="18">
        <f>CT95*VLOOKUP('Données projet'!$B$13,Paramètres!$A$1:$I$89,3,0)*VLOOKUP('Données projet'!$B$13,Paramètres!$A$1:$I$89,5,0)</f>
        <v>5.5865712056402117E-14</v>
      </c>
      <c r="CV95" s="14">
        <f t="shared" si="95"/>
        <v>8.9811031843713517E-13</v>
      </c>
      <c r="CW95" s="22">
        <f t="shared" si="67"/>
        <v>1.6615082531095774E-12</v>
      </c>
      <c r="CX95" s="62">
        <f t="shared" si="68"/>
        <v>293.33333333333496</v>
      </c>
      <c r="CY95" s="62">
        <f ca="1">AVERAGE(OFFSET($CX$3,0,0,'Données projet'!$E$13+1,1))-AVERAGE(OFFSET($H$3,0,0,'Données projet'!$E$13+1,1))</f>
        <v>173.15672762188746</v>
      </c>
      <c r="CZ95" s="62">
        <f t="shared" si="96"/>
        <v>208.54841796921414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79.166337313514362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79.166337313514362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>
        <f>EJ95*VLOOKUP('Données projet'!$B$15,Paramètres!$A$1:$I$89,3,0)*VLOOKUP('Données projet'!$B$15,Paramètres!$A$1:$I$89,5,0)</f>
        <v>0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269.18638759204373</v>
      </c>
      <c r="EP95" s="62">
        <f t="shared" si="100"/>
        <v>197.07126167823969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159.16864725549081</v>
      </c>
      <c r="EW95" s="23">
        <f>EXP(-LN(2)/25)*EW94+(1-EXP(-LN(2)/25))/(LN(2)/25)*Calculateur!ER95*Calculateur!ET95*VLOOKUP('Données projet'!$B$15,Paramètres!$A$1:$I$89,3,0)*0.475*44/12</f>
        <v>22.622193579714075</v>
      </c>
      <c r="EX95" s="23">
        <f>EXP(-LN(2)/2)*EX94+(1-EXP(-LN(2)/2))/(LN(2)/2)*ER95*EU95*VLOOKUP('Données projet'!$B$15,Paramètres!$A$1:$I$89,3,0)*0.475*44/12</f>
        <v>0.49719884147965643</v>
      </c>
      <c r="EY95" s="24">
        <f t="shared" si="75"/>
        <v>182.28803967668452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1.1368683772161603E-13</v>
      </c>
      <c r="FF95" s="18">
        <f>FE95*VLOOKUP('Données projet'!$B$16,Paramètres!$A$1:$I$89,3,0)*VLOOKUP('Données projet'!$B$16,Paramètres!$A$1:$I$89,5,0)</f>
        <v>6.7984728957526396E-14</v>
      </c>
      <c r="FG95" s="14">
        <f t="shared" si="101"/>
        <v>1.0682447123141398E-12</v>
      </c>
      <c r="FH95" s="22">
        <f t="shared" si="76"/>
        <v>1.978932943548152E-12</v>
      </c>
      <c r="FI95" s="62">
        <f t="shared" si="77"/>
        <v>293.3333333333353</v>
      </c>
      <c r="FJ95" s="62">
        <f ca="1">AVERAGE(OFFSET($FI$3,0,0,'Données projet'!$E$16+1,1))-AVERAGE(OFFSET($H$3,0,0,'Données projet'!$E$16+1,1))</f>
        <v>330.48891719033065</v>
      </c>
      <c r="FK95" s="62">
        <f t="shared" si="102"/>
        <v>419.35494198427284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112.78924399486624</v>
      </c>
      <c r="FR95" s="23">
        <f>EXP(-LN(2)/25)*FR94+(1-EXP(-LN(2)/25))/(LN(2)/25)*Calculateur!FM95*Calculateur!FO95*VLOOKUP('Données projet'!$B$16,Paramètres!$A$1:$I$89,3,0)*0.475*44/12</f>
        <v>14.795421399398208</v>
      </c>
      <c r="FS95" s="23">
        <f>EXP(-LN(2)/2)*FS94+(1-EXP(-LN(2)/2))/(LN(2)/2)*FM95*FP95*VLOOKUP('Données projet'!$B$16,Paramètres!$A$1:$I$89,3,0)*0.475*44/12</f>
        <v>1.3251698560275677E-4</v>
      </c>
      <c r="FT95" s="24">
        <f t="shared" si="78"/>
        <v>127.58479791125005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>
        <f>FZ95*VLOOKUP('Données projet'!$B$17,Paramètres!$A$1:$I$89,3,0)*VLOOKUP('Données projet'!$B$17,Paramètres!$A$1:$I$89,5,0)</f>
        <v>0</v>
      </c>
      <c r="GB95" s="14" t="e">
        <f t="shared" si="103"/>
        <v>#NUM!</v>
      </c>
      <c r="GC95" s="22" t="e">
        <f t="shared" si="79"/>
        <v>#NUM!</v>
      </c>
      <c r="GD95" s="62" t="e">
        <f t="shared" si="80"/>
        <v>#NUM!</v>
      </c>
      <c r="GE95" s="62">
        <f ca="1">AVERAGE(OFFSET($GD$3,0,0,'Données projet'!$E$17+1,1))-AVERAGE(OFFSET($H$3,0,0,'Données projet'!$E$17+1,1))</f>
        <v>132.18258156780018</v>
      </c>
      <c r="GF95" s="62">
        <f t="shared" si="104"/>
        <v>315.58133946947294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12.705430540189914</v>
      </c>
      <c r="GM95" s="23">
        <f>EXP(-LN(2)/25)*GM94+(1-EXP(-LN(2)/25))/(LN(2)/25)*Calculateur!GH95*Calculateur!GJ95*VLOOKUP('Données projet'!$B$17,Paramètres!$A$1:$I$89,3,0)*0.475*44/12</f>
        <v>3.3257875010727331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16.031218041262647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9">
        <f t="shared" si="56"/>
        <v>440.39612095171111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8.2910000000000021</v>
      </c>
      <c r="N96" s="14">
        <f>IF('Données projet'!$A$36&gt;35,N95+M96-V95,IF(A96&lt;'Données projet'!$A$36,$K$205^A96,IF(A96='Données projet'!$A$36,'Données projet'!$B$36,N95+M96-V95)))</f>
        <v>338.49900000000025</v>
      </c>
      <c r="O96" s="14">
        <f>N96*VLOOKUP('Données projet'!$B$9,Paramètres!$A$1:$I$89,3,0)*VLOOKUP('Données projet'!$B$9,Paramètres!$A$1:$I$89,5,0)</f>
        <v>306.27389520000025</v>
      </c>
      <c r="P96" s="14">
        <f t="shared" si="87"/>
        <v>72.490124377904692</v>
      </c>
      <c r="Q96" s="22">
        <f t="shared" si="54"/>
        <v>659.68066743151769</v>
      </c>
      <c r="R96" s="62">
        <f t="shared" si="55"/>
        <v>953.01400076485106</v>
      </c>
      <c r="S96" s="62">
        <f ca="1">AVERAGE(OFFSET($R$3,0,0,'Données projet'!$E$9+1,1))-AVERAGE(OFFSET($H$3,0,0,'Données projet'!$E$9+1,1))</f>
        <v>401.86262166363821</v>
      </c>
      <c r="T96" s="62">
        <f t="shared" si="88"/>
        <v>208.60314230781432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22.811205290926139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22.811205290926139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8.2910000000000021</v>
      </c>
      <c r="AI96" s="14">
        <f>IF('Données projet'!$A$62&gt;35,AI95+AH96-AQ95,IF(A96&lt;'Données projet'!$A$62,$AF$205^A96,IF(A96='Données projet'!$A$62,'Données projet'!$B$62,AI95+AH96-AQ95)))</f>
        <v>338.49900000000025</v>
      </c>
      <c r="AJ96" s="14">
        <f>AI96*VLOOKUP('Données projet'!$B$10,Paramètres!$A$1:$I$89,3,0)*VLOOKUP('Données projet'!$B$10,Paramètres!$A$1:$I$89,5,0)</f>
        <v>364.36032360000024</v>
      </c>
      <c r="AK96" s="14">
        <f t="shared" si="89"/>
        <v>84.512495608038222</v>
      </c>
      <c r="AL96" s="22">
        <f t="shared" si="58"/>
        <v>781.78682678733367</v>
      </c>
      <c r="AM96" s="62">
        <f t="shared" si="59"/>
        <v>1075.1201601206669</v>
      </c>
      <c r="AN96" s="62">
        <f ca="1">AVERAGE(OFFSET($AM$3,0,0,'Données projet'!$E$10+1,1))-AVERAGE(OFFSET($H$3,0,0,'Données projet'!$E$10+1,1))</f>
        <v>407.22515465568205</v>
      </c>
      <c r="AO96" s="62">
        <f t="shared" si="90"/>
        <v>251.6218558398258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27.137468363343149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27.137468363343149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8.2910000000000021</v>
      </c>
      <c r="BD96" s="13">
        <f>IF('Données projet'!$A$88&gt;35,BD95+BC96-BL95,IF(A96&lt;'Données projet'!$A$88,$BA$205^A96,IF(A96='Données projet'!$A$88,'Données projet'!$B$88,BD95+BC96-BL95)))</f>
        <v>338.49900000000025</v>
      </c>
      <c r="BE96" s="14">
        <f>BD96*VLOOKUP('Données projet'!$B$11,Paramètres!$A$1:$I$89,3,0)*VLOOKUP('Données projet'!$B$11,Paramètres!$A$1:$I$89,5,0)</f>
        <v>327.39623280000023</v>
      </c>
      <c r="BF96" s="14">
        <f t="shared" si="91"/>
        <v>76.890231175377878</v>
      </c>
      <c r="BG96" s="22">
        <f t="shared" si="61"/>
        <v>704.13225809045025</v>
      </c>
      <c r="BH96" s="62">
        <f t="shared" si="62"/>
        <v>997.46559142378351</v>
      </c>
      <c r="BI96" s="62">
        <f ca="1">AVERAGE(OFFSET($BH$3,0,0,'Données projet'!$E$11+1,1))-AVERAGE(OFFSET($H$3,0,0,'Données projet'!$E$11+1,1))</f>
        <v>357.76044008074308</v>
      </c>
      <c r="BJ96" s="62">
        <f t="shared" si="92"/>
        <v>224.26555772810445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24.384391862714139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24.384391862714139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8.2910000000000021</v>
      </c>
      <c r="BY96" s="13">
        <f>IF('Données projet'!$A$114&gt;35,BY95+BX96-CG95,IF(A96&lt;'Données projet'!$A$114,$BV$205^A96,IF(A96='Données projet'!$A$114,'Données projet'!$B$114,BY95+BX96-CG95)))</f>
        <v>338.49900000000025</v>
      </c>
      <c r="BZ96" s="14">
        <f>BY96*VLOOKUP('Données projet'!$B$12,Paramètres!$A$1:$I$89,3,0)*VLOOKUP('Données projet'!$B$12,Paramètres!$A$1:$I$89,5,0)</f>
        <v>227.06512920000017</v>
      </c>
      <c r="CA96" s="14">
        <f t="shared" si="93"/>
        <v>55.64762031729645</v>
      </c>
      <c r="CB96" s="22">
        <f t="shared" si="64"/>
        <v>492.39137207595832</v>
      </c>
      <c r="CC96" s="62">
        <f t="shared" si="65"/>
        <v>785.72470540929157</v>
      </c>
      <c r="CD96" s="62">
        <f ca="1">AVERAGE(OFFSET($CC$3,0,0,'Données projet'!$E$12+1,1))-AVERAGE(OFFSET($H$3,0,0,'Données projet'!$E$12+1,1))</f>
        <v>222.86701323374945</v>
      </c>
      <c r="CE96" s="62">
        <f t="shared" si="94"/>
        <v>149.63671045240511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20.844722076191118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20.844722076191118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8.5265128291212022E-14</v>
      </c>
      <c r="CU96" s="18">
        <f>CT96*VLOOKUP('Données projet'!$B$13,Paramètres!$A$1:$I$89,3,0)*VLOOKUP('Données projet'!$B$13,Paramètres!$A$1:$I$89,5,0)</f>
        <v>5.5865712056402117E-14</v>
      </c>
      <c r="CV96" s="14">
        <f t="shared" si="95"/>
        <v>8.9811031843713517E-13</v>
      </c>
      <c r="CW96" s="22">
        <f t="shared" si="67"/>
        <v>1.6615082531095774E-12</v>
      </c>
      <c r="CX96" s="62">
        <f t="shared" si="68"/>
        <v>293.33333333333496</v>
      </c>
      <c r="CY96" s="62">
        <f ca="1">AVERAGE(OFFSET($CX$3,0,0,'Données projet'!$E$13+1,1))-AVERAGE(OFFSET($H$3,0,0,'Données projet'!$E$13+1,1))</f>
        <v>173.15672762188746</v>
      </c>
      <c r="CZ96" s="62">
        <f t="shared" si="96"/>
        <v>208.54841796921414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77.613933725494192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77.613933725494192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>
        <f>EJ96*VLOOKUP('Données projet'!$B$15,Paramètres!$A$1:$I$89,3,0)*VLOOKUP('Données projet'!$B$15,Paramètres!$A$1:$I$89,5,0)</f>
        <v>0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269.18638759204373</v>
      </c>
      <c r="EP96" s="62">
        <f t="shared" si="100"/>
        <v>197.07126167823969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156.04744716609929</v>
      </c>
      <c r="EW96" s="23">
        <f>EXP(-LN(2)/25)*EW95+(1-EXP(-LN(2)/25))/(LN(2)/25)*Calculateur!ER96*Calculateur!ET96*VLOOKUP('Données projet'!$B$15,Paramètres!$A$1:$I$89,3,0)*0.475*44/12</f>
        <v>22.003588506627338</v>
      </c>
      <c r="EX96" s="23">
        <f>EXP(-LN(2)/2)*EX95+(1-EXP(-LN(2)/2))/(LN(2)/2)*ER96*EU96*VLOOKUP('Données projet'!$B$15,Paramètres!$A$1:$I$89,3,0)*0.475*44/12</f>
        <v>0.35157267240836038</v>
      </c>
      <c r="EY96" s="24">
        <f t="shared" si="75"/>
        <v>178.40260834513501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1.1368683772161603E-13</v>
      </c>
      <c r="FF96" s="18">
        <f>FE96*VLOOKUP('Données projet'!$B$16,Paramètres!$A$1:$I$89,3,0)*VLOOKUP('Données projet'!$B$16,Paramètres!$A$1:$I$89,5,0)</f>
        <v>6.7984728957526396E-14</v>
      </c>
      <c r="FG96" s="14">
        <f t="shared" si="101"/>
        <v>1.0682447123141398E-12</v>
      </c>
      <c r="FH96" s="22">
        <f t="shared" si="76"/>
        <v>1.978932943548152E-12</v>
      </c>
      <c r="FI96" s="62">
        <f t="shared" si="77"/>
        <v>293.3333333333353</v>
      </c>
      <c r="FJ96" s="62">
        <f ca="1">AVERAGE(OFFSET($FI$3,0,0,'Données projet'!$E$16+1,1))-AVERAGE(OFFSET($H$3,0,0,'Données projet'!$E$16+1,1))</f>
        <v>330.48891719033065</v>
      </c>
      <c r="FK96" s="62">
        <f t="shared" si="102"/>
        <v>419.35494198427284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110.57751571477284</v>
      </c>
      <c r="FR96" s="23">
        <f>EXP(-LN(2)/25)*FR95+(1-EXP(-LN(2)/25))/(LN(2)/25)*Calculateur!FM96*Calculateur!FO96*VLOOKUP('Données projet'!$B$16,Paramètres!$A$1:$I$89,3,0)*0.475*44/12</f>
        <v>14.390839823174268</v>
      </c>
      <c r="FS96" s="23">
        <f>EXP(-LN(2)/2)*FS95+(1-EXP(-LN(2)/2))/(LN(2)/2)*FM96*FP96*VLOOKUP('Données projet'!$B$16,Paramètres!$A$1:$I$89,3,0)*0.475*44/12</f>
        <v>9.3703659142109404E-5</v>
      </c>
      <c r="FT96" s="24">
        <f t="shared" si="78"/>
        <v>124.96844924160625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>
        <f>FZ96*VLOOKUP('Données projet'!$B$17,Paramètres!$A$1:$I$89,3,0)*VLOOKUP('Données projet'!$B$17,Paramètres!$A$1:$I$89,5,0)</f>
        <v>0</v>
      </c>
      <c r="GB96" s="14" t="e">
        <f t="shared" si="103"/>
        <v>#NUM!</v>
      </c>
      <c r="GC96" s="22" t="e">
        <f t="shared" si="79"/>
        <v>#NUM!</v>
      </c>
      <c r="GD96" s="62" t="e">
        <f t="shared" si="80"/>
        <v>#NUM!</v>
      </c>
      <c r="GE96" s="62">
        <f ca="1">AVERAGE(OFFSET($GD$3,0,0,'Données projet'!$E$17+1,1))-AVERAGE(OFFSET($H$3,0,0,'Données projet'!$E$17+1,1))</f>
        <v>132.18258156780018</v>
      </c>
      <c r="GF96" s="62">
        <f t="shared" si="104"/>
        <v>315.58133946947294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12.456284796844216</v>
      </c>
      <c r="GM96" s="23">
        <f>EXP(-LN(2)/25)*GM95+(1-EXP(-LN(2)/25))/(LN(2)/25)*Calculateur!GH96*Calculateur!GJ96*VLOOKUP('Données projet'!$B$17,Paramètres!$A$1:$I$89,3,0)*0.475*44/12</f>
        <v>3.2348436669603355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15.691128463804551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9">
        <f t="shared" si="56"/>
        <v>442.32178072394748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>
        <f>VLOOKUP(A97,'Données projet'!$A$35:$I$55,2,0)</f>
        <v>346.79</v>
      </c>
      <c r="L97" s="13">
        <f>VLOOKUP(A97,'Données projet'!$A$35:$I$55,9,0)</f>
        <v>8.2910000000000021</v>
      </c>
      <c r="M97" s="13">
        <f t="array" ref="M97">INDEX(L:L,MIN(IF(ISNUMBER(L97:L293),ROW(L97:L293),"")))</f>
        <v>8.2910000000000021</v>
      </c>
      <c r="N97" s="14">
        <f>IF('Données projet'!$A$36&gt;35,N96+M97-V96,IF(A97&lt;'Données projet'!$A$36,$K$205^A97,IF(A97='Données projet'!$A$36,'Données projet'!$B$36,N96+M97-V96)))</f>
        <v>346.79000000000025</v>
      </c>
      <c r="O97" s="14">
        <f>N97*VLOOKUP('Données projet'!$B$9,Paramètres!$A$1:$I$89,3,0)*VLOOKUP('Données projet'!$B$9,Paramètres!$A$1:$I$89,5,0)</f>
        <v>313.77559200000019</v>
      </c>
      <c r="P97" s="14">
        <f t="shared" si="87"/>
        <v>74.056767657464533</v>
      </c>
      <c r="Q97" s="22">
        <f t="shared" si="54"/>
        <v>675.47469307008441</v>
      </c>
      <c r="R97" s="62">
        <f t="shared" si="55"/>
        <v>968.80802640341767</v>
      </c>
      <c r="S97" s="62">
        <f ca="1">AVERAGE(OFFSET($R$3,0,0,'Données projet'!$E$9+1,1))-AVERAGE(OFFSET($H$3,0,0,'Données projet'!$E$9+1,1))</f>
        <v>401.86262166363821</v>
      </c>
      <c r="T97" s="62">
        <f t="shared" si="88"/>
        <v>208.60314230781432</v>
      </c>
      <c r="U97" s="16">
        <f>IF(ISNA(VLOOKUP(A97,'Données projet'!$A$35:$I$55,3,0)),0,VLOOKUP(A97,'Données projet'!$A$35:$I$55,3,0))</f>
        <v>7</v>
      </c>
      <c r="V97" s="16">
        <f>IF(ISNA(VLOOKUP(A97,'Données projet'!$A$35:$I$55,4,0)),0,VLOOKUP(A97,'Données projet'!$A$35:$I$55,4,0))</f>
        <v>61.85</v>
      </c>
      <c r="W97" s="17">
        <f>IF(ISNA(VLOOKUP(A97,'Données projet'!$A$35:$I$55,5,0)),0%,VLOOKUP(A97,'Données projet'!$A$35:$I$55,5,0)*VLOOKUP('Données projet'!$B$9,Paramètres!$A$1:$I$89,7,0))</f>
        <v>0.215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35.664694624072609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35.664694624072609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>
        <f>VLOOKUP(A97,'Données projet'!$A$61:$I$81,2,0)</f>
        <v>346.79</v>
      </c>
      <c r="AG97" s="13">
        <f>VLOOKUP(A97,'Données projet'!$A$61:$I$81,9,0)</f>
        <v>8.2910000000000021</v>
      </c>
      <c r="AH97" s="13">
        <f t="array" ref="AH97">INDEX(AG:AG,MIN(IF(ISNUMBER(AG97:AG293),ROW(AG97:AG293),"")))</f>
        <v>8.2910000000000021</v>
      </c>
      <c r="AI97" s="14">
        <f>IF('Données projet'!$A$62&gt;35,AI96+AH97-AQ96,IF(A97&lt;'Données projet'!$A$62,$AF$205^A97,IF(A97='Données projet'!$A$62,'Données projet'!$B$62,AI96+AH97-AQ96)))</f>
        <v>346.79000000000025</v>
      </c>
      <c r="AJ97" s="14">
        <f>AI97*VLOOKUP('Données projet'!$B$10,Paramètres!$A$1:$I$89,3,0)*VLOOKUP('Données projet'!$B$10,Paramètres!$A$1:$I$89,5,0)</f>
        <v>373.28475600000024</v>
      </c>
      <c r="AK97" s="14">
        <f t="shared" si="89"/>
        <v>86.338964170748</v>
      </c>
      <c r="AL97" s="22">
        <f t="shared" si="58"/>
        <v>800.51131263071977</v>
      </c>
      <c r="AM97" s="62">
        <f t="shared" si="59"/>
        <v>1093.8446459640531</v>
      </c>
      <c r="AN97" s="62">
        <f ca="1">AVERAGE(OFFSET($AM$3,0,0,'Données projet'!$E$10+1,1))-AVERAGE(OFFSET($H$3,0,0,'Données projet'!$E$10+1,1))</f>
        <v>407.22515465568205</v>
      </c>
      <c r="AO97" s="62">
        <f t="shared" si="90"/>
        <v>251.6218558398258</v>
      </c>
      <c r="AP97" s="16">
        <f>IF(ISNA(VLOOKUP(A97,'Données projet'!$A$61:$I$81,3,0)),0,VLOOKUP(A97,'Données projet'!$A$61:$I$81,3,0))</f>
        <v>7</v>
      </c>
      <c r="AQ97" s="16">
        <f>IF(ISNA(VLOOKUP(A97,'Données projet'!$A$61:$I$81,4,0)),0,VLOOKUP(A97,'Données projet'!$A$61:$I$81,4,0))</f>
        <v>61.85</v>
      </c>
      <c r="AR97" s="17">
        <f>IF(ISNA(VLOOKUP(A97,'Données projet'!$A$61:$I$81,5,0)),0%,VLOOKUP(A97,'Données projet'!$A$61:$I$81,5,0)*VLOOKUP('Données projet'!$B$10,Paramètres!$A$1:$I$89,7,0))</f>
        <v>0.215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42.428688432086368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42.428688432086368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>
        <f>VLOOKUP(A97,'Données projet'!$A$87:$I$107,2,0)</f>
        <v>346.79</v>
      </c>
      <c r="BB97" s="13">
        <f>VLOOKUP(A97,'Données projet'!$A$87:$I$107,9,0)</f>
        <v>8.2910000000000021</v>
      </c>
      <c r="BC97" s="13">
        <f t="array" ref="BC97">INDEX(BB:BB,MIN(IF(ISNUMBER(BB97:BB293),ROW(BB97:BB293),"")))</f>
        <v>8.2910000000000021</v>
      </c>
      <c r="BD97" s="13">
        <f>IF('Données projet'!$A$88&gt;35,BD96+BC97-BL96,IF(A97&lt;'Données projet'!$A$88,$BA$205^A97,IF(A97='Données projet'!$A$88,'Données projet'!$B$88,BD96+BC97-BL96)))</f>
        <v>346.79000000000025</v>
      </c>
      <c r="BE97" s="14">
        <f>BD97*VLOOKUP('Données projet'!$B$11,Paramètres!$A$1:$I$89,3,0)*VLOOKUP('Données projet'!$B$11,Paramètres!$A$1:$I$89,5,0)</f>
        <v>335.41528800000026</v>
      </c>
      <c r="BF97" s="14">
        <f t="shared" si="91"/>
        <v>78.551968756441127</v>
      </c>
      <c r="BG97" s="22">
        <f t="shared" si="61"/>
        <v>720.9929721841354</v>
      </c>
      <c r="BH97" s="62">
        <f t="shared" si="62"/>
        <v>1014.3263055174687</v>
      </c>
      <c r="BI97" s="62">
        <f ca="1">AVERAGE(OFFSET($BH$3,0,0,'Données projet'!$E$11+1,1))-AVERAGE(OFFSET($H$3,0,0,'Données projet'!$E$11+1,1))</f>
        <v>357.76044008074308</v>
      </c>
      <c r="BJ97" s="62">
        <f t="shared" si="92"/>
        <v>224.26555772810445</v>
      </c>
      <c r="BK97" s="16">
        <f>IF(ISNA(VLOOKUP(A97,'Données projet'!$A$87:$I$107,3,0)),0,VLOOKUP(A97,'Données projet'!$A$87:$I$107,3,0))</f>
        <v>7</v>
      </c>
      <c r="BL97" s="16">
        <f>IF(ISNA(VLOOKUP(A97,'Données projet'!$A$87:$I$107,4,0)),0,VLOOKUP(A97,'Données projet'!$A$87:$I$107,4,0))</f>
        <v>61.85</v>
      </c>
      <c r="BM97" s="17">
        <f>IF(ISNA(VLOOKUP(A97,'Données projet'!$A$87:$I$107,5,0)),0%,VLOOKUP(A97,'Données projet'!$A$87:$I$107,5,0)*VLOOKUP('Données projet'!$B$11,Paramètres!$A$1:$I$89,7,0))</f>
        <v>0.215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38.124328736077608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38.124328736077608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>
        <f>VLOOKUP(A97,'Données projet'!$A$113:$I$133,2,0)</f>
        <v>346.79</v>
      </c>
      <c r="BW97" s="13">
        <f>VLOOKUP(A97,'Données projet'!$A$113:$I$133,9,0)</f>
        <v>8.2910000000000021</v>
      </c>
      <c r="BX97" s="13">
        <f t="array" ref="BX97">INDEX(BW:BW,MIN(IF(ISNUMBER(BW97:BW293),ROW(BW97:BW293),"")))</f>
        <v>8.2910000000000021</v>
      </c>
      <c r="BY97" s="13">
        <f>IF('Données projet'!$A$114&gt;35,BY96+BX97-CG96,IF(A97&lt;'Données projet'!$A$114,$BV$205^A97,IF(A97='Données projet'!$A$114,'Données projet'!$B$114,BY96+BX97-CG96)))</f>
        <v>346.79000000000025</v>
      </c>
      <c r="BZ97" s="14">
        <f>BY97*VLOOKUP('Données projet'!$B$12,Paramètres!$A$1:$I$89,3,0)*VLOOKUP('Données projet'!$B$12,Paramètres!$A$1:$I$89,5,0)</f>
        <v>232.62673200000017</v>
      </c>
      <c r="CA97" s="14">
        <f t="shared" si="93"/>
        <v>56.850266486574739</v>
      </c>
      <c r="CB97" s="22">
        <f t="shared" si="64"/>
        <v>504.17243903078469</v>
      </c>
      <c r="CC97" s="62">
        <f t="shared" si="65"/>
        <v>797.505772364118</v>
      </c>
      <c r="CD97" s="62">
        <f ca="1">AVERAGE(OFFSET($CC$3,0,0,'Données projet'!$E$12+1,1))-AVERAGE(OFFSET($H$3,0,0,'Données projet'!$E$12+1,1))</f>
        <v>222.86701323374945</v>
      </c>
      <c r="CE97" s="62">
        <f t="shared" si="94"/>
        <v>149.63671045240511</v>
      </c>
      <c r="CF97" s="16">
        <f>IF(ISNA(VLOOKUP(A97,'Données projet'!$A$113:$I$133,3,0)),0,VLOOKUP(A97,'Données projet'!$A$113:$I$133,3,0))</f>
        <v>7</v>
      </c>
      <c r="CG97" s="16">
        <f>IF(ISNA(VLOOKUP(A97,'Données projet'!$A$113:$I$133,4,0)),0,VLOOKUP(A97,'Données projet'!$A$113:$I$133,4,0))</f>
        <v>61.85</v>
      </c>
      <c r="CH97" s="17">
        <f>IF(ISNA(VLOOKUP(A97,'Données projet'!$A$113:$I$133,5,0)),0%,VLOOKUP(A97,'Données projet'!$A$113:$I$133,5,0)*VLOOKUP('Données projet'!$B$12,Paramètres!$A$1:$I$89,7,0))</f>
        <v>0.26500000000000001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32.590151984066338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32.590151984066338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8.5265128291212022E-14</v>
      </c>
      <c r="CU97" s="18">
        <f>CT97*VLOOKUP('Données projet'!$B$13,Paramètres!$A$1:$I$89,3,0)*VLOOKUP('Données projet'!$B$13,Paramètres!$A$1:$I$89,5,0)</f>
        <v>5.5865712056402117E-14</v>
      </c>
      <c r="CV97" s="14">
        <f t="shared" si="95"/>
        <v>8.9811031843713517E-13</v>
      </c>
      <c r="CW97" s="22">
        <f t="shared" si="67"/>
        <v>1.6615082531095774E-12</v>
      </c>
      <c r="CX97" s="62">
        <f t="shared" si="68"/>
        <v>293.33333333333496</v>
      </c>
      <c r="CY97" s="62">
        <f ca="1">AVERAGE(OFFSET($CX$3,0,0,'Données projet'!$E$13+1,1))-AVERAGE(OFFSET($H$3,0,0,'Données projet'!$E$13+1,1))</f>
        <v>173.15672762188746</v>
      </c>
      <c r="CZ97" s="62">
        <f t="shared" si="96"/>
        <v>208.54841796921414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76.0919718249624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76.0919718249624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>
        <f>EJ97*VLOOKUP('Données projet'!$B$15,Paramètres!$A$1:$I$89,3,0)*VLOOKUP('Données projet'!$B$15,Paramètres!$A$1:$I$89,5,0)</f>
        <v>0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269.18638759204373</v>
      </c>
      <c r="EP97" s="62">
        <f t="shared" si="100"/>
        <v>197.07126167823969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152.98745190671664</v>
      </c>
      <c r="EW97" s="23">
        <f>EXP(-LN(2)/25)*EW96+(1-EXP(-LN(2)/25))/(LN(2)/25)*Calculateur!ER97*Calculateur!ET97*VLOOKUP('Données projet'!$B$15,Paramètres!$A$1:$I$89,3,0)*0.475*44/12</f>
        <v>21.401899221795183</v>
      </c>
      <c r="EX97" s="23">
        <f>EXP(-LN(2)/2)*EX96+(1-EXP(-LN(2)/2))/(LN(2)/2)*ER97*EU97*VLOOKUP('Données projet'!$B$15,Paramètres!$A$1:$I$89,3,0)*0.475*44/12</f>
        <v>0.24859942073982824</v>
      </c>
      <c r="EY97" s="24">
        <f t="shared" si="75"/>
        <v>174.63795054925166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1.1368683772161603E-13</v>
      </c>
      <c r="FF97" s="18">
        <f>FE97*VLOOKUP('Données projet'!$B$16,Paramètres!$A$1:$I$89,3,0)*VLOOKUP('Données projet'!$B$16,Paramètres!$A$1:$I$89,5,0)</f>
        <v>6.7984728957526396E-14</v>
      </c>
      <c r="FG97" s="14">
        <f t="shared" si="101"/>
        <v>1.0682447123141398E-12</v>
      </c>
      <c r="FH97" s="22">
        <f t="shared" si="76"/>
        <v>1.978932943548152E-12</v>
      </c>
      <c r="FI97" s="62">
        <f t="shared" si="77"/>
        <v>293.3333333333353</v>
      </c>
      <c r="FJ97" s="62">
        <f ca="1">AVERAGE(OFFSET($FI$3,0,0,'Données projet'!$E$16+1,1))-AVERAGE(OFFSET($H$3,0,0,'Données projet'!$E$16+1,1))</f>
        <v>330.48891719033065</v>
      </c>
      <c r="FK97" s="62">
        <f t="shared" si="102"/>
        <v>419.35494198427284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108.40915807723103</v>
      </c>
      <c r="FR97" s="23">
        <f>EXP(-LN(2)/25)*FR96+(1-EXP(-LN(2)/25))/(LN(2)/25)*Calculateur!FM97*Calculateur!FO97*VLOOKUP('Données projet'!$B$16,Paramètres!$A$1:$I$89,3,0)*0.475*44/12</f>
        <v>13.997321551428191</v>
      </c>
      <c r="FS97" s="23">
        <f>EXP(-LN(2)/2)*FS96+(1-EXP(-LN(2)/2))/(LN(2)/2)*FM97*FP97*VLOOKUP('Données projet'!$B$16,Paramètres!$A$1:$I$89,3,0)*0.475*44/12</f>
        <v>6.6258492801378387E-5</v>
      </c>
      <c r="FT97" s="24">
        <f t="shared" si="78"/>
        <v>122.40654588715202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>
        <f>FZ97*VLOOKUP('Données projet'!$B$17,Paramètres!$A$1:$I$89,3,0)*VLOOKUP('Données projet'!$B$17,Paramètres!$A$1:$I$89,5,0)</f>
        <v>0</v>
      </c>
      <c r="GB97" s="14" t="e">
        <f t="shared" si="103"/>
        <v>#NUM!</v>
      </c>
      <c r="GC97" s="22" t="e">
        <f t="shared" si="79"/>
        <v>#NUM!</v>
      </c>
      <c r="GD97" s="62" t="e">
        <f t="shared" si="80"/>
        <v>#NUM!</v>
      </c>
      <c r="GE97" s="62">
        <f ca="1">AVERAGE(OFFSET($GD$3,0,0,'Données projet'!$E$17+1,1))-AVERAGE(OFFSET($H$3,0,0,'Données projet'!$E$17+1,1))</f>
        <v>132.18258156780018</v>
      </c>
      <c r="GF97" s="62">
        <f t="shared" si="104"/>
        <v>315.58133946947294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12.212024649561627</v>
      </c>
      <c r="GM97" s="23">
        <f>EXP(-LN(2)/25)*GM96+(1-EXP(-LN(2)/25))/(LN(2)/25)*Calculateur!GH97*Calculateur!GJ97*VLOOKUP('Données projet'!$B$17,Paramètres!$A$1:$I$89,3,0)*0.475*44/12</f>
        <v>3.14638669677427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15.358411346335897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9">
        <f t="shared" si="56"/>
        <v>444.24697397491065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8.0470000000000024</v>
      </c>
      <c r="N98" s="14">
        <f>IF('Données projet'!$A$36&gt;35,N97+M98-V97,IF(A98&lt;'Données projet'!$A$36,$K$205^A98,IF(A98='Données projet'!$A$36,'Données projet'!$B$36,N97+M98-V97)))</f>
        <v>292.98700000000025</v>
      </c>
      <c r="O98" s="14">
        <f>N98*VLOOKUP('Données projet'!$B$9,Paramètres!$A$1:$I$89,3,0)*VLOOKUP('Données projet'!$B$9,Paramètres!$A$1:$I$89,5,0)</f>
        <v>265.09463760000023</v>
      </c>
      <c r="P98" s="14">
        <f t="shared" si="87"/>
        <v>63.807119294189917</v>
      </c>
      <c r="Q98" s="22">
        <f t="shared" si="54"/>
        <v>572.83722659071452</v>
      </c>
      <c r="R98" s="62">
        <f t="shared" si="55"/>
        <v>866.17055992404789</v>
      </c>
      <c r="S98" s="62">
        <f ca="1">AVERAGE(OFFSET($R$3,0,0,'Données projet'!$E$9+1,1))-AVERAGE(OFFSET($H$3,0,0,'Données projet'!$E$9+1,1))</f>
        <v>401.86262166363821</v>
      </c>
      <c r="T98" s="62">
        <f t="shared" si="88"/>
        <v>208.60314230781432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34.965331715810308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34.965331715810308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8.0470000000000024</v>
      </c>
      <c r="AI98" s="14">
        <f>IF('Données projet'!$A$62&gt;35,AI97+AH98-AQ97,IF(A98&lt;'Données projet'!$A$62,$AF$205^A98,IF(A98='Données projet'!$A$62,'Données projet'!$B$62,AI97+AH98-AQ97)))</f>
        <v>292.98700000000025</v>
      </c>
      <c r="AJ98" s="14">
        <f>AI98*VLOOKUP('Données projet'!$B$10,Paramètres!$A$1:$I$89,3,0)*VLOOKUP('Données projet'!$B$10,Paramètres!$A$1:$I$89,5,0)</f>
        <v>315.37120680000027</v>
      </c>
      <c r="AK98" s="14">
        <f t="shared" si="89"/>
        <v>74.389428013665466</v>
      </c>
      <c r="AL98" s="22">
        <f t="shared" si="58"/>
        <v>678.8331056338011</v>
      </c>
      <c r="AM98" s="62">
        <f t="shared" si="59"/>
        <v>972.16643896713435</v>
      </c>
      <c r="AN98" s="62">
        <f ca="1">AVERAGE(OFFSET($AM$3,0,0,'Données projet'!$E$10+1,1))-AVERAGE(OFFSET($H$3,0,0,'Données projet'!$E$10+1,1))</f>
        <v>407.22515465568205</v>
      </c>
      <c r="AO98" s="62">
        <f t="shared" si="90"/>
        <v>251.6218558398258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41.596687730877761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41.596687730877761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8.0470000000000024</v>
      </c>
      <c r="BD98" s="13">
        <f>IF('Données projet'!$A$88&gt;35,BD97+BC98-BL97,IF(A98&lt;'Données projet'!$A$88,$BA$205^A98,IF(A98='Données projet'!$A$88,'Données projet'!$B$88,BD97+BC98-BL97)))</f>
        <v>292.98700000000025</v>
      </c>
      <c r="BE98" s="14">
        <f>BD98*VLOOKUP('Données projet'!$B$11,Paramètres!$A$1:$I$89,3,0)*VLOOKUP('Données projet'!$B$11,Paramètres!$A$1:$I$89,5,0)</f>
        <v>283.37702640000026</v>
      </c>
      <c r="BF98" s="14">
        <f t="shared" si="91"/>
        <v>67.68017292381127</v>
      </c>
      <c r="BG98" s="22">
        <f t="shared" si="61"/>
        <v>611.42462215563842</v>
      </c>
      <c r="BH98" s="62">
        <f t="shared" si="62"/>
        <v>904.75795548897167</v>
      </c>
      <c r="BI98" s="62">
        <f ca="1">AVERAGE(OFFSET($BH$3,0,0,'Données projet'!$E$11+1,1))-AVERAGE(OFFSET($H$3,0,0,'Données projet'!$E$11+1,1))</f>
        <v>357.76044008074308</v>
      </c>
      <c r="BJ98" s="62">
        <f t="shared" si="92"/>
        <v>224.26555772810445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37.376733903107557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37.376733903107557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8.0470000000000024</v>
      </c>
      <c r="BY98" s="13">
        <f>IF('Données projet'!$A$114&gt;35,BY97+BX98-CG97,IF(A98&lt;'Données projet'!$A$114,$BV$205^A98,IF(A98='Données projet'!$A$114,'Données projet'!$B$114,BY97+BX98-CG97)))</f>
        <v>292.98700000000025</v>
      </c>
      <c r="BZ98" s="14">
        <f>BY98*VLOOKUP('Données projet'!$B$12,Paramètres!$A$1:$I$89,3,0)*VLOOKUP('Données projet'!$B$12,Paramètres!$A$1:$I$89,5,0)</f>
        <v>196.53567960000018</v>
      </c>
      <c r="CA98" s="14">
        <f t="shared" si="93"/>
        <v>48.982042429848526</v>
      </c>
      <c r="CB98" s="22">
        <f t="shared" si="64"/>
        <v>427.61003253531982</v>
      </c>
      <c r="CC98" s="62">
        <f t="shared" si="65"/>
        <v>720.94336586865313</v>
      </c>
      <c r="CD98" s="62">
        <f ca="1">AVERAGE(OFFSET($CC$3,0,0,'Données projet'!$E$12+1,1))-AVERAGE(OFFSET($H$3,0,0,'Données projet'!$E$12+1,1))</f>
        <v>222.86701323374945</v>
      </c>
      <c r="CE98" s="62">
        <f t="shared" si="94"/>
        <v>149.63671045240511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31.951078981688717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31.951078981688717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8.5265128291212022E-14</v>
      </c>
      <c r="CU98" s="18">
        <f>CT98*VLOOKUP('Données projet'!$B$13,Paramètres!$A$1:$I$89,3,0)*VLOOKUP('Données projet'!$B$13,Paramètres!$A$1:$I$89,5,0)</f>
        <v>5.5865712056402117E-14</v>
      </c>
      <c r="CV98" s="14">
        <f t="shared" si="95"/>
        <v>8.9811031843713517E-13</v>
      </c>
      <c r="CW98" s="22">
        <f t="shared" si="67"/>
        <v>1.6615082531095774E-12</v>
      </c>
      <c r="CX98" s="62">
        <f t="shared" si="68"/>
        <v>293.33333333333496</v>
      </c>
      <c r="CY98" s="62">
        <f ca="1">AVERAGE(OFFSET($CX$3,0,0,'Données projet'!$E$13+1,1))-AVERAGE(OFFSET($H$3,0,0,'Données projet'!$E$13+1,1))</f>
        <v>173.15672762188746</v>
      </c>
      <c r="CZ98" s="62">
        <f t="shared" si="96"/>
        <v>208.54841796921414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74.599854668994936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74.599854668994936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>
        <f>EJ98*VLOOKUP('Données projet'!$B$15,Paramètres!$A$1:$I$89,3,0)*VLOOKUP('Données projet'!$B$15,Paramètres!$A$1:$I$89,5,0)</f>
        <v>0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269.18638759204373</v>
      </c>
      <c r="EP98" s="62">
        <f t="shared" si="100"/>
        <v>197.07126167823969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149.9874612879577</v>
      </c>
      <c r="EW98" s="23">
        <f>EXP(-LN(2)/25)*EW97+(1-EXP(-LN(2)/25))/(LN(2)/25)*Calculateur!ER98*Calculateur!ET98*VLOOKUP('Données projet'!$B$15,Paramètres!$A$1:$I$89,3,0)*0.475*44/12</f>
        <v>20.81666316209823</v>
      </c>
      <c r="EX98" s="23">
        <f>EXP(-LN(2)/2)*EX97+(1-EXP(-LN(2)/2))/(LN(2)/2)*ER98*EU98*VLOOKUP('Données projet'!$B$15,Paramètres!$A$1:$I$89,3,0)*0.475*44/12</f>
        <v>0.17578633620418022</v>
      </c>
      <c r="EY98" s="24">
        <f t="shared" si="75"/>
        <v>170.97991078626009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1.1368683772161603E-13</v>
      </c>
      <c r="FF98" s="18">
        <f>FE98*VLOOKUP('Données projet'!$B$16,Paramètres!$A$1:$I$89,3,0)*VLOOKUP('Données projet'!$B$16,Paramètres!$A$1:$I$89,5,0)</f>
        <v>6.7984728957526396E-14</v>
      </c>
      <c r="FG98" s="14">
        <f t="shared" si="101"/>
        <v>1.0682447123141398E-12</v>
      </c>
      <c r="FH98" s="22">
        <f t="shared" si="76"/>
        <v>1.978932943548152E-12</v>
      </c>
      <c r="FI98" s="62">
        <f t="shared" si="77"/>
        <v>293.3333333333353</v>
      </c>
      <c r="FJ98" s="62">
        <f ca="1">AVERAGE(OFFSET($FI$3,0,0,'Données projet'!$E$16+1,1))-AVERAGE(OFFSET($H$3,0,0,'Données projet'!$E$16+1,1))</f>
        <v>330.48891719033065</v>
      </c>
      <c r="FK98" s="62">
        <f t="shared" si="102"/>
        <v>419.35494198427284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106.28332061039384</v>
      </c>
      <c r="FR98" s="23">
        <f>EXP(-LN(2)/25)*FR97+(1-EXP(-LN(2)/25))/(LN(2)/25)*Calculateur!FM98*Calculateur!FO98*VLOOKUP('Données projet'!$B$16,Paramètres!$A$1:$I$89,3,0)*0.475*44/12</f>
        <v>13.614564057517239</v>
      </c>
      <c r="FS98" s="23">
        <f>EXP(-LN(2)/2)*FS97+(1-EXP(-LN(2)/2))/(LN(2)/2)*FM98*FP98*VLOOKUP('Données projet'!$B$16,Paramètres!$A$1:$I$89,3,0)*0.475*44/12</f>
        <v>4.6851829571054702E-5</v>
      </c>
      <c r="FT98" s="24">
        <f t="shared" si="78"/>
        <v>119.89793151974065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>
        <f>FZ98*VLOOKUP('Données projet'!$B$17,Paramètres!$A$1:$I$89,3,0)*VLOOKUP('Données projet'!$B$17,Paramètres!$A$1:$I$89,5,0)</f>
        <v>0</v>
      </c>
      <c r="GB98" s="14" t="e">
        <f t="shared" si="103"/>
        <v>#NUM!</v>
      </c>
      <c r="GC98" s="22" t="e">
        <f t="shared" si="79"/>
        <v>#NUM!</v>
      </c>
      <c r="GD98" s="62" t="e">
        <f t="shared" si="80"/>
        <v>#NUM!</v>
      </c>
      <c r="GE98" s="62">
        <f ca="1">AVERAGE(OFFSET($GD$3,0,0,'Données projet'!$E$17+1,1))-AVERAGE(OFFSET($H$3,0,0,'Données projet'!$E$17+1,1))</f>
        <v>132.18258156780018</v>
      </c>
      <c r="GF98" s="62">
        <f t="shared" si="104"/>
        <v>315.58133946947294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11.972554294783272</v>
      </c>
      <c r="GM98" s="23">
        <f>EXP(-LN(2)/25)*GM97+(1-EXP(-LN(2)/25))/(LN(2)/25)*Calculateur!GH98*Calculateur!GJ98*VLOOKUP('Données projet'!$B$17,Paramètres!$A$1:$I$89,3,0)*0.475*44/12</f>
        <v>3.0603485870896923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15.032902881872964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9">
        <f t="shared" si="56"/>
        <v>446.17170618380828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8.0470000000000024</v>
      </c>
      <c r="N99" s="14">
        <f>IF('Données projet'!$A$36&gt;35,N98+M99-V98,IF(A99&lt;'Données projet'!$A$36,$K$205^A99,IF(A99='Données projet'!$A$36,'Données projet'!$B$36,N98+M99-V98)))</f>
        <v>301.03400000000028</v>
      </c>
      <c r="O99" s="14">
        <f>N99*VLOOKUP('Données projet'!$B$9,Paramètres!$A$1:$I$89,3,0)*VLOOKUP('Données projet'!$B$9,Paramètres!$A$1:$I$89,5,0)</f>
        <v>272.37556320000027</v>
      </c>
      <c r="P99" s="14">
        <f t="shared" si="87"/>
        <v>65.35316643513535</v>
      </c>
      <c r="Q99" s="22">
        <f t="shared" ref="Q99:Q130" si="107">(O99+P99)*0.475*44/12</f>
        <v>588.21087078119456</v>
      </c>
      <c r="R99" s="62">
        <f t="shared" si="55"/>
        <v>881.54420411452793</v>
      </c>
      <c r="S99" s="62">
        <f ca="1">AVERAGE(OFFSET($R$3,0,0,'Données projet'!$E$9+1,1))-AVERAGE(OFFSET($H$3,0,0,'Données projet'!$E$9+1,1))</f>
        <v>401.86262166363821</v>
      </c>
      <c r="T99" s="62">
        <f t="shared" si="88"/>
        <v>208.60314230781432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34.279682887609773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34.279682887609773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8.0470000000000024</v>
      </c>
      <c r="AI99" s="14">
        <f>IF('Données projet'!$A$62&gt;35,AI98+AH99-AQ98,IF(A99&lt;'Données projet'!$A$62,$AF$205^A99,IF(A99='Données projet'!$A$62,'Données projet'!$B$62,AI98+AH99-AQ98)))</f>
        <v>301.03400000000028</v>
      </c>
      <c r="AJ99" s="14">
        <f>AI99*VLOOKUP('Données projet'!$B$10,Paramètres!$A$1:$I$89,3,0)*VLOOKUP('Données projet'!$B$10,Paramètres!$A$1:$I$89,5,0)</f>
        <v>324.03299760000027</v>
      </c>
      <c r="AK99" s="14">
        <f t="shared" si="89"/>
        <v>76.191884601100995</v>
      </c>
      <c r="AL99" s="22">
        <f t="shared" si="58"/>
        <v>697.05833650025124</v>
      </c>
      <c r="AM99" s="62">
        <f t="shared" si="59"/>
        <v>990.3916698335845</v>
      </c>
      <c r="AN99" s="62">
        <f ca="1">AVERAGE(OFFSET($AM$3,0,0,'Données projet'!$E$10+1,1))-AVERAGE(OFFSET($H$3,0,0,'Données projet'!$E$10+1,1))</f>
        <v>407.22515465568205</v>
      </c>
      <c r="AO99" s="62">
        <f t="shared" si="90"/>
        <v>251.6218558398258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40.781002055949536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40.781002055949536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8.0470000000000024</v>
      </c>
      <c r="BD99" s="13">
        <f>IF('Données projet'!$A$88&gt;35,BD98+BC99-BL98,IF(A99&lt;'Données projet'!$A$88,$BA$205^A99,IF(A99='Données projet'!$A$88,'Données projet'!$B$88,BD98+BC99-BL98)))</f>
        <v>301.03400000000028</v>
      </c>
      <c r="BE99" s="14">
        <f>BD99*VLOOKUP('Données projet'!$B$11,Paramètres!$A$1:$I$89,3,0)*VLOOKUP('Données projet'!$B$11,Paramètres!$A$1:$I$89,5,0)</f>
        <v>291.16008480000028</v>
      </c>
      <c r="BF99" s="14">
        <f t="shared" si="91"/>
        <v>69.320064193077258</v>
      </c>
      <c r="BG99" s="22">
        <f t="shared" si="61"/>
        <v>627.83625949627674</v>
      </c>
      <c r="BH99" s="62">
        <f t="shared" si="62"/>
        <v>921.16959282961011</v>
      </c>
      <c r="BI99" s="62">
        <f ca="1">AVERAGE(OFFSET($BH$3,0,0,'Données projet'!$E$11+1,1))-AVERAGE(OFFSET($H$3,0,0,'Données projet'!$E$11+1,1))</f>
        <v>357.76044008074308</v>
      </c>
      <c r="BJ99" s="62">
        <f t="shared" si="92"/>
        <v>224.26555772810445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36.643798948824227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36.643798948824227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8.0470000000000024</v>
      </c>
      <c r="BY99" s="13">
        <f>IF('Données projet'!$A$114&gt;35,BY98+BX99-CG98,IF(A99&lt;'Données projet'!$A$114,$BV$205^A99,IF(A99='Données projet'!$A$114,'Données projet'!$B$114,BY98+BX99-CG98)))</f>
        <v>301.03400000000028</v>
      </c>
      <c r="BZ99" s="14">
        <f>BY99*VLOOKUP('Données projet'!$B$12,Paramètres!$A$1:$I$89,3,0)*VLOOKUP('Données projet'!$B$12,Paramètres!$A$1:$I$89,5,0)</f>
        <v>201.93360720000021</v>
      </c>
      <c r="CA99" s="14">
        <f t="shared" si="93"/>
        <v>50.168877809568144</v>
      </c>
      <c r="CB99" s="22">
        <f t="shared" si="64"/>
        <v>439.07849472499817</v>
      </c>
      <c r="CC99" s="62">
        <f t="shared" si="65"/>
        <v>732.41182805833148</v>
      </c>
      <c r="CD99" s="62">
        <f ca="1">AVERAGE(OFFSET($CC$3,0,0,'Données projet'!$E$12+1,1))-AVERAGE(OFFSET($H$3,0,0,'Données projet'!$E$12+1,1))</f>
        <v>222.86701323374945</v>
      </c>
      <c r="CE99" s="62">
        <f t="shared" si="94"/>
        <v>149.63671045240511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31.324537811091677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31.324537811091677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8.5265128291212022E-14</v>
      </c>
      <c r="CU99" s="18">
        <f>CT99*VLOOKUP('Données projet'!$B$13,Paramètres!$A$1:$I$89,3,0)*VLOOKUP('Données projet'!$B$13,Paramètres!$A$1:$I$89,5,0)</f>
        <v>5.5865712056402117E-14</v>
      </c>
      <c r="CV99" s="14">
        <f t="shared" si="95"/>
        <v>8.9811031843713517E-13</v>
      </c>
      <c r="CW99" s="22">
        <f t="shared" si="67"/>
        <v>1.6615082531095774E-12</v>
      </c>
      <c r="CX99" s="62">
        <f t="shared" si="68"/>
        <v>293.33333333333496</v>
      </c>
      <c r="CY99" s="62">
        <f ca="1">AVERAGE(OFFSET($CX$3,0,0,'Données projet'!$E$13+1,1))-AVERAGE(OFFSET($H$3,0,0,'Données projet'!$E$13+1,1))</f>
        <v>173.15672762188746</v>
      </c>
      <c r="CZ99" s="62">
        <f t="shared" si="96"/>
        <v>208.54841796921414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73.1369970203544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73.1369970203544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>
        <f>EJ99*VLOOKUP('Données projet'!$B$15,Paramètres!$A$1:$I$89,3,0)*VLOOKUP('Données projet'!$B$15,Paramètres!$A$1:$I$89,5,0)</f>
        <v>0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269.18638759204373</v>
      </c>
      <c r="EP99" s="62">
        <f t="shared" si="100"/>
        <v>197.07126167823969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147.04629865541901</v>
      </c>
      <c r="EW99" s="23">
        <f>EXP(-LN(2)/25)*EW98+(1-EXP(-LN(2)/25))/(LN(2)/25)*Calculateur!ER99*Calculateur!ET99*VLOOKUP('Données projet'!$B$15,Paramètres!$A$1:$I$89,3,0)*0.475*44/12</f>
        <v>20.247430413229914</v>
      </c>
      <c r="EX99" s="23">
        <f>EXP(-LN(2)/2)*EX98+(1-EXP(-LN(2)/2))/(LN(2)/2)*ER99*EU99*VLOOKUP('Données projet'!$B$15,Paramètres!$A$1:$I$89,3,0)*0.475*44/12</f>
        <v>0.12429971036991415</v>
      </c>
      <c r="EY99" s="24">
        <f t="shared" si="75"/>
        <v>167.41802877901884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1.1368683772161603E-13</v>
      </c>
      <c r="FF99" s="18">
        <f>FE99*VLOOKUP('Données projet'!$B$16,Paramètres!$A$1:$I$89,3,0)*VLOOKUP('Données projet'!$B$16,Paramètres!$A$1:$I$89,5,0)</f>
        <v>6.7984728957526396E-14</v>
      </c>
      <c r="FG99" s="14">
        <f t="shared" si="101"/>
        <v>1.0682447123141398E-12</v>
      </c>
      <c r="FH99" s="22">
        <f t="shared" si="76"/>
        <v>1.978932943548152E-12</v>
      </c>
      <c r="FI99" s="62">
        <f t="shared" si="77"/>
        <v>293.3333333333353</v>
      </c>
      <c r="FJ99" s="62">
        <f ca="1">AVERAGE(OFFSET($FI$3,0,0,'Données projet'!$E$16+1,1))-AVERAGE(OFFSET($H$3,0,0,'Données projet'!$E$16+1,1))</f>
        <v>330.48891719033065</v>
      </c>
      <c r="FK99" s="62">
        <f t="shared" si="102"/>
        <v>419.35494198427284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104.19916951964852</v>
      </c>
      <c r="FR99" s="23">
        <f>EXP(-LN(2)/25)*FR98+(1-EXP(-LN(2)/25))/(LN(2)/25)*Calculateur!FM99*Calculateur!FO99*VLOOKUP('Données projet'!$B$16,Paramètres!$A$1:$I$89,3,0)*0.475*44/12</f>
        <v>13.242273087405623</v>
      </c>
      <c r="FS99" s="23">
        <f>EXP(-LN(2)/2)*FS98+(1-EXP(-LN(2)/2))/(LN(2)/2)*FM99*FP99*VLOOKUP('Données projet'!$B$16,Paramètres!$A$1:$I$89,3,0)*0.475*44/12</f>
        <v>3.3129246400689194E-5</v>
      </c>
      <c r="FT99" s="24">
        <f t="shared" si="78"/>
        <v>117.44147573630055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>
        <f>FZ99*VLOOKUP('Données projet'!$B$17,Paramètres!$A$1:$I$89,3,0)*VLOOKUP('Données projet'!$B$17,Paramètres!$A$1:$I$89,5,0)</f>
        <v>0</v>
      </c>
      <c r="GB99" s="14" t="e">
        <f t="shared" si="103"/>
        <v>#NUM!</v>
      </c>
      <c r="GC99" s="22" t="e">
        <f t="shared" si="79"/>
        <v>#NUM!</v>
      </c>
      <c r="GD99" s="62" t="e">
        <f t="shared" si="80"/>
        <v>#NUM!</v>
      </c>
      <c r="GE99" s="62">
        <f ca="1">AVERAGE(OFFSET($GD$3,0,0,'Données projet'!$E$17+1,1))-AVERAGE(OFFSET($H$3,0,0,'Données projet'!$E$17+1,1))</f>
        <v>132.18258156780018</v>
      </c>
      <c r="GF99" s="62">
        <f t="shared" si="104"/>
        <v>315.58133946947294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11.737779807599626</v>
      </c>
      <c r="GM99" s="23">
        <f>EXP(-LN(2)/25)*GM98+(1-EXP(-LN(2)/25))/(LN(2)/25)*Calculateur!GH99*Calculateur!GJ99*VLOOKUP('Données projet'!$B$17,Paramètres!$A$1:$I$89,3,0)*0.475*44/12</f>
        <v>2.9766631940389869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14.714443001638614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9">
        <f t="shared" si="56"/>
        <v>448.09598270912102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8.0470000000000024</v>
      </c>
      <c r="N100" s="14">
        <f>IF('Données projet'!$A$36&gt;35,N99+M100-V99,IF(A100&lt;'Données projet'!$A$36,$K$205^A100,IF(A100='Données projet'!$A$36,'Données projet'!$B$36,N99+M100-V99)))</f>
        <v>309.0810000000003</v>
      </c>
      <c r="O100" s="14">
        <f>N100*VLOOKUP('Données projet'!$B$9,Paramètres!$A$1:$I$89,3,0)*VLOOKUP('Données projet'!$B$9,Paramètres!$A$1:$I$89,5,0)</f>
        <v>279.65648880000026</v>
      </c>
      <c r="P100" s="14">
        <f t="shared" si="87"/>
        <v>66.894409904113928</v>
      </c>
      <c r="Q100" s="22">
        <f t="shared" si="107"/>
        <v>603.57614857633223</v>
      </c>
      <c r="R100" s="62">
        <f t="shared" si="55"/>
        <v>896.9094819096656</v>
      </c>
      <c r="S100" s="62">
        <f ca="1">AVERAGE(OFFSET($R$3,0,0,'Données projet'!$E$9+1,1))-AVERAGE(OFFSET($H$3,0,0,'Données projet'!$E$9+1,1))</f>
        <v>401.86262166363821</v>
      </c>
      <c r="T100" s="62">
        <f t="shared" si="88"/>
        <v>208.60314230781432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33.607479214725757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33.607479214725757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8.0470000000000024</v>
      </c>
      <c r="AI100" s="14">
        <f>IF('Données projet'!$A$62&gt;35,AI99+AH100-AQ99,IF(A100&lt;'Données projet'!$A$62,$AF$205^A100,IF(A100='Données projet'!$A$62,'Données projet'!$B$62,AI99+AH100-AQ99)))</f>
        <v>309.0810000000003</v>
      </c>
      <c r="AJ100" s="14">
        <f>AI100*VLOOKUP('Données projet'!$B$10,Paramètres!$A$1:$I$89,3,0)*VLOOKUP('Données projet'!$B$10,Paramètres!$A$1:$I$89,5,0)</f>
        <v>332.69478840000028</v>
      </c>
      <c r="AK100" s="14">
        <f t="shared" si="89"/>
        <v>77.988740835254006</v>
      </c>
      <c r="AL100" s="22">
        <f t="shared" si="58"/>
        <v>715.27381341806779</v>
      </c>
      <c r="AM100" s="62">
        <f t="shared" si="59"/>
        <v>1008.6071467514012</v>
      </c>
      <c r="AN100" s="62">
        <f ca="1">AVERAGE(OFFSET($AM$3,0,0,'Données projet'!$E$10+1,1))-AVERAGE(OFFSET($H$3,0,0,'Données projet'!$E$10+1,1))</f>
        <v>407.22515465568205</v>
      </c>
      <c r="AO100" s="62">
        <f t="shared" si="90"/>
        <v>251.6218558398258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39.981311479587518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39.981311479587518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8.0470000000000024</v>
      </c>
      <c r="BD100" s="13">
        <f>IF('Données projet'!$A$88&gt;35,BD99+BC100-BL99,IF(A100&lt;'Données projet'!$A$88,$BA$205^A100,IF(A100='Données projet'!$A$88,'Données projet'!$B$88,BD99+BC100-BL99)))</f>
        <v>309.0810000000003</v>
      </c>
      <c r="BE100" s="14">
        <f>BD100*VLOOKUP('Données projet'!$B$11,Paramètres!$A$1:$I$89,3,0)*VLOOKUP('Données projet'!$B$11,Paramètres!$A$1:$I$89,5,0)</f>
        <v>298.94314320000029</v>
      </c>
      <c r="BF100" s="14">
        <f t="shared" si="91"/>
        <v>70.954860210387238</v>
      </c>
      <c r="BG100" s="22">
        <f t="shared" si="61"/>
        <v>644.23902260642501</v>
      </c>
      <c r="BH100" s="62">
        <f t="shared" si="62"/>
        <v>937.57235593975838</v>
      </c>
      <c r="BI100" s="62">
        <f ca="1">AVERAGE(OFFSET($BH$3,0,0,'Données projet'!$E$11+1,1))-AVERAGE(OFFSET($H$3,0,0,'Données projet'!$E$11+1,1))</f>
        <v>357.76044008074308</v>
      </c>
      <c r="BJ100" s="62">
        <f t="shared" si="92"/>
        <v>224.26555772810445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35.925236401948212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35.925236401948212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8.0470000000000024</v>
      </c>
      <c r="BY100" s="13">
        <f>IF('Données projet'!$A$114&gt;35,BY99+BX100-CG99,IF(A100&lt;'Données projet'!$A$114,$BV$205^A100,IF(A100='Données projet'!$A$114,'Données projet'!$B$114,BY99+BX100-CG99)))</f>
        <v>309.0810000000003</v>
      </c>
      <c r="BZ100" s="14">
        <f>BY100*VLOOKUP('Données projet'!$B$12,Paramètres!$A$1:$I$89,3,0)*VLOOKUP('Données projet'!$B$12,Paramètres!$A$1:$I$89,5,0)</f>
        <v>207.33153480000018</v>
      </c>
      <c r="CA100" s="14">
        <f t="shared" si="93"/>
        <v>51.352025612310428</v>
      </c>
      <c r="CB100" s="22">
        <f t="shared" si="64"/>
        <v>450.54053438477428</v>
      </c>
      <c r="CC100" s="62">
        <f t="shared" si="65"/>
        <v>743.87386771810759</v>
      </c>
      <c r="CD100" s="62">
        <f ca="1">AVERAGE(OFFSET($CC$3,0,0,'Données projet'!$E$12+1,1))-AVERAGE(OFFSET($H$3,0,0,'Données projet'!$E$12+1,1))</f>
        <v>222.86701323374945</v>
      </c>
      <c r="CE100" s="62">
        <f t="shared" si="94"/>
        <v>149.63671045240511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30.710282730697664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30.710282730697664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8.5265128291212022E-14</v>
      </c>
      <c r="CU100" s="18">
        <f>CT100*VLOOKUP('Données projet'!$B$13,Paramètres!$A$1:$I$89,3,0)*VLOOKUP('Données projet'!$B$13,Paramètres!$A$1:$I$89,5,0)</f>
        <v>5.5865712056402117E-14</v>
      </c>
      <c r="CV100" s="14">
        <f t="shared" si="95"/>
        <v>8.9811031843713517E-13</v>
      </c>
      <c r="CW100" s="22">
        <f t="shared" si="67"/>
        <v>1.6615082531095774E-12</v>
      </c>
      <c r="CX100" s="62">
        <f t="shared" si="68"/>
        <v>293.33333333333496</v>
      </c>
      <c r="CY100" s="62">
        <f ca="1">AVERAGE(OFFSET($CX$3,0,0,'Données projet'!$E$13+1,1))-AVERAGE(OFFSET($H$3,0,0,'Données projet'!$E$13+1,1))</f>
        <v>173.15672762188746</v>
      </c>
      <c r="CZ100" s="62">
        <f t="shared" si="96"/>
        <v>208.54841796921414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71.702825117948649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71.702825117948649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>
        <f>EJ100*VLOOKUP('Données projet'!$B$15,Paramètres!$A$1:$I$89,3,0)*VLOOKUP('Données projet'!$B$15,Paramètres!$A$1:$I$89,5,0)</f>
        <v>0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269.18638759204373</v>
      </c>
      <c r="EP100" s="62">
        <f t="shared" si="100"/>
        <v>197.07126167823969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144.16281042817232</v>
      </c>
      <c r="EW100" s="23">
        <f>EXP(-LN(2)/25)*EW99+(1-EXP(-LN(2)/25))/(LN(2)/25)*Calculateur!ER100*Calculateur!ET100*VLOOKUP('Données projet'!$B$15,Paramètres!$A$1:$I$89,3,0)*0.475*44/12</f>
        <v>19.693763363814053</v>
      </c>
      <c r="EX100" s="23">
        <f>EXP(-LN(2)/2)*EX99+(1-EXP(-LN(2)/2))/(LN(2)/2)*ER100*EU100*VLOOKUP('Données projet'!$B$15,Paramètres!$A$1:$I$89,3,0)*0.475*44/12</f>
        <v>8.7893168102090122E-2</v>
      </c>
      <c r="EY100" s="24">
        <f t="shared" si="75"/>
        <v>163.94446696008845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1.1368683772161603E-13</v>
      </c>
      <c r="FF100" s="18">
        <f>FE100*VLOOKUP('Données projet'!$B$16,Paramètres!$A$1:$I$89,3,0)*VLOOKUP('Données projet'!$B$16,Paramètres!$A$1:$I$89,5,0)</f>
        <v>6.7984728957526396E-14</v>
      </c>
      <c r="FG100" s="14">
        <f t="shared" si="101"/>
        <v>1.0682447123141398E-12</v>
      </c>
      <c r="FH100" s="22">
        <f t="shared" si="76"/>
        <v>1.978932943548152E-12</v>
      </c>
      <c r="FI100" s="62">
        <f t="shared" si="77"/>
        <v>293.3333333333353</v>
      </c>
      <c r="FJ100" s="62">
        <f ca="1">AVERAGE(OFFSET($FI$3,0,0,'Données projet'!$E$16+1,1))-AVERAGE(OFFSET($H$3,0,0,'Données projet'!$E$16+1,1))</f>
        <v>330.48891719033065</v>
      </c>
      <c r="FK100" s="62">
        <f t="shared" si="102"/>
        <v>419.35494198427284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102.15588736058606</v>
      </c>
      <c r="FR100" s="23">
        <f>EXP(-LN(2)/25)*FR99+(1-EXP(-LN(2)/25))/(LN(2)/25)*Calculateur!FM100*Calculateur!FO100*VLOOKUP('Données projet'!$B$16,Paramètres!$A$1:$I$89,3,0)*0.475*44/12</f>
        <v>12.880162433449641</v>
      </c>
      <c r="FS100" s="23">
        <f>EXP(-LN(2)/2)*FS99+(1-EXP(-LN(2)/2))/(LN(2)/2)*FM100*FP100*VLOOKUP('Données projet'!$B$16,Paramètres!$A$1:$I$89,3,0)*0.475*44/12</f>
        <v>2.3425914785527351E-5</v>
      </c>
      <c r="FT100" s="24">
        <f t="shared" si="78"/>
        <v>115.0360732199505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>
        <f>FZ100*VLOOKUP('Données projet'!$B$17,Paramètres!$A$1:$I$89,3,0)*VLOOKUP('Données projet'!$B$17,Paramètres!$A$1:$I$89,5,0)</f>
        <v>0</v>
      </c>
      <c r="GB100" s="14" t="e">
        <f t="shared" si="103"/>
        <v>#NUM!</v>
      </c>
      <c r="GC100" s="22" t="e">
        <f t="shared" si="79"/>
        <v>#NUM!</v>
      </c>
      <c r="GD100" s="62" t="e">
        <f t="shared" si="80"/>
        <v>#NUM!</v>
      </c>
      <c r="GE100" s="62">
        <f ca="1">AVERAGE(OFFSET($GD$3,0,0,'Données projet'!$E$17+1,1))-AVERAGE(OFFSET($H$3,0,0,'Données projet'!$E$17+1,1))</f>
        <v>132.18258156780018</v>
      </c>
      <c r="GF100" s="62">
        <f t="shared" si="104"/>
        <v>315.58133946947294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11.507609104911355</v>
      </c>
      <c r="GM100" s="23">
        <f>EXP(-LN(2)/25)*GM99+(1-EXP(-LN(2)/25))/(LN(2)/25)*Calculateur!GH100*Calculateur!GJ100*VLOOKUP('Données projet'!$B$17,Paramètres!$A$1:$I$89,3,0)*0.475*44/12</f>
        <v>2.8952661824620769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14.402875287373432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9">
        <f t="shared" si="56"/>
        <v>450.01980879247901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8.0470000000000024</v>
      </c>
      <c r="N101" s="14">
        <f>IF('Données projet'!$A$36&gt;35,N100+M101-V100,IF(A101&lt;'Données projet'!$A$36,$K$205^A101,IF(A101='Données projet'!$A$36,'Données projet'!$B$36,N100+M101-V100)))</f>
        <v>317.12800000000033</v>
      </c>
      <c r="O101" s="14">
        <f>N101*VLOOKUP('Données projet'!$B$9,Paramètres!$A$1:$I$89,3,0)*VLOOKUP('Données projet'!$B$9,Paramètres!$A$1:$I$89,5,0)</f>
        <v>286.93741440000031</v>
      </c>
      <c r="P101" s="14">
        <f t="shared" si="87"/>
        <v>68.430989143985158</v>
      </c>
      <c r="Q101" s="22">
        <f t="shared" si="107"/>
        <v>618.93330283910791</v>
      </c>
      <c r="R101" s="62">
        <f t="shared" si="55"/>
        <v>912.26663617244117</v>
      </c>
      <c r="S101" s="62">
        <f ca="1">AVERAGE(OFFSET($R$3,0,0,'Données projet'!$E$9+1,1))-AVERAGE(OFFSET($H$3,0,0,'Données projet'!$E$9+1,1))</f>
        <v>401.86262166363821</v>
      </c>
      <c r="T101" s="62">
        <f t="shared" si="88"/>
        <v>208.60314230781432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32.948457045863243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32.948457045863243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8.0470000000000024</v>
      </c>
      <c r="AI101" s="14">
        <f>IF('Données projet'!$A$62&gt;35,AI100+AH101-AQ100,IF(A101&lt;'Données projet'!$A$62,$AF$205^A101,IF(A101='Données projet'!$A$62,'Données projet'!$B$62,AI100+AH101-AQ100)))</f>
        <v>317.12800000000033</v>
      </c>
      <c r="AJ101" s="14">
        <f>AI101*VLOOKUP('Données projet'!$B$10,Paramètres!$A$1:$I$89,3,0)*VLOOKUP('Données projet'!$B$10,Paramètres!$A$1:$I$89,5,0)</f>
        <v>341.35657920000034</v>
      </c>
      <c r="AK101" s="14">
        <f t="shared" si="89"/>
        <v>79.780159285359503</v>
      </c>
      <c r="AL101" s="22">
        <f t="shared" si="58"/>
        <v>733.47981952866837</v>
      </c>
      <c r="AM101" s="62">
        <f t="shared" si="59"/>
        <v>1026.8131528620017</v>
      </c>
      <c r="AN101" s="62">
        <f ca="1">AVERAGE(OFFSET($AM$3,0,0,'Données projet'!$E$10+1,1))-AVERAGE(OFFSET($H$3,0,0,'Données projet'!$E$10+1,1))</f>
        <v>407.22515465568205</v>
      </c>
      <c r="AO101" s="62">
        <f t="shared" si="90"/>
        <v>251.6218558398258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39.197302347664873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39.197302347664873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8.0470000000000024</v>
      </c>
      <c r="BD101" s="13">
        <f>IF('Données projet'!$A$88&gt;35,BD100+BC101-BL100,IF(A101&lt;'Données projet'!$A$88,$BA$205^A101,IF(A101='Données projet'!$A$88,'Données projet'!$B$88,BD100+BC101-BL100)))</f>
        <v>317.12800000000033</v>
      </c>
      <c r="BE101" s="14">
        <f>BD101*VLOOKUP('Données projet'!$B$11,Paramètres!$A$1:$I$89,3,0)*VLOOKUP('Données projet'!$B$11,Paramètres!$A$1:$I$89,5,0)</f>
        <v>306.72620160000031</v>
      </c>
      <c r="BF101" s="14">
        <f t="shared" si="91"/>
        <v>72.584708882698152</v>
      </c>
      <c r="BG101" s="22">
        <f t="shared" si="61"/>
        <v>660.63316909069977</v>
      </c>
      <c r="BH101" s="62">
        <f t="shared" si="62"/>
        <v>953.96650242403302</v>
      </c>
      <c r="BI101" s="62">
        <f ca="1">AVERAGE(OFFSET($BH$3,0,0,'Données projet'!$E$11+1,1))-AVERAGE(OFFSET($H$3,0,0,'Données projet'!$E$11+1,1))</f>
        <v>357.76044008074308</v>
      </c>
      <c r="BJ101" s="62">
        <f t="shared" si="92"/>
        <v>224.26555772810445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35.220764428336558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35.220764428336558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8.0470000000000024</v>
      </c>
      <c r="BY101" s="13">
        <f>IF('Données projet'!$A$114&gt;35,BY100+BX101-CG100,IF(A101&lt;'Données projet'!$A$114,$BV$205^A101,IF(A101='Données projet'!$A$114,'Données projet'!$B$114,BY100+BX101-CG100)))</f>
        <v>317.12800000000033</v>
      </c>
      <c r="BZ101" s="14">
        <f>BY101*VLOOKUP('Données projet'!$B$12,Paramètres!$A$1:$I$89,3,0)*VLOOKUP('Données projet'!$B$12,Paramètres!$A$1:$I$89,5,0)</f>
        <v>212.72946240000022</v>
      </c>
      <c r="CA101" s="14">
        <f t="shared" si="93"/>
        <v>52.531592882495133</v>
      </c>
      <c r="CB101" s="22">
        <f t="shared" si="64"/>
        <v>461.99633795034606</v>
      </c>
      <c r="CC101" s="62">
        <f t="shared" si="65"/>
        <v>755.32967128367932</v>
      </c>
      <c r="CD101" s="62">
        <f ca="1">AVERAGE(OFFSET($CC$3,0,0,'Données projet'!$E$12+1,1))-AVERAGE(OFFSET($H$3,0,0,'Données projet'!$E$12+1,1))</f>
        <v>222.86701323374945</v>
      </c>
      <c r="CE101" s="62">
        <f t="shared" si="94"/>
        <v>149.63671045240511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30.108072817771575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30.108072817771575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8.5265128291212022E-14</v>
      </c>
      <c r="CU101" s="18">
        <f>CT101*VLOOKUP('Données projet'!$B$13,Paramètres!$A$1:$I$89,3,0)*VLOOKUP('Données projet'!$B$13,Paramètres!$A$1:$I$89,5,0)</f>
        <v>5.5865712056402117E-14</v>
      </c>
      <c r="CV101" s="14">
        <f t="shared" si="95"/>
        <v>8.9811031843713517E-13</v>
      </c>
      <c r="CW101" s="22">
        <f t="shared" si="67"/>
        <v>1.6615082531095774E-12</v>
      </c>
      <c r="CX101" s="62">
        <f t="shared" si="68"/>
        <v>293.33333333333496</v>
      </c>
      <c r="CY101" s="62">
        <f ca="1">AVERAGE(OFFSET($CX$3,0,0,'Données projet'!$E$13+1,1))-AVERAGE(OFFSET($H$3,0,0,'Données projet'!$E$13+1,1))</f>
        <v>173.15672762188746</v>
      </c>
      <c r="CZ101" s="62">
        <f t="shared" si="96"/>
        <v>208.54841796921414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70.296776451790578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70.296776451790578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>
        <f>EJ101*VLOOKUP('Données projet'!$B$15,Paramètres!$A$1:$I$89,3,0)*VLOOKUP('Données projet'!$B$15,Paramètres!$A$1:$I$89,5,0)</f>
        <v>0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269.18638759204373</v>
      </c>
      <c r="EP101" s="62">
        <f t="shared" si="100"/>
        <v>197.07126167823969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141.33586564630778</v>
      </c>
      <c r="EW101" s="23">
        <f>EXP(-LN(2)/25)*EW100+(1-EXP(-LN(2)/25))/(LN(2)/25)*Calculateur!ER101*Calculateur!ET101*VLOOKUP('Données projet'!$B$15,Paramètres!$A$1:$I$89,3,0)*0.475*44/12</f>
        <v>19.155236368980553</v>
      </c>
      <c r="EX101" s="23">
        <f>EXP(-LN(2)/2)*EX100+(1-EXP(-LN(2)/2))/(LN(2)/2)*ER101*EU101*VLOOKUP('Données projet'!$B$15,Paramètres!$A$1:$I$89,3,0)*0.475*44/12</f>
        <v>6.2149855184957081E-2</v>
      </c>
      <c r="EY101" s="24">
        <f t="shared" si="75"/>
        <v>160.5532518704733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1.1368683772161603E-13</v>
      </c>
      <c r="FF101" s="18">
        <f>FE101*VLOOKUP('Données projet'!$B$16,Paramètres!$A$1:$I$89,3,0)*VLOOKUP('Données projet'!$B$16,Paramètres!$A$1:$I$89,5,0)</f>
        <v>6.7984728957526396E-14</v>
      </c>
      <c r="FG101" s="14">
        <f t="shared" si="101"/>
        <v>1.0682447123141398E-12</v>
      </c>
      <c r="FH101" s="22">
        <f t="shared" si="76"/>
        <v>1.978932943548152E-12</v>
      </c>
      <c r="FI101" s="62">
        <f t="shared" si="77"/>
        <v>293.3333333333353</v>
      </c>
      <c r="FJ101" s="62">
        <f ca="1">AVERAGE(OFFSET($FI$3,0,0,'Données projet'!$E$16+1,1))-AVERAGE(OFFSET($H$3,0,0,'Données projet'!$E$16+1,1))</f>
        <v>330.48891719033065</v>
      </c>
      <c r="FK101" s="62">
        <f t="shared" si="102"/>
        <v>419.35494198427284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100.15267271838377</v>
      </c>
      <c r="FR101" s="23">
        <f>EXP(-LN(2)/25)*FR100+(1-EXP(-LN(2)/25))/(LN(2)/25)*Calculateur!FM101*Calculateur!FO101*VLOOKUP('Données projet'!$B$16,Paramètres!$A$1:$I$89,3,0)*0.475*44/12</f>
        <v>12.527953714368657</v>
      </c>
      <c r="FS101" s="23">
        <f>EXP(-LN(2)/2)*FS100+(1-EXP(-LN(2)/2))/(LN(2)/2)*FM101*FP101*VLOOKUP('Données projet'!$B$16,Paramètres!$A$1:$I$89,3,0)*0.475*44/12</f>
        <v>1.6564623200344597E-5</v>
      </c>
      <c r="FT101" s="24">
        <f t="shared" si="78"/>
        <v>112.68064299737563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>
        <f>FZ101*VLOOKUP('Données projet'!$B$17,Paramètres!$A$1:$I$89,3,0)*VLOOKUP('Données projet'!$B$17,Paramètres!$A$1:$I$89,5,0)</f>
        <v>0</v>
      </c>
      <c r="GB101" s="14" t="e">
        <f t="shared" si="103"/>
        <v>#NUM!</v>
      </c>
      <c r="GC101" s="22" t="e">
        <f t="shared" si="79"/>
        <v>#NUM!</v>
      </c>
      <c r="GD101" s="62" t="e">
        <f t="shared" si="80"/>
        <v>#NUM!</v>
      </c>
      <c r="GE101" s="62">
        <f ca="1">AVERAGE(OFFSET($GD$3,0,0,'Données projet'!$E$17+1,1))-AVERAGE(OFFSET($H$3,0,0,'Données projet'!$E$17+1,1))</f>
        <v>132.18258156780018</v>
      </c>
      <c r="GF101" s="62">
        <f t="shared" si="104"/>
        <v>315.58133946947294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11.281951909312534</v>
      </c>
      <c r="GM101" s="23">
        <f>EXP(-LN(2)/25)*GM100+(1-EXP(-LN(2)/25))/(LN(2)/25)*Calculateur!GH101*Calculateur!GJ101*VLOOKUP('Données projet'!$B$17,Paramètres!$A$1:$I$89,3,0)*0.475*44/12</f>
        <v>2.8160949764472201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14.098046885759754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9">
        <f t="shared" si="56"/>
        <v>451.94318956237618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8.0470000000000024</v>
      </c>
      <c r="N102" s="14">
        <f>IF('Données projet'!$A$36&gt;35,N101+M102-V101,IF(A102&lt;'Données projet'!$A$36,$K$205^A102,IF(A102='Données projet'!$A$36,'Données projet'!$B$36,N101+M102-V101)))</f>
        <v>325.17500000000035</v>
      </c>
      <c r="O102" s="14">
        <f>N102*VLOOKUP('Données projet'!$B$9,Paramètres!$A$1:$I$89,3,0)*VLOOKUP('Données projet'!$B$9,Paramètres!$A$1:$I$89,5,0)</f>
        <v>294.2183400000003</v>
      </c>
      <c r="P102" s="14">
        <f t="shared" si="87"/>
        <v>69.963036117759913</v>
      </c>
      <c r="Q102" s="22">
        <f t="shared" si="107"/>
        <v>634.28256340509904</v>
      </c>
      <c r="R102" s="62">
        <f t="shared" si="55"/>
        <v>927.61589673843241</v>
      </c>
      <c r="S102" s="62">
        <f ca="1">AVERAGE(OFFSET($R$3,0,0,'Données projet'!$E$9+1,1))-AVERAGE(OFFSET($H$3,0,0,'Données projet'!$E$9+1,1))</f>
        <v>401.86262166363821</v>
      </c>
      <c r="T102" s="62">
        <f t="shared" si="88"/>
        <v>208.60314230781432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32.302357899768289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32.302357899768289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8.0470000000000024</v>
      </c>
      <c r="AI102" s="14">
        <f>IF('Données projet'!$A$62&gt;35,AI101+AH102-AQ101,IF(A102&lt;'Données projet'!$A$62,$AF$205^A102,IF(A102='Données projet'!$A$62,'Données projet'!$B$62,AI101+AH102-AQ101)))</f>
        <v>325.17500000000035</v>
      </c>
      <c r="AJ102" s="14">
        <f>AI102*VLOOKUP('Données projet'!$B$10,Paramètres!$A$1:$I$89,3,0)*VLOOKUP('Données projet'!$B$10,Paramètres!$A$1:$I$89,5,0)</f>
        <v>350.01837000000035</v>
      </c>
      <c r="AK102" s="14">
        <f t="shared" si="89"/>
        <v>81.566293800282651</v>
      </c>
      <c r="AL102" s="22">
        <f t="shared" si="58"/>
        <v>751.6766227854929</v>
      </c>
      <c r="AM102" s="62">
        <f t="shared" si="59"/>
        <v>1045.0099561188263</v>
      </c>
      <c r="AN102" s="62">
        <f ca="1">AVERAGE(OFFSET($AM$3,0,0,'Données projet'!$E$10+1,1))-AVERAGE(OFFSET($H$3,0,0,'Données projet'!$E$10+1,1))</f>
        <v>407.22515465568205</v>
      </c>
      <c r="AO102" s="62">
        <f t="shared" si="90"/>
        <v>251.6218558398258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38.428667156620882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38.428667156620882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8.0470000000000024</v>
      </c>
      <c r="BD102" s="13">
        <f>IF('Données projet'!$A$88&gt;35,BD101+BC102-BL101,IF(A102&lt;'Données projet'!$A$88,$BA$205^A102,IF(A102='Données projet'!$A$88,'Données projet'!$B$88,BD101+BC102-BL101)))</f>
        <v>325.17500000000035</v>
      </c>
      <c r="BE102" s="14">
        <f>BD102*VLOOKUP('Données projet'!$B$11,Paramètres!$A$1:$I$89,3,0)*VLOOKUP('Données projet'!$B$11,Paramètres!$A$1:$I$89,5,0)</f>
        <v>314.50926000000038</v>
      </c>
      <c r="BF102" s="14">
        <f t="shared" si="91"/>
        <v>74.209750183096105</v>
      </c>
      <c r="BG102" s="22">
        <f t="shared" si="61"/>
        <v>677.01894273555968</v>
      </c>
      <c r="BH102" s="62">
        <f t="shared" si="62"/>
        <v>970.35227606889293</v>
      </c>
      <c r="BI102" s="62">
        <f ca="1">AVERAGE(OFFSET($BH$3,0,0,'Données projet'!$E$11+1,1))-AVERAGE(OFFSET($H$3,0,0,'Données projet'!$E$11+1,1))</f>
        <v>357.76044008074308</v>
      </c>
      <c r="BJ102" s="62">
        <f t="shared" si="92"/>
        <v>224.26555772810445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34.530106720441957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34.530106720441957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8.0470000000000024</v>
      </c>
      <c r="BY102" s="13">
        <f>IF('Données projet'!$A$114&gt;35,BY101+BX102-CG101,IF(A102&lt;'Données projet'!$A$114,$BV$205^A102,IF(A102='Données projet'!$A$114,'Données projet'!$B$114,BY101+BX102-CG101)))</f>
        <v>325.17500000000035</v>
      </c>
      <c r="BZ102" s="14">
        <f>BY102*VLOOKUP('Données projet'!$B$12,Paramètres!$A$1:$I$89,3,0)*VLOOKUP('Données projet'!$B$12,Paramètres!$A$1:$I$89,5,0)</f>
        <v>218.12739000000025</v>
      </c>
      <c r="CA102" s="14">
        <f t="shared" si="93"/>
        <v>53.707680922576678</v>
      </c>
      <c r="CB102" s="22">
        <f t="shared" si="64"/>
        <v>473.44608185682137</v>
      </c>
      <c r="CC102" s="62">
        <f t="shared" si="65"/>
        <v>766.77941519015462</v>
      </c>
      <c r="CD102" s="62">
        <f ca="1">AVERAGE(OFFSET($CC$3,0,0,'Données projet'!$E$12+1,1))-AVERAGE(OFFSET($H$3,0,0,'Données projet'!$E$12+1,1))</f>
        <v>222.86701323374945</v>
      </c>
      <c r="CE102" s="62">
        <f t="shared" si="94"/>
        <v>149.63671045240511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29.517671873926187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29.517671873926187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8.5265128291212022E-14</v>
      </c>
      <c r="CU102" s="18">
        <f>CT102*VLOOKUP('Données projet'!$B$13,Paramètres!$A$1:$I$89,3,0)*VLOOKUP('Données projet'!$B$13,Paramètres!$A$1:$I$89,5,0)</f>
        <v>5.5865712056402117E-14</v>
      </c>
      <c r="CV102" s="14">
        <f t="shared" si="95"/>
        <v>8.9811031843713517E-13</v>
      </c>
      <c r="CW102" s="22">
        <f t="shared" si="67"/>
        <v>1.6615082531095774E-12</v>
      </c>
      <c r="CX102" s="62">
        <f t="shared" si="68"/>
        <v>293.33333333333496</v>
      </c>
      <c r="CY102" s="62">
        <f ca="1">AVERAGE(OFFSET($CX$3,0,0,'Données projet'!$E$13+1,1))-AVERAGE(OFFSET($H$3,0,0,'Données projet'!$E$13+1,1))</f>
        <v>173.15672762188746</v>
      </c>
      <c r="CZ102" s="62">
        <f t="shared" si="96"/>
        <v>208.54841796921414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68.918299542370875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68.918299542370875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>
        <f>EJ102*VLOOKUP('Données projet'!$B$15,Paramètres!$A$1:$I$89,3,0)*VLOOKUP('Données projet'!$B$15,Paramètres!$A$1:$I$89,5,0)</f>
        <v>0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269.18638759204373</v>
      </c>
      <c r="EP102" s="62">
        <f t="shared" si="100"/>
        <v>197.07126167823969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138.56435552734956</v>
      </c>
      <c r="EW102" s="23">
        <f>EXP(-LN(2)/25)*EW101+(1-EXP(-LN(2)/25))/(LN(2)/25)*Calculateur!ER102*Calculateur!ET102*VLOOKUP('Données projet'!$B$15,Paramètres!$A$1:$I$89,3,0)*0.475*44/12</f>
        <v>18.63143542314068</v>
      </c>
      <c r="EX102" s="23">
        <f>EXP(-LN(2)/2)*EX101+(1-EXP(-LN(2)/2))/(LN(2)/2)*ER102*EU102*VLOOKUP('Données projet'!$B$15,Paramètres!$A$1:$I$89,3,0)*0.475*44/12</f>
        <v>4.3946584051045068E-2</v>
      </c>
      <c r="EY102" s="24">
        <f t="shared" si="75"/>
        <v>157.23973753454129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1.1368683772161603E-13</v>
      </c>
      <c r="FF102" s="18">
        <f>FE102*VLOOKUP('Données projet'!$B$16,Paramètres!$A$1:$I$89,3,0)*VLOOKUP('Données projet'!$B$16,Paramètres!$A$1:$I$89,5,0)</f>
        <v>6.7984728957526396E-14</v>
      </c>
      <c r="FG102" s="14">
        <f t="shared" si="101"/>
        <v>1.0682447123141398E-12</v>
      </c>
      <c r="FH102" s="22">
        <f t="shared" si="76"/>
        <v>1.978932943548152E-12</v>
      </c>
      <c r="FI102" s="62">
        <f t="shared" si="77"/>
        <v>293.3333333333353</v>
      </c>
      <c r="FJ102" s="62">
        <f ca="1">AVERAGE(OFFSET($FI$3,0,0,'Données projet'!$E$16+1,1))-AVERAGE(OFFSET($H$3,0,0,'Données projet'!$E$16+1,1))</f>
        <v>330.48891719033065</v>
      </c>
      <c r="FK102" s="62">
        <f t="shared" si="102"/>
        <v>419.35494198427284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98.188739893474775</v>
      </c>
      <c r="FR102" s="23">
        <f>EXP(-LN(2)/25)*FR101+(1-EXP(-LN(2)/25))/(LN(2)/25)*Calculateur!FM102*Calculateur!FO102*VLOOKUP('Données projet'!$B$16,Paramètres!$A$1:$I$89,3,0)*0.475*44/12</f>
        <v>12.185376161232792</v>
      </c>
      <c r="FS102" s="23">
        <f>EXP(-LN(2)/2)*FS101+(1-EXP(-LN(2)/2))/(LN(2)/2)*FM102*FP102*VLOOKUP('Données projet'!$B$16,Paramètres!$A$1:$I$89,3,0)*0.475*44/12</f>
        <v>1.1712957392763676E-5</v>
      </c>
      <c r="FT102" s="24">
        <f t="shared" si="78"/>
        <v>110.37412776766496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>
        <f>FZ102*VLOOKUP('Données projet'!$B$17,Paramètres!$A$1:$I$89,3,0)*VLOOKUP('Données projet'!$B$17,Paramètres!$A$1:$I$89,5,0)</f>
        <v>0</v>
      </c>
      <c r="GB102" s="14" t="e">
        <f t="shared" si="103"/>
        <v>#NUM!</v>
      </c>
      <c r="GC102" s="22" t="e">
        <f t="shared" si="79"/>
        <v>#NUM!</v>
      </c>
      <c r="GD102" s="62" t="e">
        <f t="shared" si="80"/>
        <v>#NUM!</v>
      </c>
      <c r="GE102" s="62">
        <f ca="1">AVERAGE(OFFSET($GD$3,0,0,'Données projet'!$E$17+1,1))-AVERAGE(OFFSET($H$3,0,0,'Données projet'!$E$17+1,1))</f>
        <v>132.18258156780018</v>
      </c>
      <c r="GF102" s="62">
        <f t="shared" si="104"/>
        <v>315.58133946947294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11.060719713682106</v>
      </c>
      <c r="GM102" s="23">
        <f>EXP(-LN(2)/25)*GM101+(1-EXP(-LN(2)/25))/(LN(2)/25)*Calculateur!GH102*Calculateur!GJ102*VLOOKUP('Données projet'!$B$17,Paramètres!$A$1:$I$89,3,0)*0.475*44/12</f>
        <v>2.7390887112242721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13.799808424906377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9">
        <f t="shared" si="56"/>
        <v>453.86613003772942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8.0470000000000024</v>
      </c>
      <c r="N103" s="14">
        <f>IF('Données projet'!$A$36&gt;35,N102+M103-V102,IF(A103&lt;'Données projet'!$A$36,$K$205^A103,IF(A103='Données projet'!$A$36,'Données projet'!$B$36,N102+M103-V102)))</f>
        <v>333.22200000000038</v>
      </c>
      <c r="O103" s="14">
        <f>N103*VLOOKUP('Données projet'!$B$9,Paramètres!$A$1:$I$89,3,0)*VLOOKUP('Données projet'!$B$9,Paramètres!$A$1:$I$89,5,0)</f>
        <v>301.49926560000034</v>
      </c>
      <c r="P103" s="14">
        <f t="shared" si="87"/>
        <v>71.490675884857296</v>
      </c>
      <c r="Q103" s="22">
        <f t="shared" si="107"/>
        <v>649.62414808612709</v>
      </c>
      <c r="R103" s="62">
        <f t="shared" si="55"/>
        <v>942.95748141946046</v>
      </c>
      <c r="S103" s="62">
        <f ca="1">AVERAGE(OFFSET($R$3,0,0,'Données projet'!$E$9+1,1))-AVERAGE(OFFSET($H$3,0,0,'Données projet'!$E$9+1,1))</f>
        <v>401.86262166363821</v>
      </c>
      <c r="T103" s="62">
        <f t="shared" si="88"/>
        <v>208.60314230781432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31.668928363846693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31.668928363846693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8.0470000000000024</v>
      </c>
      <c r="AI103" s="14">
        <f>IF('Données projet'!$A$62&gt;35,AI102+AH103-AQ102,IF(A103&lt;'Données projet'!$A$62,$AF$205^A103,IF(A103='Données projet'!$A$62,'Données projet'!$B$62,AI102+AH103-AQ102)))</f>
        <v>333.22200000000038</v>
      </c>
      <c r="AJ103" s="14">
        <f>AI103*VLOOKUP('Données projet'!$B$10,Paramètres!$A$1:$I$89,3,0)*VLOOKUP('Données projet'!$B$10,Paramètres!$A$1:$I$89,5,0)</f>
        <v>358.68016080000035</v>
      </c>
      <c r="AK103" s="14">
        <f t="shared" si="89"/>
        <v>83.347290180347258</v>
      </c>
      <c r="AL103" s="22">
        <f t="shared" si="58"/>
        <v>769.86447712410529</v>
      </c>
      <c r="AM103" s="62">
        <f t="shared" si="59"/>
        <v>1063.1978104574387</v>
      </c>
      <c r="AN103" s="62">
        <f ca="1">AVERAGE(OFFSET($AM$3,0,0,'Données projet'!$E$10+1,1))-AVERAGE(OFFSET($H$3,0,0,'Données projet'!$E$10+1,1))</f>
        <v>407.22515465568205</v>
      </c>
      <c r="AO103" s="62">
        <f t="shared" si="90"/>
        <v>251.6218558398258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37.675104432852088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37.675104432852088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8.0470000000000024</v>
      </c>
      <c r="BD103" s="13">
        <f>IF('Données projet'!$A$88&gt;35,BD102+BC103-BL102,IF(A103&lt;'Données projet'!$A$88,$BA$205^A103,IF(A103='Données projet'!$A$88,'Données projet'!$B$88,BD102+BC103-BL102)))</f>
        <v>333.22200000000038</v>
      </c>
      <c r="BE103" s="14">
        <f>BD103*VLOOKUP('Données projet'!$B$11,Paramètres!$A$1:$I$89,3,0)*VLOOKUP('Données projet'!$B$11,Paramètres!$A$1:$I$89,5,0)</f>
        <v>322.2923184000004</v>
      </c>
      <c r="BF103" s="14">
        <f t="shared" si="91"/>
        <v>75.830116762031381</v>
      </c>
      <c r="BG103" s="22">
        <f t="shared" si="61"/>
        <v>693.39657457387193</v>
      </c>
      <c r="BH103" s="62">
        <f t="shared" si="62"/>
        <v>986.72990790720519</v>
      </c>
      <c r="BI103" s="62">
        <f ca="1">AVERAGE(OFFSET($BH$3,0,0,'Données projet'!$E$11+1,1))-AVERAGE(OFFSET($H$3,0,0,'Données projet'!$E$11+1,1))</f>
        <v>357.76044008074308</v>
      </c>
      <c r="BJ103" s="62">
        <f t="shared" si="92"/>
        <v>224.26555772810445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33.852992388939562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33.852992388939562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8.0470000000000024</v>
      </c>
      <c r="BY103" s="13">
        <f>IF('Données projet'!$A$114&gt;35,BY102+BX103-CG102,IF(A103&lt;'Données projet'!$A$114,$BV$205^A103,IF(A103='Données projet'!$A$114,'Données projet'!$B$114,BY102+BX103-CG102)))</f>
        <v>333.22200000000038</v>
      </c>
      <c r="BZ103" s="14">
        <f>BY103*VLOOKUP('Données projet'!$B$12,Paramètres!$A$1:$I$89,3,0)*VLOOKUP('Données projet'!$B$12,Paramètres!$A$1:$I$89,5,0)</f>
        <v>223.52531760000028</v>
      </c>
      <c r="CA103" s="14">
        <f t="shared" si="93"/>
        <v>54.880385735412574</v>
      </c>
      <c r="CB103" s="22">
        <f t="shared" si="64"/>
        <v>484.88993330917737</v>
      </c>
      <c r="CC103" s="62">
        <f t="shared" si="65"/>
        <v>778.22326664251068</v>
      </c>
      <c r="CD103" s="62">
        <f ca="1">AVERAGE(OFFSET($CC$3,0,0,'Données projet'!$E$12+1,1))-AVERAGE(OFFSET($H$3,0,0,'Données projet'!$E$12+1,1))</f>
        <v>222.86701323374945</v>
      </c>
      <c r="CE103" s="62">
        <f t="shared" si="94"/>
        <v>149.63671045240511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28.938848332480589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28.938848332480589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8.5265128291212022E-14</v>
      </c>
      <c r="CU103" s="18">
        <f>CT103*VLOOKUP('Données projet'!$B$13,Paramètres!$A$1:$I$89,3,0)*VLOOKUP('Données projet'!$B$13,Paramètres!$A$1:$I$89,5,0)</f>
        <v>5.5865712056402117E-14</v>
      </c>
      <c r="CV103" s="14">
        <f t="shared" si="95"/>
        <v>8.9811031843713517E-13</v>
      </c>
      <c r="CW103" s="22">
        <f t="shared" si="67"/>
        <v>1.6615082531095774E-12</v>
      </c>
      <c r="CX103" s="62">
        <f t="shared" si="68"/>
        <v>293.33333333333496</v>
      </c>
      <c r="CY103" s="62">
        <f ca="1">AVERAGE(OFFSET($CX$3,0,0,'Données projet'!$E$13+1,1))-AVERAGE(OFFSET($H$3,0,0,'Données projet'!$E$13+1,1))</f>
        <v>173.15672762188746</v>
      </c>
      <c r="CZ103" s="62">
        <f t="shared" si="96"/>
        <v>208.54841796921414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67.566853724356989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67.566853724356989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>
        <f>EJ103*VLOOKUP('Données projet'!$B$15,Paramètres!$A$1:$I$89,3,0)*VLOOKUP('Données projet'!$B$15,Paramètres!$A$1:$I$89,5,0)</f>
        <v>0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269.18638759204373</v>
      </c>
      <c r="EP103" s="62">
        <f t="shared" si="100"/>
        <v>197.07126167823969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135.84719303136987</v>
      </c>
      <c r="EW103" s="23">
        <f>EXP(-LN(2)/25)*EW102+(1-EXP(-LN(2)/25))/(LN(2)/25)*Calculateur!ER103*Calculateur!ET103*VLOOKUP('Données projet'!$B$15,Paramètres!$A$1:$I$89,3,0)*0.475*44/12</f>
        <v>18.121957841710291</v>
      </c>
      <c r="EX103" s="23">
        <f>EXP(-LN(2)/2)*EX102+(1-EXP(-LN(2)/2))/(LN(2)/2)*ER103*EU103*VLOOKUP('Données projet'!$B$15,Paramètres!$A$1:$I$89,3,0)*0.475*44/12</f>
        <v>3.1074927592478548E-2</v>
      </c>
      <c r="EY103" s="24">
        <f t="shared" si="75"/>
        <v>154.00022580067264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1.1368683772161603E-13</v>
      </c>
      <c r="FF103" s="18">
        <f>FE103*VLOOKUP('Données projet'!$B$16,Paramètres!$A$1:$I$89,3,0)*VLOOKUP('Données projet'!$B$16,Paramètres!$A$1:$I$89,5,0)</f>
        <v>6.7984728957526396E-14</v>
      </c>
      <c r="FG103" s="14">
        <f t="shared" si="101"/>
        <v>1.0682447123141398E-12</v>
      </c>
      <c r="FH103" s="22">
        <f t="shared" si="76"/>
        <v>1.978932943548152E-12</v>
      </c>
      <c r="FI103" s="62">
        <f t="shared" si="77"/>
        <v>293.3333333333353</v>
      </c>
      <c r="FJ103" s="62">
        <f ca="1">AVERAGE(OFFSET($FI$3,0,0,'Données projet'!$E$16+1,1))-AVERAGE(OFFSET($H$3,0,0,'Données projet'!$E$16+1,1))</f>
        <v>330.48891719033065</v>
      </c>
      <c r="FK103" s="62">
        <f t="shared" si="102"/>
        <v>419.35494198427284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96.263318593381499</v>
      </c>
      <c r="FR103" s="23">
        <f>EXP(-LN(2)/25)*FR102+(1-EXP(-LN(2)/25))/(LN(2)/25)*Calculateur!FM103*Calculateur!FO103*VLOOKUP('Données projet'!$B$16,Paramètres!$A$1:$I$89,3,0)*0.475*44/12</f>
        <v>11.8521664093028</v>
      </c>
      <c r="FS103" s="23">
        <f>EXP(-LN(2)/2)*FS102+(1-EXP(-LN(2)/2))/(LN(2)/2)*FM103*FP103*VLOOKUP('Données projet'!$B$16,Paramètres!$A$1:$I$89,3,0)*0.475*44/12</f>
        <v>8.2823116001722984E-6</v>
      </c>
      <c r="FT103" s="24">
        <f t="shared" si="78"/>
        <v>108.11549328499589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>
        <f>FZ103*VLOOKUP('Données projet'!$B$17,Paramètres!$A$1:$I$89,3,0)*VLOOKUP('Données projet'!$B$17,Paramètres!$A$1:$I$89,5,0)</f>
        <v>0</v>
      </c>
      <c r="GB103" s="14" t="e">
        <f t="shared" si="103"/>
        <v>#NUM!</v>
      </c>
      <c r="GC103" s="22" t="e">
        <f t="shared" si="79"/>
        <v>#NUM!</v>
      </c>
      <c r="GD103" s="62" t="e">
        <f t="shared" si="80"/>
        <v>#NUM!</v>
      </c>
      <c r="GE103" s="62">
        <f ca="1">AVERAGE(OFFSET($GD$3,0,0,'Données projet'!$E$17+1,1))-AVERAGE(OFFSET($H$3,0,0,'Données projet'!$E$17+1,1))</f>
        <v>132.18258156780018</v>
      </c>
      <c r="GF103" s="62">
        <f t="shared" si="104"/>
        <v>315.58133946947294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10.843825746469676</v>
      </c>
      <c r="GM103" s="23">
        <f>EXP(-LN(2)/25)*GM102+(1-EXP(-LN(2)/25))/(LN(2)/25)*Calculateur!GH103*Calculateur!GJ103*VLOOKUP('Données projet'!$B$17,Paramètres!$A$1:$I$89,3,0)*0.475*44/12</f>
        <v>2.6641881863734294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13.508013932843106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9">
        <f t="shared" si="56"/>
        <v>455.78863513129187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8.0470000000000024</v>
      </c>
      <c r="N104" s="14">
        <f>IF('Données projet'!$A$36&gt;35,N103+M104-V103,IF(A104&lt;'Données projet'!$A$36,$K$205^A104,IF(A104='Données projet'!$A$36,'Données projet'!$B$36,N103+M104-V103)))</f>
        <v>341.2690000000004</v>
      </c>
      <c r="O104" s="14">
        <f>N104*VLOOKUP('Données projet'!$B$9,Paramètres!$A$1:$I$89,3,0)*VLOOKUP('Données projet'!$B$9,Paramètres!$A$1:$I$89,5,0)</f>
        <v>308.78019120000033</v>
      </c>
      <c r="P104" s="14">
        <f t="shared" si="87"/>
        <v>73.014027120130123</v>
      </c>
      <c r="Q104" s="22">
        <f t="shared" si="107"/>
        <v>664.95826357422709</v>
      </c>
      <c r="R104" s="62">
        <f t="shared" si="55"/>
        <v>958.29159690756046</v>
      </c>
      <c r="S104" s="62">
        <f ca="1">AVERAGE(OFFSET($R$3,0,0,'Données projet'!$E$9+1,1))-AVERAGE(OFFSET($H$3,0,0,'Données projet'!$E$9+1,1))</f>
        <v>401.86262166363821</v>
      </c>
      <c r="T104" s="62">
        <f t="shared" si="88"/>
        <v>208.60314230781432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31.047919994770652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31.047919994770652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8.0470000000000024</v>
      </c>
      <c r="AI104" s="14">
        <f>IF('Données projet'!$A$62&gt;35,AI103+AH104-AQ103,IF(A104&lt;'Données projet'!$A$62,$AF$205^A104,IF(A104='Données projet'!$A$62,'Données projet'!$B$62,AI103+AH104-AQ103)))</f>
        <v>341.2690000000004</v>
      </c>
      <c r="AJ104" s="14">
        <f>AI104*VLOOKUP('Données projet'!$B$10,Paramètres!$A$1:$I$89,3,0)*VLOOKUP('Données projet'!$B$10,Paramètres!$A$1:$I$89,5,0)</f>
        <v>367.34195160000041</v>
      </c>
      <c r="AK104" s="14">
        <f t="shared" si="89"/>
        <v>85.123286782440843</v>
      </c>
      <c r="AL104" s="22">
        <f t="shared" si="58"/>
        <v>788.04362351608518</v>
      </c>
      <c r="AM104" s="62">
        <f t="shared" si="59"/>
        <v>1081.3769568494185</v>
      </c>
      <c r="AN104" s="62">
        <f ca="1">AVERAGE(OFFSET($AM$3,0,0,'Données projet'!$E$10+1,1))-AVERAGE(OFFSET($H$3,0,0,'Données projet'!$E$10+1,1))</f>
        <v>407.22515465568205</v>
      </c>
      <c r="AO104" s="62">
        <f t="shared" si="90"/>
        <v>251.6218558398258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36.936318614468519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36.936318614468519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8.0470000000000024</v>
      </c>
      <c r="BD104" s="13">
        <f>IF('Données projet'!$A$88&gt;35,BD103+BC104-BL103,IF(A104&lt;'Données projet'!$A$88,$BA$205^A104,IF(A104='Données projet'!$A$88,'Données projet'!$B$88,BD103+BC104-BL103)))</f>
        <v>341.2690000000004</v>
      </c>
      <c r="BE104" s="14">
        <f>BD104*VLOOKUP('Données projet'!$B$11,Paramètres!$A$1:$I$89,3,0)*VLOOKUP('Données projet'!$B$11,Paramètres!$A$1:$I$89,5,0)</f>
        <v>330.07537680000041</v>
      </c>
      <c r="BF104" s="14">
        <f t="shared" si="91"/>
        <v>77.445934497848739</v>
      </c>
      <c r="BG104" s="22">
        <f t="shared" si="61"/>
        <v>709.76628384375397</v>
      </c>
      <c r="BH104" s="62">
        <f t="shared" si="62"/>
        <v>1003.0996171770873</v>
      </c>
      <c r="BI104" s="62">
        <f ca="1">AVERAGE(OFFSET($BH$3,0,0,'Données projet'!$E$11+1,1))-AVERAGE(OFFSET($H$3,0,0,'Données projet'!$E$11+1,1))</f>
        <v>357.76044008074308</v>
      </c>
      <c r="BJ104" s="62">
        <f t="shared" si="92"/>
        <v>224.26555772810445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33.189155856478962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33.189155856478962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8.0470000000000024</v>
      </c>
      <c r="BY104" s="13">
        <f>IF('Données projet'!$A$114&gt;35,BY103+BX104-CG103,IF(A104&lt;'Données projet'!$A$114,$BV$205^A104,IF(A104='Données projet'!$A$114,'Données projet'!$B$114,BY103+BX104-CG103)))</f>
        <v>341.2690000000004</v>
      </c>
      <c r="BZ104" s="14">
        <f>BY104*VLOOKUP('Données projet'!$B$12,Paramètres!$A$1:$I$89,3,0)*VLOOKUP('Données projet'!$B$12,Paramètres!$A$1:$I$89,5,0)</f>
        <v>228.92324520000025</v>
      </c>
      <c r="CA104" s="14">
        <f t="shared" si="93"/>
        <v>56.049798422696988</v>
      </c>
      <c r="CB104" s="22">
        <f t="shared" si="64"/>
        <v>496.32805097619757</v>
      </c>
      <c r="CC104" s="62">
        <f t="shared" si="65"/>
        <v>789.66138430953083</v>
      </c>
      <c r="CD104" s="62">
        <f ca="1">AVERAGE(OFFSET($CC$3,0,0,'Données projet'!$E$12+1,1))-AVERAGE(OFFSET($H$3,0,0,'Données projet'!$E$12+1,1))</f>
        <v>222.86701323374945</v>
      </c>
      <c r="CE104" s="62">
        <f t="shared" si="94"/>
        <v>149.63671045240511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28.371375167635239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28.371375167635239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8.5265128291212022E-14</v>
      </c>
      <c r="CU104" s="18">
        <f>CT104*VLOOKUP('Données projet'!$B$13,Paramètres!$A$1:$I$89,3,0)*VLOOKUP('Données projet'!$B$13,Paramètres!$A$1:$I$89,5,0)</f>
        <v>5.5865712056402117E-14</v>
      </c>
      <c r="CV104" s="14">
        <f t="shared" si="95"/>
        <v>8.9811031843713517E-13</v>
      </c>
      <c r="CW104" s="22">
        <f t="shared" si="67"/>
        <v>1.6615082531095774E-12</v>
      </c>
      <c r="CX104" s="62">
        <f t="shared" si="68"/>
        <v>293.33333333333496</v>
      </c>
      <c r="CY104" s="62">
        <f ca="1">AVERAGE(OFFSET($CX$3,0,0,'Données projet'!$E$13+1,1))-AVERAGE(OFFSET($H$3,0,0,'Données projet'!$E$13+1,1))</f>
        <v>173.15672762188746</v>
      </c>
      <c r="CZ104" s="62">
        <f t="shared" si="96"/>
        <v>208.54841796921414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66.241908934533797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66.241908934533797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>
        <f>EJ104*VLOOKUP('Données projet'!$B$15,Paramètres!$A$1:$I$89,3,0)*VLOOKUP('Données projet'!$B$15,Paramètres!$A$1:$I$89,5,0)</f>
        <v>0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269.18638759204373</v>
      </c>
      <c r="EP104" s="62">
        <f t="shared" si="100"/>
        <v>197.07126167823969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133.18331243463084</v>
      </c>
      <c r="EW104" s="23">
        <f>EXP(-LN(2)/25)*EW103+(1-EXP(-LN(2)/25))/(LN(2)/25)*Calculateur!ER104*Calculateur!ET104*VLOOKUP('Données projet'!$B$15,Paramètres!$A$1:$I$89,3,0)*0.475*44/12</f>
        <v>17.62641195153638</v>
      </c>
      <c r="EX104" s="23">
        <f>EXP(-LN(2)/2)*EX103+(1-EXP(-LN(2)/2))/(LN(2)/2)*ER104*EU104*VLOOKUP('Données projet'!$B$15,Paramètres!$A$1:$I$89,3,0)*0.475*44/12</f>
        <v>2.1973292025522537E-2</v>
      </c>
      <c r="EY104" s="24">
        <f t="shared" si="75"/>
        <v>150.83169767819274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1.1368683772161603E-13</v>
      </c>
      <c r="FF104" s="18">
        <f>FE104*VLOOKUP('Données projet'!$B$16,Paramètres!$A$1:$I$89,3,0)*VLOOKUP('Données projet'!$B$16,Paramètres!$A$1:$I$89,5,0)</f>
        <v>6.7984728957526396E-14</v>
      </c>
      <c r="FG104" s="14">
        <f t="shared" si="101"/>
        <v>1.0682447123141398E-12</v>
      </c>
      <c r="FH104" s="22">
        <f t="shared" si="76"/>
        <v>1.978932943548152E-12</v>
      </c>
      <c r="FI104" s="62">
        <f t="shared" si="77"/>
        <v>293.3333333333353</v>
      </c>
      <c r="FJ104" s="62">
        <f ca="1">AVERAGE(OFFSET($FI$3,0,0,'Données projet'!$E$16+1,1))-AVERAGE(OFFSET($H$3,0,0,'Données projet'!$E$16+1,1))</f>
        <v>330.48891719033065</v>
      </c>
      <c r="FK104" s="62">
        <f t="shared" si="102"/>
        <v>419.35494198427284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94.375653630592026</v>
      </c>
      <c r="FR104" s="23">
        <f>EXP(-LN(2)/25)*FR103+(1-EXP(-LN(2)/25))/(LN(2)/25)*Calculateur!FM104*Calculateur!FO104*VLOOKUP('Données projet'!$B$16,Paramètres!$A$1:$I$89,3,0)*0.475*44/12</f>
        <v>11.528068295562072</v>
      </c>
      <c r="FS104" s="23">
        <f>EXP(-LN(2)/2)*FS103+(1-EXP(-LN(2)/2))/(LN(2)/2)*FM104*FP104*VLOOKUP('Données projet'!$B$16,Paramètres!$A$1:$I$89,3,0)*0.475*44/12</f>
        <v>5.8564786963818378E-6</v>
      </c>
      <c r="FT104" s="24">
        <f t="shared" si="78"/>
        <v>105.9037277826328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>
        <f>FZ104*VLOOKUP('Données projet'!$B$17,Paramètres!$A$1:$I$89,3,0)*VLOOKUP('Données projet'!$B$17,Paramètres!$A$1:$I$89,5,0)</f>
        <v>0</v>
      </c>
      <c r="GB104" s="14" t="e">
        <f t="shared" si="103"/>
        <v>#NUM!</v>
      </c>
      <c r="GC104" s="22" t="e">
        <f t="shared" si="79"/>
        <v>#NUM!</v>
      </c>
      <c r="GD104" s="62" t="e">
        <f t="shared" si="80"/>
        <v>#NUM!</v>
      </c>
      <c r="GE104" s="62">
        <f ca="1">AVERAGE(OFFSET($GD$3,0,0,'Données projet'!$E$17+1,1))-AVERAGE(OFFSET($H$3,0,0,'Données projet'!$E$17+1,1))</f>
        <v>132.18258156780018</v>
      </c>
      <c r="GF104" s="62">
        <f t="shared" si="104"/>
        <v>315.58133946947294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10.631184937662026</v>
      </c>
      <c r="GM104" s="23">
        <f>EXP(-LN(2)/25)*GM103+(1-EXP(-LN(2)/25))/(LN(2)/25)*Calculateur!GH104*Calculateur!GJ104*VLOOKUP('Données projet'!$B$17,Paramètres!$A$1:$I$89,3,0)*0.475*44/12</f>
        <v>2.5913358203134802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13.222520757975506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9">
        <f t="shared" si="56"/>
        <v>457.71070965292688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8.0470000000000024</v>
      </c>
      <c r="N105" s="14">
        <f>IF('Données projet'!$A$36&gt;35,N104+M105-V104,IF(A105&lt;'Données projet'!$A$36,$K$205^A105,IF(A105='Données projet'!$A$36,'Données projet'!$B$36,N104+M105-V104)))</f>
        <v>349.31600000000043</v>
      </c>
      <c r="O105" s="14">
        <f>N105*VLOOKUP('Données projet'!$B$9,Paramètres!$A$1:$I$89,3,0)*VLOOKUP('Données projet'!$B$9,Paramètres!$A$1:$I$89,5,0)</f>
        <v>316.06111680000038</v>
      </c>
      <c r="P105" s="14">
        <f t="shared" si="87"/>
        <v>74.533202582557081</v>
      </c>
      <c r="Q105" s="22">
        <f t="shared" si="107"/>
        <v>680.28510625795423</v>
      </c>
      <c r="R105" s="62">
        <f t="shared" si="55"/>
        <v>973.6184395912876</v>
      </c>
      <c r="S105" s="62">
        <f ca="1">AVERAGE(OFFSET($R$3,0,0,'Données projet'!$E$9+1,1))-AVERAGE(OFFSET($H$3,0,0,'Données projet'!$E$9+1,1))</f>
        <v>401.86262166363821</v>
      </c>
      <c r="T105" s="62">
        <f t="shared" si="88"/>
        <v>208.60314230781432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30.439089221034486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30.439089221034486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8.0470000000000024</v>
      </c>
      <c r="AI105" s="14">
        <f>IF('Données projet'!$A$62&gt;35,AI104+AH105-AQ104,IF(A105&lt;'Données projet'!$A$62,$AF$205^A105,IF(A105='Données projet'!$A$62,'Données projet'!$B$62,AI104+AH105-AQ104)))</f>
        <v>349.31600000000043</v>
      </c>
      <c r="AJ105" s="14">
        <f>AI105*VLOOKUP('Données projet'!$B$10,Paramètres!$A$1:$I$89,3,0)*VLOOKUP('Données projet'!$B$10,Paramètres!$A$1:$I$89,5,0)</f>
        <v>376.00374240000048</v>
      </c>
      <c r="AK105" s="14">
        <f t="shared" si="89"/>
        <v>86.894415066438185</v>
      </c>
      <c r="AL105" s="22">
        <f t="shared" si="58"/>
        <v>806.21429092071401</v>
      </c>
      <c r="AM105" s="62">
        <f t="shared" si="59"/>
        <v>1099.5476242540474</v>
      </c>
      <c r="AN105" s="62">
        <f ca="1">AVERAGE(OFFSET($AM$3,0,0,'Données projet'!$E$10+1,1))-AVERAGE(OFFSET($H$3,0,0,'Données projet'!$E$10+1,1))</f>
        <v>407.22515465568205</v>
      </c>
      <c r="AO105" s="62">
        <f t="shared" si="90"/>
        <v>251.6218558398258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36.212019935368602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36.212019935368602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8.0470000000000024</v>
      </c>
      <c r="BD105" s="13">
        <f>IF('Données projet'!$A$88&gt;35,BD104+BC105-BL104,IF(A105&lt;'Données projet'!$A$88,$BA$205^A105,IF(A105='Données projet'!$A$88,'Données projet'!$B$88,BD104+BC105-BL104)))</f>
        <v>349.31600000000043</v>
      </c>
      <c r="BE105" s="14">
        <f>BD105*VLOOKUP('Données projet'!$B$11,Paramètres!$A$1:$I$89,3,0)*VLOOKUP('Données projet'!$B$11,Paramètres!$A$1:$I$89,5,0)</f>
        <v>337.85843520000043</v>
      </c>
      <c r="BF105" s="14">
        <f t="shared" si="91"/>
        <v>79.057322993928835</v>
      </c>
      <c r="BG105" s="22">
        <f t="shared" si="61"/>
        <v>726.12827885442675</v>
      </c>
      <c r="BH105" s="62">
        <f t="shared" si="62"/>
        <v>1019.46161218776</v>
      </c>
      <c r="BI105" s="62">
        <f ca="1">AVERAGE(OFFSET($BH$3,0,0,'Données projet'!$E$11+1,1))-AVERAGE(OFFSET($H$3,0,0,'Données projet'!$E$11+1,1))</f>
        <v>357.76044008074308</v>
      </c>
      <c r="BJ105" s="62">
        <f t="shared" si="92"/>
        <v>224.26555772810445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32.538336753519616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32.538336753519616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8.0470000000000024</v>
      </c>
      <c r="BY105" s="13">
        <f>IF('Données projet'!$A$114&gt;35,BY104+BX105-CG104,IF(A105&lt;'Données projet'!$A$114,$BV$205^A105,IF(A105='Données projet'!$A$114,'Données projet'!$B$114,BY104+BX105-CG104)))</f>
        <v>349.31600000000043</v>
      </c>
      <c r="BZ105" s="14">
        <f>BY105*VLOOKUP('Données projet'!$B$12,Paramètres!$A$1:$I$89,3,0)*VLOOKUP('Données projet'!$B$12,Paramètres!$A$1:$I$89,5,0)</f>
        <v>234.32117280000028</v>
      </c>
      <c r="CA105" s="14">
        <f t="shared" si="93"/>
        <v>57.216005544756449</v>
      </c>
      <c r="CB105" s="22">
        <f t="shared" si="64"/>
        <v>507.7605856171179</v>
      </c>
      <c r="CC105" s="62">
        <f t="shared" si="65"/>
        <v>801.09391895045121</v>
      </c>
      <c r="CD105" s="62">
        <f ca="1">AVERAGE(OFFSET($CC$3,0,0,'Données projet'!$E$12+1,1))-AVERAGE(OFFSET($H$3,0,0,'Données projet'!$E$12+1,1))</f>
        <v>222.86701323374945</v>
      </c>
      <c r="CE105" s="62">
        <f t="shared" si="94"/>
        <v>149.63671045240511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27.815029805428054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27.815029805428054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8.5265128291212022E-14</v>
      </c>
      <c r="CU105" s="18">
        <f>CT105*VLOOKUP('Données projet'!$B$13,Paramètres!$A$1:$I$89,3,0)*VLOOKUP('Données projet'!$B$13,Paramètres!$A$1:$I$89,5,0)</f>
        <v>5.5865712056402117E-14</v>
      </c>
      <c r="CV105" s="14">
        <f t="shared" si="95"/>
        <v>8.9811031843713517E-13</v>
      </c>
      <c r="CW105" s="22">
        <f t="shared" si="67"/>
        <v>1.6615082531095774E-12</v>
      </c>
      <c r="CX105" s="62">
        <f t="shared" si="68"/>
        <v>293.33333333333496</v>
      </c>
      <c r="CY105" s="62">
        <f ca="1">AVERAGE(OFFSET($CX$3,0,0,'Données projet'!$E$13+1,1))-AVERAGE(OFFSET($H$3,0,0,'Données projet'!$E$13+1,1))</f>
        <v>173.15672762188746</v>
      </c>
      <c r="CZ105" s="62">
        <f t="shared" si="96"/>
        <v>208.54841796921414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64.942945503902521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64.942945503902521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>
        <f>EJ105*VLOOKUP('Données projet'!$B$15,Paramètres!$A$1:$I$89,3,0)*VLOOKUP('Données projet'!$B$15,Paramètres!$A$1:$I$89,5,0)</f>
        <v>0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269.18638759204373</v>
      </c>
      <c r="EP105" s="62">
        <f t="shared" si="100"/>
        <v>197.07126167823969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130.57166891158712</v>
      </c>
      <c r="EW105" s="23">
        <f>EXP(-LN(2)/25)*EW104+(1-EXP(-LN(2)/25))/(LN(2)/25)*Calculateur!ER105*Calculateur!ET105*VLOOKUP('Données projet'!$B$15,Paramètres!$A$1:$I$89,3,0)*0.475*44/12</f>
        <v>17.144416789788899</v>
      </c>
      <c r="EX105" s="23">
        <f>EXP(-LN(2)/2)*EX104+(1-EXP(-LN(2)/2))/(LN(2)/2)*ER105*EU105*VLOOKUP('Données projet'!$B$15,Paramètres!$A$1:$I$89,3,0)*0.475*44/12</f>
        <v>1.5537463796239276E-2</v>
      </c>
      <c r="EY105" s="24">
        <f t="shared" si="75"/>
        <v>147.73162316517227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1.1368683772161603E-13</v>
      </c>
      <c r="FF105" s="18">
        <f>FE105*VLOOKUP('Données projet'!$B$16,Paramètres!$A$1:$I$89,3,0)*VLOOKUP('Données projet'!$B$16,Paramètres!$A$1:$I$89,5,0)</f>
        <v>6.7984728957526396E-14</v>
      </c>
      <c r="FG105" s="14">
        <f t="shared" si="101"/>
        <v>1.0682447123141398E-12</v>
      </c>
      <c r="FH105" s="22">
        <f t="shared" si="76"/>
        <v>1.978932943548152E-12</v>
      </c>
      <c r="FI105" s="62">
        <f t="shared" si="77"/>
        <v>293.3333333333353</v>
      </c>
      <c r="FJ105" s="62">
        <f ca="1">AVERAGE(OFFSET($FI$3,0,0,'Données projet'!$E$16+1,1))-AVERAGE(OFFSET($H$3,0,0,'Données projet'!$E$16+1,1))</f>
        <v>330.48891719033065</v>
      </c>
      <c r="FK105" s="62">
        <f t="shared" si="102"/>
        <v>419.35494198427284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92.525004626360911</v>
      </c>
      <c r="FR105" s="23">
        <f>EXP(-LN(2)/25)*FR104+(1-EXP(-LN(2)/25))/(LN(2)/25)*Calculateur!FM105*Calculateur!FO105*VLOOKUP('Données projet'!$B$16,Paramètres!$A$1:$I$89,3,0)*0.475*44/12</f>
        <v>11.212832661785162</v>
      </c>
      <c r="FS105" s="23">
        <f>EXP(-LN(2)/2)*FS104+(1-EXP(-LN(2)/2))/(LN(2)/2)*FM105*FP105*VLOOKUP('Données projet'!$B$16,Paramètres!$A$1:$I$89,3,0)*0.475*44/12</f>
        <v>4.1411558000861492E-6</v>
      </c>
      <c r="FT105" s="24">
        <f t="shared" si="78"/>
        <v>103.73784142930187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>
        <f>FZ105*VLOOKUP('Données projet'!$B$17,Paramètres!$A$1:$I$89,3,0)*VLOOKUP('Données projet'!$B$17,Paramètres!$A$1:$I$89,5,0)</f>
        <v>0</v>
      </c>
      <c r="GB105" s="14" t="e">
        <f t="shared" si="103"/>
        <v>#NUM!</v>
      </c>
      <c r="GC105" s="22" t="e">
        <f t="shared" si="79"/>
        <v>#NUM!</v>
      </c>
      <c r="GD105" s="62" t="e">
        <f t="shared" si="80"/>
        <v>#NUM!</v>
      </c>
      <c r="GE105" s="62">
        <f ca="1">AVERAGE(OFFSET($GD$3,0,0,'Données projet'!$E$17+1,1))-AVERAGE(OFFSET($H$3,0,0,'Données projet'!$E$17+1,1))</f>
        <v>132.18258156780018</v>
      </c>
      <c r="GF105" s="62">
        <f t="shared" si="104"/>
        <v>315.58133946947294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10.422713885417005</v>
      </c>
      <c r="GM105" s="23">
        <f>EXP(-LN(2)/25)*GM104+(1-EXP(-LN(2)/25))/(LN(2)/25)*Calculateur!GH105*Calculateur!GJ105*VLOOKUP('Données projet'!$B$17,Paramètres!$A$1:$I$89,3,0)*0.475*44/12</f>
        <v>2.5204756060345797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12.943189491451585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9">
        <f t="shared" si="56"/>
        <v>459.63235831274994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8.0470000000000024</v>
      </c>
      <c r="N106" s="14">
        <f>IF('Données projet'!$A$36&gt;35,N105+M106-V105,IF(A106&lt;'Données projet'!$A$36,$K$205^A106,IF(A106='Données projet'!$A$36,'Données projet'!$B$36,N105+M106-V105)))</f>
        <v>357.36300000000045</v>
      </c>
      <c r="O106" s="14">
        <f>N106*VLOOKUP('Données projet'!$B$9,Paramètres!$A$1:$I$89,3,0)*VLOOKUP('Données projet'!$B$9,Paramètres!$A$1:$I$89,5,0)</f>
        <v>323.34204240000037</v>
      </c>
      <c r="P106" s="14">
        <f t="shared" si="87"/>
        <v>76.048309539529996</v>
      </c>
      <c r="Q106" s="22">
        <f t="shared" si="107"/>
        <v>695.60486296134877</v>
      </c>
      <c r="R106" s="62">
        <f t="shared" si="55"/>
        <v>988.93819629468203</v>
      </c>
      <c r="S106" s="62">
        <f ca="1">AVERAGE(OFFSET($R$3,0,0,'Données projet'!$E$9+1,1))-AVERAGE(OFFSET($H$3,0,0,'Données projet'!$E$9+1,1))</f>
        <v>401.86262166363821</v>
      </c>
      <c r="T106" s="62">
        <f t="shared" si="88"/>
        <v>208.60314230781432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29.842197247421183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29.842197247421183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8.0470000000000024</v>
      </c>
      <c r="AI106" s="14">
        <f>IF('Données projet'!$A$62&gt;35,AI105+AH106-AQ105,IF(A106&lt;'Données projet'!$A$62,$AF$205^A106,IF(A106='Données projet'!$A$62,'Données projet'!$B$62,AI105+AH106-AQ105)))</f>
        <v>357.36300000000045</v>
      </c>
      <c r="AJ106" s="14">
        <f>AI106*VLOOKUP('Données projet'!$B$10,Paramètres!$A$1:$I$89,3,0)*VLOOKUP('Données projet'!$B$10,Paramètres!$A$1:$I$89,5,0)</f>
        <v>384.66553320000048</v>
      </c>
      <c r="AK106" s="14">
        <f t="shared" si="89"/>
        <v>88.660800089856849</v>
      </c>
      <c r="AL106" s="22">
        <f t="shared" si="58"/>
        <v>824.37669714650144</v>
      </c>
      <c r="AM106" s="62">
        <f t="shared" si="59"/>
        <v>1117.7100304798348</v>
      </c>
      <c r="AN106" s="62">
        <f ca="1">AVERAGE(OFFSET($AM$3,0,0,'Données projet'!$E$10+1,1))-AVERAGE(OFFSET($H$3,0,0,'Données projet'!$E$10+1,1))</f>
        <v>407.22515465568205</v>
      </c>
      <c r="AO106" s="62">
        <f t="shared" si="90"/>
        <v>251.6218558398258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35.50192431158726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35.50192431158726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8.0470000000000024</v>
      </c>
      <c r="BD106" s="13">
        <f>IF('Données projet'!$A$88&gt;35,BD105+BC106-BL105,IF(A106&lt;'Données projet'!$A$88,$BA$205^A106,IF(A106='Données projet'!$A$88,'Données projet'!$B$88,BD105+BC106-BL105)))</f>
        <v>357.36300000000045</v>
      </c>
      <c r="BE106" s="14">
        <f>BD106*VLOOKUP('Données projet'!$B$11,Paramètres!$A$1:$I$89,3,0)*VLOOKUP('Données projet'!$B$11,Paramètres!$A$1:$I$89,5,0)</f>
        <v>345.64149360000044</v>
      </c>
      <c r="BF106" s="14">
        <f t="shared" si="91"/>
        <v>80.664396028729414</v>
      </c>
      <c r="BG106" s="22">
        <f t="shared" si="61"/>
        <v>742.48275777003767</v>
      </c>
      <c r="BH106" s="62">
        <f t="shared" si="62"/>
        <v>1035.816091103371</v>
      </c>
      <c r="BI106" s="62">
        <f ca="1">AVERAGE(OFFSET($BH$3,0,0,'Données projet'!$E$11+1,1))-AVERAGE(OFFSET($H$3,0,0,'Données projet'!$E$11+1,1))</f>
        <v>357.76044008074308</v>
      </c>
      <c r="BJ106" s="62">
        <f t="shared" si="92"/>
        <v>224.26555772810445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31.900279816208844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31.900279816208844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8.0470000000000024</v>
      </c>
      <c r="BY106" s="13">
        <f>IF('Données projet'!$A$114&gt;35,BY105+BX106-CG105,IF(A106&lt;'Données projet'!$A$114,$BV$205^A106,IF(A106='Données projet'!$A$114,'Données projet'!$B$114,BY105+BX106-CG105)))</f>
        <v>357.36300000000045</v>
      </c>
      <c r="BZ106" s="14">
        <f>BY106*VLOOKUP('Données projet'!$B$12,Paramètres!$A$1:$I$89,3,0)*VLOOKUP('Données projet'!$B$12,Paramètres!$A$1:$I$89,5,0)</f>
        <v>239.71910040000031</v>
      </c>
      <c r="CA106" s="14">
        <f t="shared" si="93"/>
        <v>58.37908944625714</v>
      </c>
      <c r="CB106" s="22">
        <f t="shared" si="64"/>
        <v>519.18768064889844</v>
      </c>
      <c r="CC106" s="62">
        <f t="shared" si="65"/>
        <v>812.52101398223181</v>
      </c>
      <c r="CD106" s="62">
        <f ca="1">AVERAGE(OFFSET($CC$3,0,0,'Données projet'!$E$12+1,1))-AVERAGE(OFFSET($H$3,0,0,'Données projet'!$E$12+1,1))</f>
        <v>222.86701323374945</v>
      </c>
      <c r="CE106" s="62">
        <f t="shared" si="94"/>
        <v>149.63671045240511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27.269594036436587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27.269594036436587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8.5265128291212022E-14</v>
      </c>
      <c r="CU106" s="18">
        <f>CT106*VLOOKUP('Données projet'!$B$13,Paramètres!$A$1:$I$89,3,0)*VLOOKUP('Données projet'!$B$13,Paramètres!$A$1:$I$89,5,0)</f>
        <v>5.5865712056402117E-14</v>
      </c>
      <c r="CV106" s="14">
        <f t="shared" si="95"/>
        <v>8.9811031843713517E-13</v>
      </c>
      <c r="CW106" s="22">
        <f t="shared" si="67"/>
        <v>1.6615082531095774E-12</v>
      </c>
      <c r="CX106" s="62">
        <f t="shared" si="68"/>
        <v>293.33333333333496</v>
      </c>
      <c r="CY106" s="62">
        <f ca="1">AVERAGE(OFFSET($CX$3,0,0,'Données projet'!$E$13+1,1))-AVERAGE(OFFSET($H$3,0,0,'Données projet'!$E$13+1,1))</f>
        <v>173.15672762188746</v>
      </c>
      <c r="CZ106" s="62">
        <f t="shared" si="96"/>
        <v>208.54841796921414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63.669453953856461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63.669453953856461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>
        <f>EJ106*VLOOKUP('Données projet'!$B$15,Paramètres!$A$1:$I$89,3,0)*VLOOKUP('Données projet'!$B$15,Paramètres!$A$1:$I$89,5,0)</f>
        <v>0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269.18638759204373</v>
      </c>
      <c r="EP106" s="62">
        <f t="shared" si="100"/>
        <v>197.07126167823969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128.01123812508504</v>
      </c>
      <c r="EW106" s="23">
        <f>EXP(-LN(2)/25)*EW105+(1-EXP(-LN(2)/25))/(LN(2)/25)*Calculateur!ER106*Calculateur!ET106*VLOOKUP('Données projet'!$B$15,Paramètres!$A$1:$I$89,3,0)*0.475*44/12</f>
        <v>16.675601811086427</v>
      </c>
      <c r="EX106" s="23">
        <f>EXP(-LN(2)/2)*EX105+(1-EXP(-LN(2)/2))/(LN(2)/2)*ER106*EU106*VLOOKUP('Données projet'!$B$15,Paramètres!$A$1:$I$89,3,0)*0.475*44/12</f>
        <v>1.098664601276127E-2</v>
      </c>
      <c r="EY106" s="24">
        <f t="shared" si="75"/>
        <v>144.69782658218423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1.1368683772161603E-13</v>
      </c>
      <c r="FF106" s="18">
        <f>FE106*VLOOKUP('Données projet'!$B$16,Paramètres!$A$1:$I$89,3,0)*VLOOKUP('Données projet'!$B$16,Paramètres!$A$1:$I$89,5,0)</f>
        <v>6.7984728957526396E-14</v>
      </c>
      <c r="FG106" s="14">
        <f t="shared" si="101"/>
        <v>1.0682447123141398E-12</v>
      </c>
      <c r="FH106" s="22">
        <f t="shared" si="76"/>
        <v>1.978932943548152E-12</v>
      </c>
      <c r="FI106" s="62">
        <f t="shared" si="77"/>
        <v>293.3333333333353</v>
      </c>
      <c r="FJ106" s="62">
        <f ca="1">AVERAGE(OFFSET($FI$3,0,0,'Données projet'!$E$16+1,1))-AVERAGE(OFFSET($H$3,0,0,'Données projet'!$E$16+1,1))</f>
        <v>330.48891719033065</v>
      </c>
      <c r="FK106" s="62">
        <f t="shared" si="102"/>
        <v>419.35494198427284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90.71064572031834</v>
      </c>
      <c r="FR106" s="23">
        <f>EXP(-LN(2)/25)*FR105+(1-EXP(-LN(2)/25))/(LN(2)/25)*Calculateur!FM106*Calculateur!FO106*VLOOKUP('Données projet'!$B$16,Paramètres!$A$1:$I$89,3,0)*0.475*44/12</f>
        <v>10.906217162991405</v>
      </c>
      <c r="FS106" s="23">
        <f>EXP(-LN(2)/2)*FS105+(1-EXP(-LN(2)/2))/(LN(2)/2)*FM106*FP106*VLOOKUP('Données projet'!$B$16,Paramètres!$A$1:$I$89,3,0)*0.475*44/12</f>
        <v>2.9282393481909189E-6</v>
      </c>
      <c r="FT106" s="24">
        <f t="shared" si="78"/>
        <v>101.6168658115491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>
        <f>FZ106*VLOOKUP('Données projet'!$B$17,Paramètres!$A$1:$I$89,3,0)*VLOOKUP('Données projet'!$B$17,Paramètres!$A$1:$I$89,5,0)</f>
        <v>0</v>
      </c>
      <c r="GB106" s="14" t="e">
        <f t="shared" si="103"/>
        <v>#NUM!</v>
      </c>
      <c r="GC106" s="22" t="e">
        <f t="shared" si="79"/>
        <v>#NUM!</v>
      </c>
      <c r="GD106" s="62" t="e">
        <f t="shared" si="80"/>
        <v>#NUM!</v>
      </c>
      <c r="GE106" s="62">
        <f ca="1">AVERAGE(OFFSET($GD$3,0,0,'Données projet'!$E$17+1,1))-AVERAGE(OFFSET($H$3,0,0,'Données projet'!$E$17+1,1))</f>
        <v>132.18258156780018</v>
      </c>
      <c r="GF106" s="62">
        <f t="shared" si="104"/>
        <v>315.58133946947294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10.218330823351724</v>
      </c>
      <c r="GM106" s="23">
        <f>EXP(-LN(2)/25)*GM105+(1-EXP(-LN(2)/25))/(LN(2)/25)*Calculateur!GH106*Calculateur!GJ106*VLOOKUP('Données projet'!$B$17,Paramètres!$A$1:$I$89,3,0)*0.475*44/12</f>
        <v>2.4515530680415125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12.669883891393237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9">
        <f t="shared" si="56"/>
        <v>461.55358572414536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>
        <f>VLOOKUP(A107,'Données projet'!$A$35:$I$55,2,0)</f>
        <v>365.41</v>
      </c>
      <c r="L107" s="13">
        <f>VLOOKUP(A107,'Données projet'!$A$35:$I$55,9,0)</f>
        <v>8.0470000000000024</v>
      </c>
      <c r="M107" s="13">
        <f t="array" ref="M107">INDEX(L:L,MIN(IF(ISNUMBER(L107:L303),ROW(L107:L303),"")))</f>
        <v>8.0470000000000024</v>
      </c>
      <c r="N107" s="14">
        <f>IF('Données projet'!$A$36&gt;35,N106+M107-V106,IF(A107&lt;'Données projet'!$A$36,$K$205^A107,IF(A107='Données projet'!$A$36,'Données projet'!$B$36,N106+M107-V106)))</f>
        <v>365.41000000000048</v>
      </c>
      <c r="O107" s="14">
        <f>N107*VLOOKUP('Données projet'!$B$9,Paramètres!$A$1:$I$89,3,0)*VLOOKUP('Données projet'!$B$9,Paramètres!$A$1:$I$89,5,0)</f>
        <v>330.62296800000041</v>
      </c>
      <c r="P107" s="14">
        <f t="shared" si="87"/>
        <v>77.559450151847827</v>
      </c>
      <c r="Q107" s="22">
        <f t="shared" si="107"/>
        <v>710.91771161446911</v>
      </c>
      <c r="R107" s="62">
        <f t="shared" si="55"/>
        <v>1004.2510449478025</v>
      </c>
      <c r="S107" s="62">
        <f ca="1">AVERAGE(OFFSET($R$3,0,0,'Données projet'!$E$9+1,1))-AVERAGE(OFFSET($H$3,0,0,'Données projet'!$E$9+1,1))</f>
        <v>401.86262166363821</v>
      </c>
      <c r="T107" s="62">
        <f t="shared" si="88"/>
        <v>208.60314230781432</v>
      </c>
      <c r="U107" s="16">
        <f>IF(ISNA(VLOOKUP(A107,'Données projet'!$A$35:$I$55,3,0)),0,VLOOKUP(A107,'Données projet'!$A$35:$I$55,3,0))</f>
        <v>8</v>
      </c>
      <c r="V107" s="16">
        <f>IF(ISNA(VLOOKUP(A107,'Données projet'!$A$35:$I$55,4,0)),0,VLOOKUP(A107,'Données projet'!$A$35:$I$55,4,0))</f>
        <v>60.19</v>
      </c>
      <c r="W107" s="17">
        <f>IF(ISNA(VLOOKUP(A107,'Données projet'!$A$35:$I$55,5,0)),0%,VLOOKUP(A107,'Données projet'!$A$35:$I$55,5,0)*VLOOKUP('Données projet'!$B$9,Paramètres!$A$1:$I$89,7,0))</f>
        <v>0.215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42.200831172756061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42.200831172756061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>
        <f>VLOOKUP(A107,'Données projet'!$A$61:$I$81,2,0)</f>
        <v>365.41</v>
      </c>
      <c r="AG107" s="13">
        <f>VLOOKUP(A107,'Données projet'!$A$61:$I$81,9,0)</f>
        <v>8.0470000000000024</v>
      </c>
      <c r="AH107" s="13">
        <f t="array" ref="AH107">INDEX(AG:AG,MIN(IF(ISNUMBER(AG107:AG303),ROW(AG107:AG303),"")))</f>
        <v>8.0470000000000024</v>
      </c>
      <c r="AI107" s="14">
        <f>IF('Données projet'!$A$62&gt;35,AI106+AH107-AQ106,IF(A107&lt;'Données projet'!$A$62,$AF$205^A107,IF(A107='Données projet'!$A$62,'Données projet'!$B$62,AI106+AH107-AQ106)))</f>
        <v>365.41000000000048</v>
      </c>
      <c r="AJ107" s="14">
        <f>AI107*VLOOKUP('Données projet'!$B$10,Paramètres!$A$1:$I$89,3,0)*VLOOKUP('Données projet'!$B$10,Paramètres!$A$1:$I$89,5,0)</f>
        <v>393.32732400000049</v>
      </c>
      <c r="AK107" s="14">
        <f t="shared" si="89"/>
        <v>90.42256095670065</v>
      </c>
      <c r="AL107" s="22">
        <f t="shared" si="58"/>
        <v>842.53104963292105</v>
      </c>
      <c r="AM107" s="62">
        <f t="shared" si="59"/>
        <v>1135.8643829662544</v>
      </c>
      <c r="AN107" s="62">
        <f ca="1">AVERAGE(OFFSET($AM$3,0,0,'Données projet'!$E$10+1,1))-AVERAGE(OFFSET($H$3,0,0,'Données projet'!$E$10+1,1))</f>
        <v>407.22515465568205</v>
      </c>
      <c r="AO107" s="62">
        <f t="shared" si="90"/>
        <v>251.6218558398258</v>
      </c>
      <c r="AP107" s="16">
        <f>IF(ISNA(VLOOKUP(A107,'Données projet'!$A$61:$I$81,3,0)),0,VLOOKUP(A107,'Données projet'!$A$61:$I$81,3,0))</f>
        <v>8</v>
      </c>
      <c r="AQ107" s="16">
        <f>IF(ISNA(VLOOKUP(A107,'Données projet'!$A$61:$I$81,4,0)),0,VLOOKUP(A107,'Données projet'!$A$61:$I$81,4,0))</f>
        <v>60.19</v>
      </c>
      <c r="AR107" s="17">
        <f>IF(ISNA(VLOOKUP(A107,'Données projet'!$A$61:$I$81,5,0)),0%,VLOOKUP(A107,'Données projet'!$A$61:$I$81,5,0)*VLOOKUP('Données projet'!$B$10,Paramètres!$A$1:$I$89,7,0))</f>
        <v>0.215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50.204437084830474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50.204437084830474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>
        <f>VLOOKUP(A107,'Données projet'!$A$87:$I$107,2,0)</f>
        <v>365.41</v>
      </c>
      <c r="BB107" s="13">
        <f>VLOOKUP(A107,'Données projet'!$A$87:$I$107,9,0)</f>
        <v>8.0470000000000024</v>
      </c>
      <c r="BC107" s="13">
        <f t="array" ref="BC107">INDEX(BB:BB,MIN(IF(ISNUMBER(BB107:BB303),ROW(BB107:BB303),"")))</f>
        <v>8.0470000000000024</v>
      </c>
      <c r="BD107" s="13">
        <f>IF('Données projet'!$A$88&gt;35,BD106+BC107-BL106,IF(A107&lt;'Données projet'!$A$88,$BA$205^A107,IF(A107='Données projet'!$A$88,'Données projet'!$B$88,BD106+BC107-BL106)))</f>
        <v>365.41000000000048</v>
      </c>
      <c r="BE107" s="14">
        <f>BD107*VLOOKUP('Données projet'!$B$11,Paramètres!$A$1:$I$89,3,0)*VLOOKUP('Données projet'!$B$11,Paramètres!$A$1:$I$89,5,0)</f>
        <v>353.42455200000046</v>
      </c>
      <c r="BF107" s="14">
        <f t="shared" si="91"/>
        <v>82.267261964148275</v>
      </c>
      <c r="BG107" s="22">
        <f t="shared" si="61"/>
        <v>758.8299093208924</v>
      </c>
      <c r="BH107" s="62">
        <f t="shared" si="62"/>
        <v>1052.1632426542258</v>
      </c>
      <c r="BI107" s="62">
        <f ca="1">AVERAGE(OFFSET($BH$3,0,0,'Données projet'!$E$11+1,1))-AVERAGE(OFFSET($H$3,0,0,'Données projet'!$E$11+1,1))</f>
        <v>357.76044008074308</v>
      </c>
      <c r="BJ107" s="62">
        <f t="shared" si="92"/>
        <v>224.26555772810445</v>
      </c>
      <c r="BK107" s="16">
        <f>IF(ISNA(VLOOKUP(A107,'Données projet'!$A$87:$I$107,3,0)),0,VLOOKUP(A107,'Données projet'!$A$87:$I$107,3,0))</f>
        <v>8</v>
      </c>
      <c r="BL107" s="16">
        <f>IF(ISNA(VLOOKUP(A107,'Données projet'!$A$87:$I$107,4,0)),0,VLOOKUP(A107,'Données projet'!$A$87:$I$107,4,0))</f>
        <v>60.19</v>
      </c>
      <c r="BM107" s="17">
        <f>IF(ISNA(VLOOKUP(A107,'Données projet'!$A$87:$I$107,5,0)),0%,VLOOKUP(A107,'Données projet'!$A$87:$I$107,5,0)*VLOOKUP('Données projet'!$B$11,Paramètres!$A$1:$I$89,7,0))</f>
        <v>0.215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45.111233322601294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45.111233322601294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>
        <f>VLOOKUP(A107,'Données projet'!$A$113:$I$133,2,0)</f>
        <v>365.41</v>
      </c>
      <c r="BW107" s="13">
        <f>VLOOKUP(A107,'Données projet'!$A$113:$I$133,9,0)</f>
        <v>8.0470000000000024</v>
      </c>
      <c r="BX107" s="13">
        <f t="array" ref="BX107">INDEX(BW:BW,MIN(IF(ISNUMBER(BW107:BW303),ROW(BW107:BW303),"")))</f>
        <v>8.0470000000000024</v>
      </c>
      <c r="BY107" s="13">
        <f>IF('Données projet'!$A$114&gt;35,BY106+BX107-CG106,IF(A107&lt;'Données projet'!$A$114,$BV$205^A107,IF(A107='Données projet'!$A$114,'Données projet'!$B$114,BY106+BX107-CG106)))</f>
        <v>365.41000000000048</v>
      </c>
      <c r="BZ107" s="14">
        <f>BY107*VLOOKUP('Données projet'!$B$12,Paramètres!$A$1:$I$89,3,0)*VLOOKUP('Données projet'!$B$12,Paramètres!$A$1:$I$89,5,0)</f>
        <v>245.11702800000035</v>
      </c>
      <c r="CA107" s="14">
        <f t="shared" si="93"/>
        <v>59.539128551748597</v>
      </c>
      <c r="CB107" s="22">
        <f t="shared" si="64"/>
        <v>530.60947266096275</v>
      </c>
      <c r="CC107" s="62">
        <f t="shared" si="65"/>
        <v>823.94280599429612</v>
      </c>
      <c r="CD107" s="62">
        <f ca="1">AVERAGE(OFFSET($CC$3,0,0,'Données projet'!$E$12+1,1))-AVERAGE(OFFSET($H$3,0,0,'Données projet'!$E$12+1,1))</f>
        <v>222.86701323374945</v>
      </c>
      <c r="CE107" s="62">
        <f t="shared" si="94"/>
        <v>149.63671045240511</v>
      </c>
      <c r="CF107" s="16">
        <f>IF(ISNA(VLOOKUP(A107,'Données projet'!$A$113:$I$133,3,0)),0,VLOOKUP(A107,'Données projet'!$A$113:$I$133,3,0))</f>
        <v>8</v>
      </c>
      <c r="CG107" s="16">
        <f>IF(ISNA(VLOOKUP(A107,'Données projet'!$A$113:$I$133,4,0)),0,VLOOKUP(A107,'Données projet'!$A$113:$I$133,4,0))</f>
        <v>60.19</v>
      </c>
      <c r="CH107" s="17">
        <f>IF(ISNA(VLOOKUP(A107,'Données projet'!$A$113:$I$133,5,0)),0%,VLOOKUP(A107,'Données projet'!$A$113:$I$133,5,0)*VLOOKUP('Données projet'!$B$12,Paramètres!$A$1:$I$89,7,0))</f>
        <v>0.26500000000000001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38.562828485449494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38.562828485449494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8.5265128291212022E-14</v>
      </c>
      <c r="CU107" s="18">
        <f>CT107*VLOOKUP('Données projet'!$B$13,Paramètres!$A$1:$I$89,3,0)*VLOOKUP('Données projet'!$B$13,Paramètres!$A$1:$I$89,5,0)</f>
        <v>5.5865712056402117E-14</v>
      </c>
      <c r="CV107" s="14">
        <f t="shared" si="95"/>
        <v>8.9811031843713517E-13</v>
      </c>
      <c r="CW107" s="22">
        <f t="shared" si="67"/>
        <v>1.6615082531095774E-12</v>
      </c>
      <c r="CX107" s="62">
        <f t="shared" si="68"/>
        <v>293.33333333333496</v>
      </c>
      <c r="CY107" s="62">
        <f ca="1">AVERAGE(OFFSET($CX$3,0,0,'Données projet'!$E$13+1,1))-AVERAGE(OFFSET($H$3,0,0,'Données projet'!$E$13+1,1))</f>
        <v>173.15672762188746</v>
      </c>
      <c r="CZ107" s="62">
        <f t="shared" si="96"/>
        <v>208.54841796921414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62.420934796353656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62.420934796353656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>
        <f>EJ107*VLOOKUP('Données projet'!$B$15,Paramètres!$A$1:$I$89,3,0)*VLOOKUP('Données projet'!$B$15,Paramètres!$A$1:$I$89,5,0)</f>
        <v>0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269.18638759204373</v>
      </c>
      <c r="EP107" s="62">
        <f t="shared" si="100"/>
        <v>197.07126167823969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125.5010158245977</v>
      </c>
      <c r="EW107" s="23">
        <f>EXP(-LN(2)/25)*EW106+(1-EXP(-LN(2)/25))/(LN(2)/25)*Calculateur!ER107*Calculateur!ET107*VLOOKUP('Données projet'!$B$15,Paramètres!$A$1:$I$89,3,0)*0.475*44/12</f>
        <v>16.219606602630481</v>
      </c>
      <c r="EX107" s="23">
        <f>EXP(-LN(2)/2)*EX106+(1-EXP(-LN(2)/2))/(LN(2)/2)*ER107*EU107*VLOOKUP('Données projet'!$B$15,Paramètres!$A$1:$I$89,3,0)*0.475*44/12</f>
        <v>7.7687318981196386E-3</v>
      </c>
      <c r="EY107" s="24">
        <f t="shared" si="75"/>
        <v>141.72839115912632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1.1368683772161603E-13</v>
      </c>
      <c r="FF107" s="18">
        <f>FE107*VLOOKUP('Données projet'!$B$16,Paramètres!$A$1:$I$89,3,0)*VLOOKUP('Données projet'!$B$16,Paramètres!$A$1:$I$89,5,0)</f>
        <v>6.7984728957526396E-14</v>
      </c>
      <c r="FG107" s="14">
        <f t="shared" si="101"/>
        <v>1.0682447123141398E-12</v>
      </c>
      <c r="FH107" s="22">
        <f t="shared" si="76"/>
        <v>1.978932943548152E-12</v>
      </c>
      <c r="FI107" s="62">
        <f t="shared" si="77"/>
        <v>293.3333333333353</v>
      </c>
      <c r="FJ107" s="62">
        <f ca="1">AVERAGE(OFFSET($FI$3,0,0,'Données projet'!$E$16+1,1))-AVERAGE(OFFSET($H$3,0,0,'Données projet'!$E$16+1,1))</f>
        <v>330.48891719033065</v>
      </c>
      <c r="FK107" s="62">
        <f t="shared" si="102"/>
        <v>419.35494198427284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88.931865285773597</v>
      </c>
      <c r="FR107" s="23">
        <f>EXP(-LN(2)/25)*FR106+(1-EXP(-LN(2)/25))/(LN(2)/25)*Calculateur!FM107*Calculateur!FO107*VLOOKUP('Données projet'!$B$16,Paramètres!$A$1:$I$89,3,0)*0.475*44/12</f>
        <v>10.607986081136371</v>
      </c>
      <c r="FS107" s="23">
        <f>EXP(-LN(2)/2)*FS106+(1-EXP(-LN(2)/2))/(LN(2)/2)*FM107*FP107*VLOOKUP('Données projet'!$B$16,Paramètres!$A$1:$I$89,3,0)*0.475*44/12</f>
        <v>2.0705779000430746E-6</v>
      </c>
      <c r="FT107" s="24">
        <f t="shared" si="78"/>
        <v>99.539853437487878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>
        <f>FZ107*VLOOKUP('Données projet'!$B$17,Paramètres!$A$1:$I$89,3,0)*VLOOKUP('Données projet'!$B$17,Paramètres!$A$1:$I$89,5,0)</f>
        <v>0</v>
      </c>
      <c r="GB107" s="14" t="e">
        <f t="shared" si="103"/>
        <v>#NUM!</v>
      </c>
      <c r="GC107" s="22" t="e">
        <f t="shared" si="79"/>
        <v>#NUM!</v>
      </c>
      <c r="GD107" s="62" t="e">
        <f t="shared" si="80"/>
        <v>#NUM!</v>
      </c>
      <c r="GE107" s="62">
        <f ca="1">AVERAGE(OFFSET($GD$3,0,0,'Données projet'!$E$17+1,1))-AVERAGE(OFFSET($H$3,0,0,'Données projet'!$E$17+1,1))</f>
        <v>132.18258156780018</v>
      </c>
      <c r="GF107" s="62">
        <f t="shared" si="104"/>
        <v>315.58133946947294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10.017955588472185</v>
      </c>
      <c r="GM107" s="23">
        <f>EXP(-LN(2)/25)*GM106+(1-EXP(-LN(2)/25))/(LN(2)/25)*Calculateur!GH107*Calculateur!GJ107*VLOOKUP('Données projet'!$B$17,Paramètres!$A$1:$I$89,3,0)*0.475*44/12</f>
        <v>2.3845152204743445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12.40247080894653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9">
        <f t="shared" si="56"/>
        <v>463.47439640666329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7.9349999999999969</v>
      </c>
      <c r="N108" s="14">
        <f>IF('Données projet'!$A$36&gt;35,N107+M108-V107,IF(A108&lt;'Données projet'!$A$36,$K$205^A108,IF(A108='Données projet'!$A$36,'Données projet'!$B$36,N107+M108-V107)))</f>
        <v>313.15500000000048</v>
      </c>
      <c r="O108" s="14">
        <f>N108*VLOOKUP('Données projet'!$B$9,Paramètres!$A$1:$I$89,3,0)*VLOOKUP('Données projet'!$B$9,Paramètres!$A$1:$I$89,5,0)</f>
        <v>283.34264400000046</v>
      </c>
      <c r="P108" s="14">
        <f t="shared" si="87"/>
        <v>67.672917015543916</v>
      </c>
      <c r="Q108" s="22">
        <f t="shared" si="107"/>
        <v>611.3521021020731</v>
      </c>
      <c r="R108" s="62">
        <f t="shared" si="55"/>
        <v>904.68543543540636</v>
      </c>
      <c r="S108" s="62">
        <f ca="1">AVERAGE(OFFSET($R$3,0,0,'Données projet'!$E$9+1,1))-AVERAGE(OFFSET($H$3,0,0,'Données projet'!$E$9+1,1))</f>
        <v>401.86262166363821</v>
      </c>
      <c r="T108" s="62">
        <f t="shared" si="88"/>
        <v>208.60314230781432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41.373298613423721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41.373298613423721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7.9349999999999969</v>
      </c>
      <c r="AI108" s="14">
        <f>IF('Données projet'!$A$62&gt;35,AI107+AH108-AQ107,IF(A108&lt;'Données projet'!$A$62,$AF$205^A108,IF(A108='Données projet'!$A$62,'Données projet'!$B$62,AI107+AH108-AQ107)))</f>
        <v>313.15500000000048</v>
      </c>
      <c r="AJ108" s="14">
        <f>AI108*VLOOKUP('Données projet'!$B$10,Paramètres!$A$1:$I$89,3,0)*VLOOKUP('Données projet'!$B$10,Paramètres!$A$1:$I$89,5,0)</f>
        <v>337.0800420000005</v>
      </c>
      <c r="AK108" s="14">
        <f t="shared" si="89"/>
        <v>78.896362106429635</v>
      </c>
      <c r="AL108" s="22">
        <f t="shared" si="58"/>
        <v>724.49223715203243</v>
      </c>
      <c r="AM108" s="62">
        <f t="shared" si="59"/>
        <v>1017.8255704853657</v>
      </c>
      <c r="AN108" s="62">
        <f ca="1">AVERAGE(OFFSET($AM$3,0,0,'Données projet'!$E$10+1,1))-AVERAGE(OFFSET($H$3,0,0,'Données projet'!$E$10+1,1))</f>
        <v>407.22515465568205</v>
      </c>
      <c r="AO108" s="62">
        <f t="shared" si="90"/>
        <v>251.6218558398258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49.219958695279928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49.219958695279928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7.9349999999999969</v>
      </c>
      <c r="BD108" s="13">
        <f>IF('Données projet'!$A$88&gt;35,BD107+BC108-BL107,IF(A108&lt;'Données projet'!$A$88,$BA$205^A108,IF(A108='Données projet'!$A$88,'Données projet'!$B$88,BD107+BC108-BL107)))</f>
        <v>313.15500000000048</v>
      </c>
      <c r="BE108" s="14">
        <f>BD108*VLOOKUP('Données projet'!$B$11,Paramètres!$A$1:$I$89,3,0)*VLOOKUP('Données projet'!$B$11,Paramètres!$A$1:$I$89,5,0)</f>
        <v>302.88351600000044</v>
      </c>
      <c r="BF108" s="14">
        <f t="shared" si="91"/>
        <v>71.780622233603793</v>
      </c>
      <c r="BG108" s="22">
        <f t="shared" si="61"/>
        <v>652.54004075686078</v>
      </c>
      <c r="BH108" s="62">
        <f t="shared" si="62"/>
        <v>945.87337409019415</v>
      </c>
      <c r="BI108" s="62">
        <f ca="1">AVERAGE(OFFSET($BH$3,0,0,'Données projet'!$E$11+1,1))-AVERAGE(OFFSET($H$3,0,0,'Données projet'!$E$11+1,1))</f>
        <v>357.76044008074308</v>
      </c>
      <c r="BJ108" s="62">
        <f t="shared" si="92"/>
        <v>224.26555772810445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44.226629552280514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44.226629552280514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7.9349999999999969</v>
      </c>
      <c r="BY108" s="13">
        <f>IF('Données projet'!$A$114&gt;35,BY107+BX108-CG107,IF(A108&lt;'Données projet'!$A$114,$BV$205^A108,IF(A108='Données projet'!$A$114,'Données projet'!$B$114,BY107+BX108-CG107)))</f>
        <v>313.15500000000048</v>
      </c>
      <c r="BZ108" s="14">
        <f>BY108*VLOOKUP('Données projet'!$B$12,Paramètres!$A$1:$I$89,3,0)*VLOOKUP('Données projet'!$B$12,Paramètres!$A$1:$I$89,5,0)</f>
        <v>210.06437400000033</v>
      </c>
      <c r="CA108" s="14">
        <f t="shared" si="93"/>
        <v>51.949652785983382</v>
      </c>
      <c r="CB108" s="22">
        <f t="shared" si="64"/>
        <v>456.34109665225498</v>
      </c>
      <c r="CC108" s="62">
        <f t="shared" si="65"/>
        <v>749.67442998558829</v>
      </c>
      <c r="CD108" s="62">
        <f ca="1">AVERAGE(OFFSET($CC$3,0,0,'Données projet'!$E$12+1,1))-AVERAGE(OFFSET($H$3,0,0,'Données projet'!$E$12+1,1))</f>
        <v>222.86701323374945</v>
      </c>
      <c r="CE108" s="62">
        <f t="shared" si="94"/>
        <v>149.63671045240511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37.8066349398527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37.8066349398527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8.5265128291212022E-14</v>
      </c>
      <c r="CU108" s="18">
        <f>CT108*VLOOKUP('Données projet'!$B$13,Paramètres!$A$1:$I$89,3,0)*VLOOKUP('Données projet'!$B$13,Paramètres!$A$1:$I$89,5,0)</f>
        <v>5.5865712056402117E-14</v>
      </c>
      <c r="CV108" s="14">
        <f t="shared" si="95"/>
        <v>8.9811031843713517E-13</v>
      </c>
      <c r="CW108" s="22">
        <f t="shared" si="67"/>
        <v>1.6615082531095774E-12</v>
      </c>
      <c r="CX108" s="62">
        <f t="shared" si="68"/>
        <v>293.33333333333496</v>
      </c>
      <c r="CY108" s="62">
        <f ca="1">AVERAGE(OFFSET($CX$3,0,0,'Données projet'!$E$13+1,1))-AVERAGE(OFFSET($H$3,0,0,'Données projet'!$E$13+1,1))</f>
        <v>173.15672762188746</v>
      </c>
      <c r="CZ108" s="62">
        <f t="shared" si="96"/>
        <v>208.54841796921414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61.196898338007991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61.196898338007991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>
        <f>EJ108*VLOOKUP('Données projet'!$B$15,Paramètres!$A$1:$I$89,3,0)*VLOOKUP('Données projet'!$B$15,Paramètres!$A$1:$I$89,5,0)</f>
        <v>0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269.18638759204373</v>
      </c>
      <c r="EP108" s="62">
        <f t="shared" si="100"/>
        <v>197.07126167823969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123.0400174523385</v>
      </c>
      <c r="EW108" s="23">
        <f>EXP(-LN(2)/25)*EW107+(1-EXP(-LN(2)/25))/(LN(2)/25)*Calculateur!ER108*Calculateur!ET108*VLOOKUP('Données projet'!$B$15,Paramètres!$A$1:$I$89,3,0)*0.475*44/12</f>
        <v>15.77608060712951</v>
      </c>
      <c r="EX108" s="23">
        <f>EXP(-LN(2)/2)*EX107+(1-EXP(-LN(2)/2))/(LN(2)/2)*ER108*EU108*VLOOKUP('Données projet'!$B$15,Paramètres!$A$1:$I$89,3,0)*0.475*44/12</f>
        <v>5.4933230063806361E-3</v>
      </c>
      <c r="EY108" s="24">
        <f t="shared" si="75"/>
        <v>138.8215913824744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1.1368683772161603E-13</v>
      </c>
      <c r="FF108" s="18">
        <f>FE108*VLOOKUP('Données projet'!$B$16,Paramètres!$A$1:$I$89,3,0)*VLOOKUP('Données projet'!$B$16,Paramètres!$A$1:$I$89,5,0)</f>
        <v>6.7984728957526396E-14</v>
      </c>
      <c r="FG108" s="14">
        <f t="shared" si="101"/>
        <v>1.0682447123141398E-12</v>
      </c>
      <c r="FH108" s="22">
        <f t="shared" si="76"/>
        <v>1.978932943548152E-12</v>
      </c>
      <c r="FI108" s="62">
        <f t="shared" si="77"/>
        <v>293.3333333333353</v>
      </c>
      <c r="FJ108" s="62">
        <f ca="1">AVERAGE(OFFSET($FI$3,0,0,'Données projet'!$E$16+1,1))-AVERAGE(OFFSET($H$3,0,0,'Données projet'!$E$16+1,1))</f>
        <v>330.48891719033065</v>
      </c>
      <c r="FK108" s="62">
        <f t="shared" si="102"/>
        <v>419.35494198427284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87.187965650601342</v>
      </c>
      <c r="FR108" s="23">
        <f>EXP(-LN(2)/25)*FR107+(1-EXP(-LN(2)/25))/(LN(2)/25)*Calculateur!FM108*Calculateur!FO108*VLOOKUP('Données projet'!$B$16,Paramètres!$A$1:$I$89,3,0)*0.475*44/12</f>
        <v>10.317910143897954</v>
      </c>
      <c r="FS108" s="23">
        <f>EXP(-LN(2)/2)*FS107+(1-EXP(-LN(2)/2))/(LN(2)/2)*FM108*FP108*VLOOKUP('Données projet'!$B$16,Paramètres!$A$1:$I$89,3,0)*0.475*44/12</f>
        <v>1.4641196740954594E-6</v>
      </c>
      <c r="FT108" s="24">
        <f t="shared" si="78"/>
        <v>97.50587725861898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>
        <f>FZ108*VLOOKUP('Données projet'!$B$17,Paramètres!$A$1:$I$89,3,0)*VLOOKUP('Données projet'!$B$17,Paramètres!$A$1:$I$89,5,0)</f>
        <v>0</v>
      </c>
      <c r="GB108" s="14" t="e">
        <f t="shared" si="103"/>
        <v>#NUM!</v>
      </c>
      <c r="GC108" s="22" t="e">
        <f t="shared" si="79"/>
        <v>#NUM!</v>
      </c>
      <c r="GD108" s="62" t="e">
        <f t="shared" si="80"/>
        <v>#NUM!</v>
      </c>
      <c r="GE108" s="62">
        <f ca="1">AVERAGE(OFFSET($GD$3,0,0,'Données projet'!$E$17+1,1))-AVERAGE(OFFSET($H$3,0,0,'Données projet'!$E$17+1,1))</f>
        <v>132.18258156780018</v>
      </c>
      <c r="GF108" s="62">
        <f t="shared" si="104"/>
        <v>315.58133946947294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9.8215095897318072</v>
      </c>
      <c r="GM108" s="23">
        <f>EXP(-LN(2)/25)*GM107+(1-EXP(-LN(2)/25))/(LN(2)/25)*Calculateur!GH108*Calculateur!GJ108*VLOOKUP('Données projet'!$B$17,Paramètres!$A$1:$I$89,3,0)*0.475*44/12</f>
        <v>2.3193105263742679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12.140820116106076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9">
        <f t="shared" si="56"/>
        <v>465.39479478880332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7.9349999999999969</v>
      </c>
      <c r="N109" s="14">
        <f>IF('Données projet'!$A$36&gt;35,N108+M109-V108,IF(A109&lt;'Données projet'!$A$36,$K$205^A109,IF(A109='Données projet'!$A$36,'Données projet'!$B$36,N108+M109-V108)))</f>
        <v>321.09000000000049</v>
      </c>
      <c r="O109" s="14">
        <f>N109*VLOOKUP('Données projet'!$B$9,Paramètres!$A$1:$I$89,3,0)*VLOOKUP('Données projet'!$B$9,Paramètres!$A$1:$I$89,5,0)</f>
        <v>290.52223200000043</v>
      </c>
      <c r="P109" s="14">
        <f t="shared" si="87"/>
        <v>69.185862279978352</v>
      </c>
      <c r="Q109" s="22">
        <f t="shared" si="107"/>
        <v>626.49159753762979</v>
      </c>
      <c r="R109" s="62">
        <f t="shared" si="55"/>
        <v>919.82493087096304</v>
      </c>
      <c r="S109" s="62">
        <f ca="1">AVERAGE(OFFSET($R$3,0,0,'Données projet'!$E$9+1,1))-AVERAGE(OFFSET($H$3,0,0,'Données projet'!$E$9+1,1))</f>
        <v>401.86262166363821</v>
      </c>
      <c r="T109" s="62">
        <f t="shared" si="88"/>
        <v>208.60314230781432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40.561993462834863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40.561993462834863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7.9349999999999969</v>
      </c>
      <c r="AI109" s="14">
        <f>IF('Données projet'!$A$62&gt;35,AI108+AH109-AQ108,IF(A109&lt;'Données projet'!$A$62,$AF$205^A109,IF(A109='Données projet'!$A$62,'Données projet'!$B$62,AI108+AH109-AQ108)))</f>
        <v>321.09000000000049</v>
      </c>
      <c r="AJ109" s="14">
        <f>AI109*VLOOKUP('Données projet'!$B$10,Paramètres!$A$1:$I$89,3,0)*VLOOKUP('Données projet'!$B$10,Paramètres!$A$1:$I$89,5,0)</f>
        <v>345.62127600000048</v>
      </c>
      <c r="AK109" s="14">
        <f t="shared" si="89"/>
        <v>80.660226924058378</v>
      </c>
      <c r="AL109" s="22">
        <f t="shared" si="58"/>
        <v>742.44028425940235</v>
      </c>
      <c r="AM109" s="62">
        <f t="shared" si="59"/>
        <v>1035.7736175927357</v>
      </c>
      <c r="AN109" s="62">
        <f ca="1">AVERAGE(OFFSET($AM$3,0,0,'Données projet'!$E$10+1,1))-AVERAGE(OFFSET($H$3,0,0,'Données projet'!$E$10+1,1))</f>
        <v>407.22515465568205</v>
      </c>
      <c r="AO109" s="62">
        <f t="shared" si="90"/>
        <v>251.6218558398258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48.254785326475947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48.254785326475947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7.9349999999999969</v>
      </c>
      <c r="BD109" s="13">
        <f>IF('Données projet'!$A$88&gt;35,BD108+BC109-BL108,IF(A109&lt;'Données projet'!$A$88,$BA$205^A109,IF(A109='Données projet'!$A$88,'Données projet'!$B$88,BD108+BC109-BL108)))</f>
        <v>321.09000000000049</v>
      </c>
      <c r="BE109" s="14">
        <f>BD109*VLOOKUP('Données projet'!$B$11,Paramètres!$A$1:$I$89,3,0)*VLOOKUP('Données projet'!$B$11,Paramètres!$A$1:$I$89,5,0)</f>
        <v>310.5582480000005</v>
      </c>
      <c r="BF109" s="14">
        <f t="shared" si="91"/>
        <v>73.385402362433595</v>
      </c>
      <c r="BG109" s="22">
        <f t="shared" si="61"/>
        <v>668.70185771457261</v>
      </c>
      <c r="BH109" s="62">
        <f t="shared" si="62"/>
        <v>962.03519104790598</v>
      </c>
      <c r="BI109" s="62">
        <f ca="1">AVERAGE(OFFSET($BH$3,0,0,'Données projet'!$E$11+1,1))-AVERAGE(OFFSET($H$3,0,0,'Données projet'!$E$11+1,1))</f>
        <v>357.76044008074308</v>
      </c>
      <c r="BJ109" s="62">
        <f t="shared" si="92"/>
        <v>224.26555772810445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43.359372322340704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43.359372322340704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7.9349999999999969</v>
      </c>
      <c r="BY109" s="13">
        <f>IF('Données projet'!$A$114&gt;35,BY108+BX109-CG108,IF(A109&lt;'Données projet'!$A$114,$BV$205^A109,IF(A109='Données projet'!$A$114,'Données projet'!$B$114,BY108+BX109-CG108)))</f>
        <v>321.09000000000049</v>
      </c>
      <c r="BZ109" s="14">
        <f>BY109*VLOOKUP('Données projet'!$B$12,Paramètres!$A$1:$I$89,3,0)*VLOOKUP('Données projet'!$B$12,Paramètres!$A$1:$I$89,5,0)</f>
        <v>215.38717200000033</v>
      </c>
      <c r="CA109" s="14">
        <f t="shared" si="93"/>
        <v>53.111077247020198</v>
      </c>
      <c r="CB109" s="22">
        <f t="shared" si="64"/>
        <v>467.63445077189402</v>
      </c>
      <c r="CC109" s="62">
        <f t="shared" si="65"/>
        <v>760.96778410522734</v>
      </c>
      <c r="CD109" s="62">
        <f ca="1">AVERAGE(OFFSET($CC$3,0,0,'Données projet'!$E$12+1,1))-AVERAGE(OFFSET($H$3,0,0,'Données projet'!$E$12+1,1))</f>
        <v>222.86701323374945</v>
      </c>
      <c r="CE109" s="62">
        <f t="shared" si="94"/>
        <v>149.63671045240511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37.065269888452541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37.065269888452541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8.5265128291212022E-14</v>
      </c>
      <c r="CU109" s="18">
        <f>CT109*VLOOKUP('Données projet'!$B$13,Paramètres!$A$1:$I$89,3,0)*VLOOKUP('Données projet'!$B$13,Paramètres!$A$1:$I$89,5,0)</f>
        <v>5.5865712056402117E-14</v>
      </c>
      <c r="CV109" s="14">
        <f t="shared" si="95"/>
        <v>8.9811031843713517E-13</v>
      </c>
      <c r="CW109" s="22">
        <f t="shared" si="67"/>
        <v>1.6615082531095774E-12</v>
      </c>
      <c r="CX109" s="62">
        <f t="shared" si="68"/>
        <v>293.33333333333496</v>
      </c>
      <c r="CY109" s="62">
        <f ca="1">AVERAGE(OFFSET($CX$3,0,0,'Données projet'!$E$13+1,1))-AVERAGE(OFFSET($H$3,0,0,'Données projet'!$E$13+1,1))</f>
        <v>173.15672762188746</v>
      </c>
      <c r="CZ109" s="62">
        <f t="shared" si="96"/>
        <v>208.54841796921414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59.996864488021963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59.996864488021963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>
        <f>EJ109*VLOOKUP('Données projet'!$B$15,Paramètres!$A$1:$I$89,3,0)*VLOOKUP('Données projet'!$B$15,Paramètres!$A$1:$I$89,5,0)</f>
        <v>0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269.18638759204373</v>
      </c>
      <c r="EP109" s="62">
        <f t="shared" si="100"/>
        <v>197.07126167823969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120.62727775709851</v>
      </c>
      <c r="EW109" s="23">
        <f>EXP(-LN(2)/25)*EW108+(1-EXP(-LN(2)/25))/(LN(2)/25)*Calculateur!ER109*Calculateur!ET109*VLOOKUP('Données projet'!$B$15,Paramètres!$A$1:$I$89,3,0)*0.475*44/12</f>
        <v>15.344682853299531</v>
      </c>
      <c r="EX109" s="23">
        <f>EXP(-LN(2)/2)*EX108+(1-EXP(-LN(2)/2))/(LN(2)/2)*ER109*EU109*VLOOKUP('Données projet'!$B$15,Paramètres!$A$1:$I$89,3,0)*0.475*44/12</f>
        <v>3.8843659490598202E-3</v>
      </c>
      <c r="EY109" s="24">
        <f t="shared" si="75"/>
        <v>135.9758449763471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1.1368683772161603E-13</v>
      </c>
      <c r="FF109" s="18">
        <f>FE109*VLOOKUP('Données projet'!$B$16,Paramètres!$A$1:$I$89,3,0)*VLOOKUP('Données projet'!$B$16,Paramètres!$A$1:$I$89,5,0)</f>
        <v>6.7984728957526396E-14</v>
      </c>
      <c r="FG109" s="14">
        <f t="shared" si="101"/>
        <v>1.0682447123141398E-12</v>
      </c>
      <c r="FH109" s="22">
        <f t="shared" si="76"/>
        <v>1.978932943548152E-12</v>
      </c>
      <c r="FI109" s="62">
        <f t="shared" si="77"/>
        <v>293.3333333333353</v>
      </c>
      <c r="FJ109" s="62">
        <f ca="1">AVERAGE(OFFSET($FI$3,0,0,'Données projet'!$E$16+1,1))-AVERAGE(OFFSET($H$3,0,0,'Données projet'!$E$16+1,1))</f>
        <v>330.48891719033065</v>
      </c>
      <c r="FK109" s="62">
        <f t="shared" si="102"/>
        <v>419.35494198427284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85.478262823601071</v>
      </c>
      <c r="FR109" s="23">
        <f>EXP(-LN(2)/25)*FR108+(1-EXP(-LN(2)/25))/(LN(2)/25)*Calculateur!FM109*Calculateur!FO109*VLOOKUP('Données projet'!$B$16,Paramètres!$A$1:$I$89,3,0)*0.475*44/12</f>
        <v>10.035766348417752</v>
      </c>
      <c r="FS109" s="23">
        <f>EXP(-LN(2)/2)*FS108+(1-EXP(-LN(2)/2))/(LN(2)/2)*FM109*FP109*VLOOKUP('Données projet'!$B$16,Paramètres!$A$1:$I$89,3,0)*0.475*44/12</f>
        <v>1.0352889500215373E-6</v>
      </c>
      <c r="FT109" s="24">
        <f t="shared" si="78"/>
        <v>95.514030207307769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>
        <f>FZ109*VLOOKUP('Données projet'!$B$17,Paramètres!$A$1:$I$89,3,0)*VLOOKUP('Données projet'!$B$17,Paramètres!$A$1:$I$89,5,0)</f>
        <v>0</v>
      </c>
      <c r="GB109" s="14" t="e">
        <f t="shared" si="103"/>
        <v>#NUM!</v>
      </c>
      <c r="GC109" s="22" t="e">
        <f t="shared" si="79"/>
        <v>#NUM!</v>
      </c>
      <c r="GD109" s="62" t="e">
        <f t="shared" si="80"/>
        <v>#NUM!</v>
      </c>
      <c r="GE109" s="62">
        <f ca="1">AVERAGE(OFFSET($GD$3,0,0,'Données projet'!$E$17+1,1))-AVERAGE(OFFSET($H$3,0,0,'Données projet'!$E$17+1,1))</f>
        <v>132.18258156780018</v>
      </c>
      <c r="GF109" s="62">
        <f t="shared" si="104"/>
        <v>315.58133946947294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9.628915777206501</v>
      </c>
      <c r="GM109" s="23">
        <f>EXP(-LN(2)/25)*GM108+(1-EXP(-LN(2)/25))/(LN(2)/25)*Calculateur!GH109*Calculateur!GJ109*VLOOKUP('Données projet'!$B$17,Paramètres!$A$1:$I$89,3,0)*0.475*44/12</f>
        <v>2.2558888580633241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11.884804635269825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9">
        <f t="shared" si="56"/>
        <v>467.3147852106901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7.9349999999999969</v>
      </c>
      <c r="N110" s="14">
        <f>IF('Données projet'!$A$36&gt;35,N109+M110-V109,IF(A110&lt;'Données projet'!$A$36,$K$205^A110,IF(A110='Données projet'!$A$36,'Données projet'!$B$36,N109+M110-V109)))</f>
        <v>329.02500000000049</v>
      </c>
      <c r="O110" s="14">
        <f>N110*VLOOKUP('Données projet'!$B$9,Paramètres!$A$1:$I$89,3,0)*VLOOKUP('Données projet'!$B$9,Paramètres!$A$1:$I$89,5,0)</f>
        <v>297.70182000000045</v>
      </c>
      <c r="P110" s="14">
        <f t="shared" si="87"/>
        <v>70.69446125561177</v>
      </c>
      <c r="Q110" s="22">
        <f t="shared" si="107"/>
        <v>641.62352318685794</v>
      </c>
      <c r="R110" s="62">
        <f t="shared" si="55"/>
        <v>934.9568565201912</v>
      </c>
      <c r="S110" s="62">
        <f ca="1">AVERAGE(OFFSET($R$3,0,0,'Données projet'!$E$9+1,1))-AVERAGE(OFFSET($H$3,0,0,'Données projet'!$E$9+1,1))</f>
        <v>401.86262166363821</v>
      </c>
      <c r="T110" s="62">
        <f t="shared" si="88"/>
        <v>208.60314230781432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39.766597511401777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39.766597511401777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7.9349999999999969</v>
      </c>
      <c r="AI110" s="14">
        <f>IF('Données projet'!$A$62&gt;35,AI109+AH110-AQ109,IF(A110&lt;'Données projet'!$A$62,$AF$205^A110,IF(A110='Données projet'!$A$62,'Données projet'!$B$62,AI109+AH110-AQ109)))</f>
        <v>329.02500000000049</v>
      </c>
      <c r="AJ110" s="14">
        <f>AI110*VLOOKUP('Données projet'!$B$10,Paramètres!$A$1:$I$89,3,0)*VLOOKUP('Données projet'!$B$10,Paramètres!$A$1:$I$89,5,0)</f>
        <v>354.16251000000051</v>
      </c>
      <c r="AK110" s="14">
        <f t="shared" si="89"/>
        <v>82.419024627837416</v>
      </c>
      <c r="AL110" s="22">
        <f t="shared" si="58"/>
        <v>760.37950614348438</v>
      </c>
      <c r="AM110" s="62">
        <f t="shared" si="59"/>
        <v>1053.7128394768176</v>
      </c>
      <c r="AN110" s="62">
        <f ca="1">AVERAGE(OFFSET($AM$3,0,0,'Données projet'!$E$10+1,1))-AVERAGE(OFFSET($H$3,0,0,'Données projet'!$E$10+1,1))</f>
        <v>407.22515465568205</v>
      </c>
      <c r="AO110" s="62">
        <f t="shared" si="90"/>
        <v>251.6218558398258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47.308538418736582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47.308538418736582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7.9349999999999969</v>
      </c>
      <c r="BD110" s="13">
        <f>IF('Données projet'!$A$88&gt;35,BD109+BC110-BL109,IF(A110&lt;'Données projet'!$A$88,$BA$205^A110,IF(A110='Données projet'!$A$88,'Données projet'!$B$88,BD109+BC110-BL109)))</f>
        <v>329.02500000000049</v>
      </c>
      <c r="BE110" s="14">
        <f>BD110*VLOOKUP('Données projet'!$B$11,Paramètres!$A$1:$I$89,3,0)*VLOOKUP('Données projet'!$B$11,Paramètres!$A$1:$I$89,5,0)</f>
        <v>318.23298000000051</v>
      </c>
      <c r="BF110" s="14">
        <f t="shared" si="91"/>
        <v>74.985572385355411</v>
      </c>
      <c r="BG110" s="22">
        <f t="shared" si="61"/>
        <v>684.85564540449479</v>
      </c>
      <c r="BH110" s="62">
        <f t="shared" si="62"/>
        <v>978.18897873782817</v>
      </c>
      <c r="BI110" s="62">
        <f ca="1">AVERAGE(OFFSET($BH$3,0,0,'Données projet'!$E$11+1,1))-AVERAGE(OFFSET($H$3,0,0,'Données projet'!$E$11+1,1))</f>
        <v>357.76044008074308</v>
      </c>
      <c r="BJ110" s="62">
        <f t="shared" si="92"/>
        <v>224.26555772810445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42.509121477705335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42.509121477705335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7.9349999999999969</v>
      </c>
      <c r="BY110" s="13">
        <f>IF('Données projet'!$A$114&gt;35,BY109+BX110-CG109,IF(A110&lt;'Données projet'!$A$114,$BV$205^A110,IF(A110='Données projet'!$A$114,'Données projet'!$B$114,BY109+BX110-CG109)))</f>
        <v>329.02500000000049</v>
      </c>
      <c r="BZ110" s="14">
        <f>BY110*VLOOKUP('Données projet'!$B$12,Paramètres!$A$1:$I$89,3,0)*VLOOKUP('Données projet'!$B$12,Paramètres!$A$1:$I$89,5,0)</f>
        <v>220.70997000000031</v>
      </c>
      <c r="CA110" s="14">
        <f t="shared" si="93"/>
        <v>54.269165244903427</v>
      </c>
      <c r="CB110" s="22">
        <f t="shared" si="64"/>
        <v>478.92199388487393</v>
      </c>
      <c r="CC110" s="62">
        <f t="shared" si="65"/>
        <v>772.25532721820719</v>
      </c>
      <c r="CD110" s="62">
        <f ca="1">AVERAGE(OFFSET($CC$3,0,0,'Données projet'!$E$12+1,1))-AVERAGE(OFFSET($H$3,0,0,'Données projet'!$E$12+1,1))</f>
        <v>222.86701323374945</v>
      </c>
      <c r="CE110" s="62">
        <f t="shared" si="94"/>
        <v>149.63671045240511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36.338442553522306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36.338442553522306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8.5265128291212022E-14</v>
      </c>
      <c r="CU110" s="18">
        <f>CT110*VLOOKUP('Données projet'!$B$13,Paramètres!$A$1:$I$89,3,0)*VLOOKUP('Données projet'!$B$13,Paramètres!$A$1:$I$89,5,0)</f>
        <v>5.5865712056402117E-14</v>
      </c>
      <c r="CV110" s="14">
        <f t="shared" si="95"/>
        <v>8.9811031843713517E-13</v>
      </c>
      <c r="CW110" s="22">
        <f t="shared" si="67"/>
        <v>1.6615082531095774E-12</v>
      </c>
      <c r="CX110" s="62">
        <f t="shared" si="68"/>
        <v>293.33333333333496</v>
      </c>
      <c r="CY110" s="62">
        <f ca="1">AVERAGE(OFFSET($CX$3,0,0,'Données projet'!$E$13+1,1))-AVERAGE(OFFSET($H$3,0,0,'Données projet'!$E$13+1,1))</f>
        <v>173.15672762188746</v>
      </c>
      <c r="CZ110" s="62">
        <f t="shared" si="96"/>
        <v>208.54841796921414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58.820362569885788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58.820362569885788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>
        <f>EJ110*VLOOKUP('Données projet'!$B$15,Paramètres!$A$1:$I$89,3,0)*VLOOKUP('Données projet'!$B$15,Paramètres!$A$1:$I$89,5,0)</f>
        <v>0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269.18638759204373</v>
      </c>
      <c r="EP110" s="62">
        <f t="shared" si="100"/>
        <v>197.07126167823969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118.26185041565628</v>
      </c>
      <c r="EW110" s="23">
        <f>EXP(-LN(2)/25)*EW109+(1-EXP(-LN(2)/25))/(LN(2)/25)*Calculateur!ER110*Calculateur!ET110*VLOOKUP('Données projet'!$B$15,Paramètres!$A$1:$I$89,3,0)*0.475*44/12</f>
        <v>14.925081693734255</v>
      </c>
      <c r="EX110" s="23">
        <f>EXP(-LN(2)/2)*EX109+(1-EXP(-LN(2)/2))/(LN(2)/2)*ER110*EU110*VLOOKUP('Données projet'!$B$15,Paramètres!$A$1:$I$89,3,0)*0.475*44/12</f>
        <v>2.7466615031903185E-3</v>
      </c>
      <c r="EY110" s="24">
        <f t="shared" si="75"/>
        <v>133.18967877089372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1.1368683772161603E-13</v>
      </c>
      <c r="FF110" s="18">
        <f>FE110*VLOOKUP('Données projet'!$B$16,Paramètres!$A$1:$I$89,3,0)*VLOOKUP('Données projet'!$B$16,Paramètres!$A$1:$I$89,5,0)</f>
        <v>6.7984728957526396E-14</v>
      </c>
      <c r="FG110" s="14">
        <f t="shared" si="101"/>
        <v>1.0682447123141398E-12</v>
      </c>
      <c r="FH110" s="22">
        <f t="shared" si="76"/>
        <v>1.978932943548152E-12</v>
      </c>
      <c r="FI110" s="62">
        <f t="shared" si="77"/>
        <v>293.3333333333353</v>
      </c>
      <c r="FJ110" s="62">
        <f ca="1">AVERAGE(OFFSET($FI$3,0,0,'Données projet'!$E$16+1,1))-AVERAGE(OFFSET($H$3,0,0,'Données projet'!$E$16+1,1))</f>
        <v>330.48891719033065</v>
      </c>
      <c r="FK110" s="62">
        <f t="shared" si="102"/>
        <v>419.35494198427284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83.802086226222514</v>
      </c>
      <c r="FR110" s="23">
        <f>EXP(-LN(2)/25)*FR109+(1-EXP(-LN(2)/25))/(LN(2)/25)*Calculateur!FM110*Calculateur!FO110*VLOOKUP('Données projet'!$B$16,Paramètres!$A$1:$I$89,3,0)*0.475*44/12</f>
        <v>9.7613377898622531</v>
      </c>
      <c r="FS110" s="23">
        <f>EXP(-LN(2)/2)*FS109+(1-EXP(-LN(2)/2))/(LN(2)/2)*FM110*FP110*VLOOKUP('Données projet'!$B$16,Paramètres!$A$1:$I$89,3,0)*0.475*44/12</f>
        <v>7.3205983704772972E-7</v>
      </c>
      <c r="FT110" s="24">
        <f t="shared" si="78"/>
        <v>93.563424748144598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>
        <f>FZ110*VLOOKUP('Données projet'!$B$17,Paramètres!$A$1:$I$89,3,0)*VLOOKUP('Données projet'!$B$17,Paramètres!$A$1:$I$89,5,0)</f>
        <v>0</v>
      </c>
      <c r="GB110" s="14" t="e">
        <f t="shared" si="103"/>
        <v>#NUM!</v>
      </c>
      <c r="GC110" s="22" t="e">
        <f t="shared" si="79"/>
        <v>#NUM!</v>
      </c>
      <c r="GD110" s="62" t="e">
        <f t="shared" si="80"/>
        <v>#NUM!</v>
      </c>
      <c r="GE110" s="62">
        <f ca="1">AVERAGE(OFFSET($GD$3,0,0,'Données projet'!$E$17+1,1))-AVERAGE(OFFSET($H$3,0,0,'Données projet'!$E$17+1,1))</f>
        <v>132.18258156780018</v>
      </c>
      <c r="GF110" s="62">
        <f t="shared" si="104"/>
        <v>315.58133946947294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9.4400986118741894</v>
      </c>
      <c r="GM110" s="23">
        <f>EXP(-LN(2)/25)*GM109+(1-EXP(-LN(2)/25))/(LN(2)/25)*Calculateur!GH110*Calculateur!GJ110*VLOOKUP('Données projet'!$B$17,Paramètres!$A$1:$I$89,3,0)*0.475*44/12</f>
        <v>2.1942014586075431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11.634300070481732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9">
        <f t="shared" si="56"/>
        <v>469.23437192664602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7.9349999999999969</v>
      </c>
      <c r="N111" s="14">
        <f>IF('Données projet'!$A$36&gt;35,N110+M111-V110,IF(A111&lt;'Données projet'!$A$36,$K$205^A111,IF(A111='Données projet'!$A$36,'Données projet'!$B$36,N110+M111-V110)))</f>
        <v>336.96000000000049</v>
      </c>
      <c r="O111" s="14">
        <f>N111*VLOOKUP('Données projet'!$B$9,Paramètres!$A$1:$I$89,3,0)*VLOOKUP('Données projet'!$B$9,Paramètres!$A$1:$I$89,5,0)</f>
        <v>304.88140800000042</v>
      </c>
      <c r="P111" s="14">
        <f t="shared" si="87"/>
        <v>72.198830820277394</v>
      </c>
      <c r="Q111" s="22">
        <f t="shared" si="107"/>
        <v>656.74808261198393</v>
      </c>
      <c r="R111" s="62">
        <f t="shared" si="55"/>
        <v>950.0814159453173</v>
      </c>
      <c r="S111" s="62">
        <f ca="1">AVERAGE(OFFSET($R$3,0,0,'Données projet'!$E$9+1,1))-AVERAGE(OFFSET($H$3,0,0,'Données projet'!$E$9+1,1))</f>
        <v>401.86262166363821</v>
      </c>
      <c r="T111" s="62">
        <f t="shared" si="88"/>
        <v>208.60314230781432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38.986798789432662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38.986798789432662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7.9349999999999969</v>
      </c>
      <c r="AI111" s="14">
        <f>IF('Données projet'!$A$62&gt;35,AI110+AH111-AQ110,IF(A111&lt;'Données projet'!$A$62,$AF$205^A111,IF(A111='Données projet'!$A$62,'Données projet'!$B$62,AI110+AH111-AQ110)))</f>
        <v>336.96000000000049</v>
      </c>
      <c r="AJ111" s="14">
        <f>AI111*VLOOKUP('Données projet'!$B$10,Paramètres!$A$1:$I$89,3,0)*VLOOKUP('Données projet'!$B$10,Paramètres!$A$1:$I$89,5,0)</f>
        <v>362.70374400000048</v>
      </c>
      <c r="AK111" s="14">
        <f t="shared" si="89"/>
        <v>84.172891479601518</v>
      </c>
      <c r="AL111" s="22">
        <f t="shared" si="58"/>
        <v>778.31014012697335</v>
      </c>
      <c r="AM111" s="62">
        <f t="shared" si="59"/>
        <v>1071.6434734603067</v>
      </c>
      <c r="AN111" s="62">
        <f ca="1">AVERAGE(OFFSET($AM$3,0,0,'Données projet'!$E$10+1,1))-AVERAGE(OFFSET($H$3,0,0,'Données projet'!$E$10+1,1))</f>
        <v>407.22515465568205</v>
      </c>
      <c r="AO111" s="62">
        <f t="shared" si="90"/>
        <v>251.6218558398258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46.380846835704361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46.380846835704361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7.9349999999999969</v>
      </c>
      <c r="BD111" s="13">
        <f>IF('Données projet'!$A$88&gt;35,BD110+BC111-BL110,IF(A111&lt;'Données projet'!$A$88,$BA$205^A111,IF(A111='Données projet'!$A$88,'Données projet'!$B$88,BD110+BC111-BL110)))</f>
        <v>336.96000000000049</v>
      </c>
      <c r="BE111" s="14">
        <f>BD111*VLOOKUP('Données projet'!$B$11,Paramètres!$A$1:$I$89,3,0)*VLOOKUP('Données projet'!$B$11,Paramètres!$A$1:$I$89,5,0)</f>
        <v>325.90771200000052</v>
      </c>
      <c r="BF111" s="14">
        <f t="shared" si="91"/>
        <v>76.581256274616251</v>
      </c>
      <c r="BG111" s="22">
        <f t="shared" si="61"/>
        <v>701.00161974495734</v>
      </c>
      <c r="BH111" s="62">
        <f t="shared" si="62"/>
        <v>994.33495307829071</v>
      </c>
      <c r="BI111" s="62">
        <f ca="1">AVERAGE(OFFSET($BH$3,0,0,'Données projet'!$E$11+1,1))-AVERAGE(OFFSET($H$3,0,0,'Données projet'!$E$11+1,1))</f>
        <v>357.76044008074308</v>
      </c>
      <c r="BJ111" s="62">
        <f t="shared" si="92"/>
        <v>224.26555772810445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41.67554353353146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41.67554353353146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7.9349999999999969</v>
      </c>
      <c r="BY111" s="13">
        <f>IF('Données projet'!$A$114&gt;35,BY110+BX111-CG110,IF(A111&lt;'Données projet'!$A$114,$BV$205^A111,IF(A111='Données projet'!$A$114,'Données projet'!$B$114,BY110+BX111-CG110)))</f>
        <v>336.96000000000049</v>
      </c>
      <c r="BZ111" s="14">
        <f>BY111*VLOOKUP('Données projet'!$B$12,Paramètres!$A$1:$I$89,3,0)*VLOOKUP('Données projet'!$B$12,Paramètres!$A$1:$I$89,5,0)</f>
        <v>226.03276800000035</v>
      </c>
      <c r="CA111" s="14">
        <f t="shared" si="93"/>
        <v>55.42400650183086</v>
      </c>
      <c r="CB111" s="22">
        <f t="shared" si="64"/>
        <v>490.20388225735604</v>
      </c>
      <c r="CC111" s="62">
        <f t="shared" si="65"/>
        <v>783.53721559068936</v>
      </c>
      <c r="CD111" s="62">
        <f ca="1">AVERAGE(OFFSET($CC$3,0,0,'Données projet'!$E$12+1,1))-AVERAGE(OFFSET($H$3,0,0,'Données projet'!$E$12+1,1))</f>
        <v>222.86701323374945</v>
      </c>
      <c r="CE111" s="62">
        <f t="shared" si="94"/>
        <v>149.63671045240511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35.625867859309153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35.625867859309153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8.5265128291212022E-14</v>
      </c>
      <c r="CU111" s="18">
        <f>CT111*VLOOKUP('Données projet'!$B$13,Paramètres!$A$1:$I$89,3,0)*VLOOKUP('Données projet'!$B$13,Paramètres!$A$1:$I$89,5,0)</f>
        <v>5.5865712056402117E-14</v>
      </c>
      <c r="CV111" s="14">
        <f t="shared" si="95"/>
        <v>8.9811031843713517E-13</v>
      </c>
      <c r="CW111" s="22">
        <f t="shared" si="67"/>
        <v>1.6615082531095774E-12</v>
      </c>
      <c r="CX111" s="62">
        <f t="shared" si="68"/>
        <v>293.33333333333496</v>
      </c>
      <c r="CY111" s="62">
        <f ca="1">AVERAGE(OFFSET($CX$3,0,0,'Données projet'!$E$13+1,1))-AVERAGE(OFFSET($H$3,0,0,'Données projet'!$E$13+1,1))</f>
        <v>173.15672762188746</v>
      </c>
      <c r="CZ111" s="62">
        <f t="shared" si="96"/>
        <v>208.54841796921414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57.666931136768945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57.666931136768945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>
        <f>EJ111*VLOOKUP('Données projet'!$B$15,Paramètres!$A$1:$I$89,3,0)*VLOOKUP('Données projet'!$B$15,Paramètres!$A$1:$I$89,5,0)</f>
        <v>0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269.18638759204373</v>
      </c>
      <c r="EP111" s="62">
        <f t="shared" si="100"/>
        <v>197.07126167823969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115.94280766161151</v>
      </c>
      <c r="EW111" s="23">
        <f>EXP(-LN(2)/25)*EW110+(1-EXP(-LN(2)/25))/(LN(2)/25)*Calculateur!ER111*Calculateur!ET111*VLOOKUP('Données projet'!$B$15,Paramètres!$A$1:$I$89,3,0)*0.475*44/12</f>
        <v>14.516954549943156</v>
      </c>
      <c r="EX111" s="23">
        <f>EXP(-LN(2)/2)*EX110+(1-EXP(-LN(2)/2))/(LN(2)/2)*ER111*EU111*VLOOKUP('Données projet'!$B$15,Paramètres!$A$1:$I$89,3,0)*0.475*44/12</f>
        <v>1.9421829745299103E-3</v>
      </c>
      <c r="EY111" s="24">
        <f t="shared" si="75"/>
        <v>130.46170439452919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1.1368683772161603E-13</v>
      </c>
      <c r="FF111" s="18">
        <f>FE111*VLOOKUP('Données projet'!$B$16,Paramètres!$A$1:$I$89,3,0)*VLOOKUP('Données projet'!$B$16,Paramètres!$A$1:$I$89,5,0)</f>
        <v>6.7984728957526396E-14</v>
      </c>
      <c r="FG111" s="14">
        <f t="shared" si="101"/>
        <v>1.0682447123141398E-12</v>
      </c>
      <c r="FH111" s="22">
        <f t="shared" si="76"/>
        <v>1.978932943548152E-12</v>
      </c>
      <c r="FI111" s="62">
        <f t="shared" si="77"/>
        <v>293.3333333333353</v>
      </c>
      <c r="FJ111" s="62">
        <f ca="1">AVERAGE(OFFSET($FI$3,0,0,'Données projet'!$E$16+1,1))-AVERAGE(OFFSET($H$3,0,0,'Données projet'!$E$16+1,1))</f>
        <v>330.48891719033065</v>
      </c>
      <c r="FK111" s="62">
        <f t="shared" si="102"/>
        <v>419.35494198427284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82.158778429551774</v>
      </c>
      <c r="FR111" s="23">
        <f>EXP(-LN(2)/25)*FR110+(1-EXP(-LN(2)/25))/(LN(2)/25)*Calculateur!FM111*Calculateur!FO111*VLOOKUP('Données projet'!$B$16,Paramètres!$A$1:$I$89,3,0)*0.475*44/12</f>
        <v>9.4944134946720258</v>
      </c>
      <c r="FS111" s="23">
        <f>EXP(-LN(2)/2)*FS110+(1-EXP(-LN(2)/2))/(LN(2)/2)*FM111*FP111*VLOOKUP('Données projet'!$B$16,Paramètres!$A$1:$I$89,3,0)*0.475*44/12</f>
        <v>5.1764447501076865E-7</v>
      </c>
      <c r="FT111" s="24">
        <f t="shared" si="78"/>
        <v>91.653192441868285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>
        <f>FZ111*VLOOKUP('Données projet'!$B$17,Paramètres!$A$1:$I$89,3,0)*VLOOKUP('Données projet'!$B$17,Paramètres!$A$1:$I$89,5,0)</f>
        <v>0</v>
      </c>
      <c r="GB111" s="14" t="e">
        <f t="shared" si="103"/>
        <v>#NUM!</v>
      </c>
      <c r="GC111" s="22" t="e">
        <f t="shared" si="79"/>
        <v>#NUM!</v>
      </c>
      <c r="GD111" s="62" t="e">
        <f t="shared" si="80"/>
        <v>#NUM!</v>
      </c>
      <c r="GE111" s="62">
        <f ca="1">AVERAGE(OFFSET($GD$3,0,0,'Données projet'!$E$17+1,1))-AVERAGE(OFFSET($H$3,0,0,'Données projet'!$E$17+1,1))</f>
        <v>132.18258156780018</v>
      </c>
      <c r="GF111" s="62">
        <f t="shared" si="104"/>
        <v>315.58133946947294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9.2549840359869453</v>
      </c>
      <c r="GM111" s="23">
        <f>EXP(-LN(2)/25)*GM110+(1-EXP(-LN(2)/25))/(LN(2)/25)*Calculateur!GH111*Calculateur!GJ111*VLOOKUP('Données projet'!$B$17,Paramètres!$A$1:$I$89,3,0)*0.475*44/12</f>
        <v>2.1342009043338801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11.389184940320826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9">
        <f t="shared" si="56"/>
        <v>471.15355910766601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7.9349999999999969</v>
      </c>
      <c r="N112" s="14">
        <f>IF('Données projet'!$A$36&gt;35,N111+M112-V111,IF(A112&lt;'Données projet'!$A$36,$K$205^A112,IF(A112='Données projet'!$A$36,'Données projet'!$B$36,N111+M112-V111)))</f>
        <v>344.89500000000049</v>
      </c>
      <c r="O112" s="14">
        <f>N112*VLOOKUP('Données projet'!$B$9,Paramètres!$A$1:$I$89,3,0)*VLOOKUP('Données projet'!$B$9,Paramètres!$A$1:$I$89,5,0)</f>
        <v>312.06099600000044</v>
      </c>
      <c r="P112" s="14">
        <f t="shared" si="87"/>
        <v>73.699082033131035</v>
      </c>
      <c r="Q112" s="22">
        <f t="shared" si="107"/>
        <v>671.86546924103743</v>
      </c>
      <c r="R112" s="62">
        <f t="shared" si="55"/>
        <v>965.1988025743708</v>
      </c>
      <c r="S112" s="62">
        <f ca="1">AVERAGE(OFFSET($R$3,0,0,'Données projet'!$E$9+1,1))-AVERAGE(OFFSET($H$3,0,0,'Données projet'!$E$9+1,1))</f>
        <v>401.86262166363821</v>
      </c>
      <c r="T112" s="62">
        <f t="shared" si="88"/>
        <v>208.60314230781432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38.222291444771109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38.222291444771109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7.9349999999999969</v>
      </c>
      <c r="AI112" s="14">
        <f>IF('Données projet'!$A$62&gt;35,AI111+AH112-AQ111,IF(A112&lt;'Données projet'!$A$62,$AF$205^A112,IF(A112='Données projet'!$A$62,'Données projet'!$B$62,AI111+AH112-AQ111)))</f>
        <v>344.89500000000049</v>
      </c>
      <c r="AJ112" s="14">
        <f>AI112*VLOOKUP('Données projet'!$B$10,Paramètres!$A$1:$I$89,3,0)*VLOOKUP('Données projet'!$B$10,Paramètres!$A$1:$I$89,5,0)</f>
        <v>371.24497800000051</v>
      </c>
      <c r="AK112" s="14">
        <f t="shared" si="89"/>
        <v>85.921956957490252</v>
      </c>
      <c r="AL112" s="22">
        <f t="shared" si="58"/>
        <v>796.23241171762959</v>
      </c>
      <c r="AM112" s="62">
        <f t="shared" si="59"/>
        <v>1089.565745050963</v>
      </c>
      <c r="AN112" s="62">
        <f ca="1">AVERAGE(OFFSET($AM$3,0,0,'Données projet'!$E$10+1,1))-AVERAGE(OFFSET($H$3,0,0,'Données projet'!$E$10+1,1))</f>
        <v>407.22515465568205</v>
      </c>
      <c r="AO112" s="62">
        <f t="shared" si="90"/>
        <v>251.6218558398258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45.471346718779408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45.471346718779408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7.9349999999999969</v>
      </c>
      <c r="BD112" s="13">
        <f>IF('Données projet'!$A$88&gt;35,BD111+BC112-BL111,IF(A112&lt;'Données projet'!$A$88,$BA$205^A112,IF(A112='Données projet'!$A$88,'Données projet'!$B$88,BD111+BC112-BL111)))</f>
        <v>344.89500000000049</v>
      </c>
      <c r="BE112" s="14">
        <f>BD112*VLOOKUP('Données projet'!$B$11,Paramètres!$A$1:$I$89,3,0)*VLOOKUP('Données projet'!$B$11,Paramètres!$A$1:$I$89,5,0)</f>
        <v>333.58244400000052</v>
      </c>
      <c r="BF112" s="14">
        <f t="shared" si="91"/>
        <v>78.172571830595942</v>
      </c>
      <c r="BG112" s="22">
        <f t="shared" si="61"/>
        <v>717.13998590495532</v>
      </c>
      <c r="BH112" s="62">
        <f t="shared" si="62"/>
        <v>1010.4733192382887</v>
      </c>
      <c r="BI112" s="62">
        <f ca="1">AVERAGE(OFFSET($BH$3,0,0,'Données projet'!$E$11+1,1))-AVERAGE(OFFSET($H$3,0,0,'Données projet'!$E$11+1,1))</f>
        <v>357.76044008074308</v>
      </c>
      <c r="BJ112" s="62">
        <f t="shared" si="92"/>
        <v>224.26555772810445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40.858311544410491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40.858311544410491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7.9349999999999969</v>
      </c>
      <c r="BY112" s="13">
        <f>IF('Données projet'!$A$114&gt;35,BY111+BX112-CG111,IF(A112&lt;'Données projet'!$A$114,$BV$205^A112,IF(A112='Données projet'!$A$114,'Données projet'!$B$114,BY111+BX112-CG111)))</f>
        <v>344.89500000000049</v>
      </c>
      <c r="BZ112" s="14">
        <f>BY112*VLOOKUP('Données projet'!$B$12,Paramètres!$A$1:$I$89,3,0)*VLOOKUP('Données projet'!$B$12,Paramètres!$A$1:$I$89,5,0)</f>
        <v>231.35556600000035</v>
      </c>
      <c r="CA112" s="14">
        <f t="shared" si="93"/>
        <v>56.575686273246639</v>
      </c>
      <c r="CB112" s="22">
        <f t="shared" si="64"/>
        <v>501.48026437590511</v>
      </c>
      <c r="CC112" s="62">
        <f t="shared" si="65"/>
        <v>794.81359770923837</v>
      </c>
      <c r="CD112" s="62">
        <f ca="1">AVERAGE(OFFSET($CC$3,0,0,'Données projet'!$E$12+1,1))-AVERAGE(OFFSET($H$3,0,0,'Données projet'!$E$12+1,1))</f>
        <v>222.86701323374945</v>
      </c>
      <c r="CE112" s="62">
        <f t="shared" si="94"/>
        <v>149.63671045240511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34.927266320221875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34.927266320221875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8.5265128291212022E-14</v>
      </c>
      <c r="CU112" s="18">
        <f>CT112*VLOOKUP('Données projet'!$B$13,Paramètres!$A$1:$I$89,3,0)*VLOOKUP('Données projet'!$B$13,Paramètres!$A$1:$I$89,5,0)</f>
        <v>5.5865712056402117E-14</v>
      </c>
      <c r="CV112" s="14">
        <f t="shared" si="95"/>
        <v>8.9811031843713517E-13</v>
      </c>
      <c r="CW112" s="22">
        <f t="shared" si="67"/>
        <v>1.6615082531095774E-12</v>
      </c>
      <c r="CX112" s="62">
        <f t="shared" si="68"/>
        <v>293.33333333333496</v>
      </c>
      <c r="CY112" s="62">
        <f ca="1">AVERAGE(OFFSET($CX$3,0,0,'Données projet'!$E$13+1,1))-AVERAGE(OFFSET($H$3,0,0,'Données projet'!$E$13+1,1))</f>
        <v>173.15672762188746</v>
      </c>
      <c r="CZ112" s="62">
        <f t="shared" si="96"/>
        <v>208.54841796921414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56.536117790531819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56.536117790531819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>
        <f>EJ112*VLOOKUP('Données projet'!$B$15,Paramètres!$A$1:$I$89,3,0)*VLOOKUP('Données projet'!$B$15,Paramètres!$A$1:$I$89,5,0)</f>
        <v>0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269.18638759204373</v>
      </c>
      <c r="EP112" s="62">
        <f t="shared" si="100"/>
        <v>197.07126167823969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113.66923992149715</v>
      </c>
      <c r="EW112" s="23">
        <f>EXP(-LN(2)/25)*EW111+(1-EXP(-LN(2)/25))/(LN(2)/25)*Calculateur!ER112*Calculateur!ET112*VLOOKUP('Données projet'!$B$15,Paramètres!$A$1:$I$89,3,0)*0.475*44/12</f>
        <v>14.119987664361499</v>
      </c>
      <c r="EX112" s="23">
        <f>EXP(-LN(2)/2)*EX111+(1-EXP(-LN(2)/2))/(LN(2)/2)*ER112*EU112*VLOOKUP('Données projet'!$B$15,Paramètres!$A$1:$I$89,3,0)*0.475*44/12</f>
        <v>1.3733307515951595E-3</v>
      </c>
      <c r="EY112" s="24">
        <f t="shared" si="75"/>
        <v>127.79060091661025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1.1368683772161603E-13</v>
      </c>
      <c r="FF112" s="18">
        <f>FE112*VLOOKUP('Données projet'!$B$16,Paramètres!$A$1:$I$89,3,0)*VLOOKUP('Données projet'!$B$16,Paramètres!$A$1:$I$89,5,0)</f>
        <v>6.7984728957526396E-14</v>
      </c>
      <c r="FG112" s="14">
        <f t="shared" si="101"/>
        <v>1.0682447123141398E-12</v>
      </c>
      <c r="FH112" s="22">
        <f t="shared" si="76"/>
        <v>1.978932943548152E-12</v>
      </c>
      <c r="FI112" s="62">
        <f t="shared" si="77"/>
        <v>293.3333333333353</v>
      </c>
      <c r="FJ112" s="62">
        <f ca="1">AVERAGE(OFFSET($FI$3,0,0,'Données projet'!$E$16+1,1))-AVERAGE(OFFSET($H$3,0,0,'Données projet'!$E$16+1,1))</f>
        <v>330.48891719033065</v>
      </c>
      <c r="FK112" s="62">
        <f t="shared" si="102"/>
        <v>419.35494198427284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80.547694896454971</v>
      </c>
      <c r="FR112" s="23">
        <f>EXP(-LN(2)/25)*FR111+(1-EXP(-LN(2)/25))/(LN(2)/25)*Calculateur!FM112*Calculateur!FO112*VLOOKUP('Données projet'!$B$16,Paramètres!$A$1:$I$89,3,0)*0.475*44/12</f>
        <v>9.2347882583707133</v>
      </c>
      <c r="FS112" s="23">
        <f>EXP(-LN(2)/2)*FS111+(1-EXP(-LN(2)/2))/(LN(2)/2)*FM112*FP112*VLOOKUP('Données projet'!$B$16,Paramètres!$A$1:$I$89,3,0)*0.475*44/12</f>
        <v>3.6602991852386486E-7</v>
      </c>
      <c r="FT112" s="24">
        <f t="shared" si="78"/>
        <v>89.782483520855607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>
        <f>FZ112*VLOOKUP('Données projet'!$B$17,Paramètres!$A$1:$I$89,3,0)*VLOOKUP('Données projet'!$B$17,Paramètres!$A$1:$I$89,5,0)</f>
        <v>0</v>
      </c>
      <c r="GB112" s="14" t="e">
        <f t="shared" si="103"/>
        <v>#NUM!</v>
      </c>
      <c r="GC112" s="22" t="e">
        <f t="shared" si="79"/>
        <v>#NUM!</v>
      </c>
      <c r="GD112" s="62" t="e">
        <f t="shared" si="80"/>
        <v>#NUM!</v>
      </c>
      <c r="GE112" s="62">
        <f ca="1">AVERAGE(OFFSET($GD$3,0,0,'Données projet'!$E$17+1,1))-AVERAGE(OFFSET($H$3,0,0,'Données projet'!$E$17+1,1))</f>
        <v>132.18258156780018</v>
      </c>
      <c r="GF112" s="62">
        <f t="shared" si="104"/>
        <v>315.58133946947294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9.0734994440241081</v>
      </c>
      <c r="GM112" s="23">
        <f>EXP(-LN(2)/25)*GM111+(1-EXP(-LN(2)/25))/(LN(2)/25)*Calculateur!GH112*Calculateur!GJ112*VLOOKUP('Données projet'!$B$17,Paramètres!$A$1:$I$89,3,0)*0.475*44/12</f>
        <v>2.0758410683721222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11.149340512396231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9">
        <f t="shared" si="56"/>
        <v>473.0723508437984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7.9349999999999969</v>
      </c>
      <c r="N113" s="14">
        <f>IF('Données projet'!$A$36&gt;35,N112+M113-V112,IF(A113&lt;'Données projet'!$A$36,$K$205^A113,IF(A113='Données projet'!$A$36,'Données projet'!$B$36,N112+M113-V112)))</f>
        <v>352.8300000000005</v>
      </c>
      <c r="O113" s="14">
        <f>N113*VLOOKUP('Données projet'!$B$9,Paramètres!$A$1:$I$89,3,0)*VLOOKUP('Données projet'!$B$9,Paramètres!$A$1:$I$89,5,0)</f>
        <v>319.24058400000041</v>
      </c>
      <c r="P113" s="14">
        <f t="shared" si="87"/>
        <v>75.195320551435159</v>
      </c>
      <c r="Q113" s="22">
        <f t="shared" si="107"/>
        <v>686.97586709375025</v>
      </c>
      <c r="R113" s="62">
        <f t="shared" si="55"/>
        <v>980.30920042708362</v>
      </c>
      <c r="S113" s="62">
        <f ca="1">AVERAGE(OFFSET($R$3,0,0,'Données projet'!$E$9+1,1))-AVERAGE(OFFSET($H$3,0,0,'Données projet'!$E$9+1,1))</f>
        <v>401.86262166363821</v>
      </c>
      <c r="T113" s="62">
        <f t="shared" si="88"/>
        <v>208.60314230781432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37.472775622834931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37.472775622834931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7.9349999999999969</v>
      </c>
      <c r="AI113" s="14">
        <f>IF('Données projet'!$A$62&gt;35,AI112+AH113-AQ112,IF(A113&lt;'Données projet'!$A$62,$AF$205^A113,IF(A113='Données projet'!$A$62,'Données projet'!$B$62,AI112+AH113-AQ112)))</f>
        <v>352.8300000000005</v>
      </c>
      <c r="AJ113" s="14">
        <f>AI113*VLOOKUP('Données projet'!$B$10,Paramètres!$A$1:$I$89,3,0)*VLOOKUP('Données projet'!$B$10,Paramètres!$A$1:$I$89,5,0)</f>
        <v>379.78621200000055</v>
      </c>
      <c r="AK113" s="14">
        <f t="shared" si="89"/>
        <v>87.666344241853807</v>
      </c>
      <c r="AL113" s="22">
        <f t="shared" si="58"/>
        <v>814.14653545456304</v>
      </c>
      <c r="AM113" s="62">
        <f t="shared" si="59"/>
        <v>1107.4798687878963</v>
      </c>
      <c r="AN113" s="62">
        <f ca="1">AVERAGE(OFFSET($AM$3,0,0,'Données projet'!$E$10+1,1))-AVERAGE(OFFSET($H$3,0,0,'Données projet'!$E$10+1,1))</f>
        <v>407.22515465568205</v>
      </c>
      <c r="AO113" s="62">
        <f t="shared" si="90"/>
        <v>251.6218558398258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44.579681344407057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44.579681344407057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7.9349999999999969</v>
      </c>
      <c r="BD113" s="13">
        <f>IF('Données projet'!$A$88&gt;35,BD112+BC113-BL112,IF(A113&lt;'Données projet'!$A$88,$BA$205^A113,IF(A113='Données projet'!$A$88,'Données projet'!$B$88,BD112+BC113-BL112)))</f>
        <v>352.8300000000005</v>
      </c>
      <c r="BE113" s="14">
        <f>BD113*VLOOKUP('Données projet'!$B$11,Paramètres!$A$1:$I$89,3,0)*VLOOKUP('Données projet'!$B$11,Paramètres!$A$1:$I$89,5,0)</f>
        <v>341.25717600000047</v>
      </c>
      <c r="BF113" s="14">
        <f t="shared" si="91"/>
        <v>79.759631123888809</v>
      </c>
      <c r="BG113" s="22">
        <f t="shared" si="61"/>
        <v>733.2709390741071</v>
      </c>
      <c r="BH113" s="62">
        <f t="shared" si="62"/>
        <v>1026.6042724074405</v>
      </c>
      <c r="BI113" s="62">
        <f ca="1">AVERAGE(OFFSET($BH$3,0,0,'Données projet'!$E$11+1,1))-AVERAGE(OFFSET($H$3,0,0,'Données projet'!$E$11+1,1))</f>
        <v>357.76044008074308</v>
      </c>
      <c r="BJ113" s="62">
        <f t="shared" si="92"/>
        <v>224.26555772810445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40.057104976133886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40.057104976133886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7.9349999999999969</v>
      </c>
      <c r="BY113" s="13">
        <f>IF('Données projet'!$A$114&gt;35,BY112+BX113-CG112,IF(A113&lt;'Données projet'!$A$114,$BV$205^A113,IF(A113='Données projet'!$A$114,'Données projet'!$B$114,BY112+BX113-CG112)))</f>
        <v>352.8300000000005</v>
      </c>
      <c r="BZ113" s="14">
        <f>BY113*VLOOKUP('Données projet'!$B$12,Paramètres!$A$1:$I$89,3,0)*VLOOKUP('Données projet'!$B$12,Paramètres!$A$1:$I$89,5,0)</f>
        <v>236.67836400000033</v>
      </c>
      <c r="CA113" s="14">
        <f t="shared" si="93"/>
        <v>57.724285667788187</v>
      </c>
      <c r="CB113" s="22">
        <f t="shared" si="64"/>
        <v>512.75128150473165</v>
      </c>
      <c r="CC113" s="62">
        <f t="shared" si="65"/>
        <v>806.08461483806491</v>
      </c>
      <c r="CD113" s="62">
        <f ca="1">AVERAGE(OFFSET($CC$3,0,0,'Données projet'!$E$12+1,1))-AVERAGE(OFFSET($H$3,0,0,'Données projet'!$E$12+1,1))</f>
        <v>222.86701323374945</v>
      </c>
      <c r="CE113" s="62">
        <f t="shared" si="94"/>
        <v>149.63671045240511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34.24236393121123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34.24236393121123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8.5265128291212022E-14</v>
      </c>
      <c r="CU113" s="18">
        <f>CT113*VLOOKUP('Données projet'!$B$13,Paramètres!$A$1:$I$89,3,0)*VLOOKUP('Données projet'!$B$13,Paramètres!$A$1:$I$89,5,0)</f>
        <v>5.5865712056402117E-14</v>
      </c>
      <c r="CV113" s="14">
        <f t="shared" si="95"/>
        <v>8.9811031843713517E-13</v>
      </c>
      <c r="CW113" s="22">
        <f t="shared" si="67"/>
        <v>1.6615082531095774E-12</v>
      </c>
      <c r="CX113" s="62">
        <f t="shared" si="68"/>
        <v>293.33333333333496</v>
      </c>
      <c r="CY113" s="62">
        <f ca="1">AVERAGE(OFFSET($CX$3,0,0,'Données projet'!$E$13+1,1))-AVERAGE(OFFSET($H$3,0,0,'Données projet'!$E$13+1,1))</f>
        <v>173.15672762188746</v>
      </c>
      <c r="CZ113" s="62">
        <f t="shared" si="96"/>
        <v>208.54841796921414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55.427479004286369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55.427479004286369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>
        <f>EJ113*VLOOKUP('Données projet'!$B$15,Paramètres!$A$1:$I$89,3,0)*VLOOKUP('Données projet'!$B$15,Paramètres!$A$1:$I$89,5,0)</f>
        <v>0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269.18638759204373</v>
      </c>
      <c r="EP113" s="62">
        <f t="shared" si="100"/>
        <v>197.07126167823969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111.44025545802704</v>
      </c>
      <c r="EW113" s="23">
        <f>EXP(-LN(2)/25)*EW112+(1-EXP(-LN(2)/25))/(LN(2)/25)*Calculateur!ER113*Calculateur!ET113*VLOOKUP('Données projet'!$B$15,Paramètres!$A$1:$I$89,3,0)*0.475*44/12</f>
        <v>13.733875859141655</v>
      </c>
      <c r="EX113" s="23">
        <f>EXP(-LN(2)/2)*EX112+(1-EXP(-LN(2)/2))/(LN(2)/2)*ER113*EU113*VLOOKUP('Données projet'!$B$15,Paramètres!$A$1:$I$89,3,0)*0.475*44/12</f>
        <v>9.7109148726495537E-4</v>
      </c>
      <c r="EY113" s="24">
        <f t="shared" si="75"/>
        <v>125.17510240865596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1.1368683772161603E-13</v>
      </c>
      <c r="FF113" s="18">
        <f>FE113*VLOOKUP('Données projet'!$B$16,Paramètres!$A$1:$I$89,3,0)*VLOOKUP('Données projet'!$B$16,Paramètres!$A$1:$I$89,5,0)</f>
        <v>6.7984728957526396E-14</v>
      </c>
      <c r="FG113" s="14">
        <f t="shared" si="101"/>
        <v>1.0682447123141398E-12</v>
      </c>
      <c r="FH113" s="22">
        <f t="shared" si="76"/>
        <v>1.978932943548152E-12</v>
      </c>
      <c r="FI113" s="62">
        <f t="shared" si="77"/>
        <v>293.3333333333353</v>
      </c>
      <c r="FJ113" s="62">
        <f ca="1">AVERAGE(OFFSET($FI$3,0,0,'Données projet'!$E$16+1,1))-AVERAGE(OFFSET($H$3,0,0,'Données projet'!$E$16+1,1))</f>
        <v>330.48891719033065</v>
      </c>
      <c r="FK113" s="62">
        <f t="shared" si="102"/>
        <v>419.35494198427284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78.968203728778263</v>
      </c>
      <c r="FR113" s="23">
        <f>EXP(-LN(2)/25)*FR112+(1-EXP(-LN(2)/25))/(LN(2)/25)*Calculateur!FM113*Calculateur!FO113*VLOOKUP('Données projet'!$B$16,Paramètres!$A$1:$I$89,3,0)*0.475*44/12</f>
        <v>8.9822624878091588</v>
      </c>
      <c r="FS113" s="23">
        <f>EXP(-LN(2)/2)*FS112+(1-EXP(-LN(2)/2))/(LN(2)/2)*FM113*FP113*VLOOKUP('Données projet'!$B$16,Paramètres!$A$1:$I$89,3,0)*0.475*44/12</f>
        <v>2.5882223750538432E-7</v>
      </c>
      <c r="FT113" s="24">
        <f t="shared" si="78"/>
        <v>87.950466475409655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>
        <f>FZ113*VLOOKUP('Données projet'!$B$17,Paramètres!$A$1:$I$89,3,0)*VLOOKUP('Données projet'!$B$17,Paramètres!$A$1:$I$89,5,0)</f>
        <v>0</v>
      </c>
      <c r="GB113" s="14" t="e">
        <f t="shared" si="103"/>
        <v>#NUM!</v>
      </c>
      <c r="GC113" s="22" t="e">
        <f t="shared" si="79"/>
        <v>#NUM!</v>
      </c>
      <c r="GD113" s="62" t="e">
        <f t="shared" si="80"/>
        <v>#NUM!</v>
      </c>
      <c r="GE113" s="62">
        <f ca="1">AVERAGE(OFFSET($GD$3,0,0,'Données projet'!$E$17+1,1))-AVERAGE(OFFSET($H$3,0,0,'Données projet'!$E$17+1,1))</f>
        <v>132.18258156780018</v>
      </c>
      <c r="GF113" s="62">
        <f t="shared" si="104"/>
        <v>315.58133946947294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8.8955736542149904</v>
      </c>
      <c r="GM113" s="23">
        <f>EXP(-LN(2)/25)*GM112+(1-EXP(-LN(2)/25))/(LN(2)/25)*Calculateur!GH113*Calculateur!GJ113*VLOOKUP('Données projet'!$B$17,Paramètres!$A$1:$I$89,3,0)*0.475*44/12</f>
        <v>2.0190770851937492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10.914650739408739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9">
        <f t="shared" si="56"/>
        <v>474.99075114643767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7.9349999999999969</v>
      </c>
      <c r="N114" s="14">
        <f>IF('Données projet'!$A$36&gt;35,N113+M114-V113,IF(A114&lt;'Données projet'!$A$36,$K$205^A114,IF(A114='Données projet'!$A$36,'Données projet'!$B$36,N113+M114-V113)))</f>
        <v>360.7650000000005</v>
      </c>
      <c r="O114" s="14">
        <f>N114*VLOOKUP('Données projet'!$B$9,Paramètres!$A$1:$I$89,3,0)*VLOOKUP('Données projet'!$B$9,Paramètres!$A$1:$I$89,5,0)</f>
        <v>326.42017200000043</v>
      </c>
      <c r="P114" s="14">
        <f t="shared" si="87"/>
        <v>76.687647008791089</v>
      </c>
      <c r="Q114" s="22">
        <f t="shared" si="107"/>
        <v>702.07945144031191</v>
      </c>
      <c r="R114" s="62">
        <f t="shared" si="55"/>
        <v>995.41278477364517</v>
      </c>
      <c r="S114" s="62">
        <f ca="1">AVERAGE(OFFSET($R$3,0,0,'Données projet'!$E$9+1,1))-AVERAGE(OFFSET($H$3,0,0,'Données projet'!$E$9+1,1))</f>
        <v>401.86262166363821</v>
      </c>
      <c r="T114" s="62">
        <f t="shared" si="88"/>
        <v>208.60314230781432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36.737957349007409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36.737957349007409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7.9349999999999969</v>
      </c>
      <c r="AI114" s="14">
        <f>IF('Données projet'!$A$62&gt;35,AI113+AH114-AQ113,IF(A114&lt;'Données projet'!$A$62,$AF$205^A114,IF(A114='Données projet'!$A$62,'Données projet'!$B$62,AI113+AH114-AQ113)))</f>
        <v>360.7650000000005</v>
      </c>
      <c r="AJ114" s="14">
        <f>AI114*VLOOKUP('Données projet'!$B$10,Paramètres!$A$1:$I$89,3,0)*VLOOKUP('Données projet'!$B$10,Paramètres!$A$1:$I$89,5,0)</f>
        <v>388.32744600000052</v>
      </c>
      <c r="AK114" s="14">
        <f t="shared" si="89"/>
        <v>89.406170656215622</v>
      </c>
      <c r="AL114" s="22">
        <f t="shared" si="58"/>
        <v>832.05271567624311</v>
      </c>
      <c r="AM114" s="62">
        <f t="shared" si="59"/>
        <v>1125.3860490095765</v>
      </c>
      <c r="AN114" s="62">
        <f ca="1">AVERAGE(OFFSET($AM$3,0,0,'Données projet'!$E$10+1,1))-AVERAGE(OFFSET($H$3,0,0,'Données projet'!$E$10+1,1))</f>
        <v>407.22515465568205</v>
      </c>
      <c r="AO114" s="62">
        <f t="shared" si="90"/>
        <v>251.6218558398258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43.705500984163976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43.705500984163976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7.9349999999999969</v>
      </c>
      <c r="BD114" s="13">
        <f>IF('Données projet'!$A$88&gt;35,BD113+BC114-BL113,IF(A114&lt;'Données projet'!$A$88,$BA$205^A114,IF(A114='Données projet'!$A$88,'Données projet'!$B$88,BD113+BC114-BL113)))</f>
        <v>360.7650000000005</v>
      </c>
      <c r="BE114" s="14">
        <f>BD114*VLOOKUP('Données projet'!$B$11,Paramètres!$A$1:$I$89,3,0)*VLOOKUP('Données projet'!$B$11,Paramètres!$A$1:$I$89,5,0)</f>
        <v>348.93190800000048</v>
      </c>
      <c r="BF114" s="14">
        <f t="shared" si="91"/>
        <v>81.342540896495009</v>
      </c>
      <c r="BG114" s="22">
        <f t="shared" si="61"/>
        <v>749.39466516139635</v>
      </c>
      <c r="BH114" s="62">
        <f t="shared" si="62"/>
        <v>1042.7279984947297</v>
      </c>
      <c r="BI114" s="62">
        <f ca="1">AVERAGE(OFFSET($BH$3,0,0,'Données projet'!$E$11+1,1))-AVERAGE(OFFSET($H$3,0,0,'Données projet'!$E$11+1,1))</f>
        <v>357.76044008074308</v>
      </c>
      <c r="BJ114" s="62">
        <f t="shared" si="92"/>
        <v>224.26555772810445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39.271609579973436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39.271609579973436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7.9349999999999969</v>
      </c>
      <c r="BY114" s="13">
        <f>IF('Données projet'!$A$114&gt;35,BY113+BX114-CG113,IF(A114&lt;'Données projet'!$A$114,$BV$205^A114,IF(A114='Données projet'!$A$114,'Données projet'!$B$114,BY113+BX114-CG113)))</f>
        <v>360.7650000000005</v>
      </c>
      <c r="BZ114" s="14">
        <f>BY114*VLOOKUP('Données projet'!$B$12,Paramètres!$A$1:$I$89,3,0)*VLOOKUP('Données projet'!$B$12,Paramètres!$A$1:$I$89,5,0)</f>
        <v>242.00116200000033</v>
      </c>
      <c r="CA114" s="14">
        <f t="shared" si="93"/>
        <v>58.869881937639626</v>
      </c>
      <c r="CB114" s="22">
        <f t="shared" si="64"/>
        <v>524.01706819138963</v>
      </c>
      <c r="CC114" s="62">
        <f t="shared" si="65"/>
        <v>817.35040152472288</v>
      </c>
      <c r="CD114" s="62">
        <f ca="1">AVERAGE(OFFSET($CC$3,0,0,'Données projet'!$E$12+1,1))-AVERAGE(OFFSET($H$3,0,0,'Données projet'!$E$12+1,1))</f>
        <v>222.86701323374945</v>
      </c>
      <c r="CE114" s="62">
        <f t="shared" si="94"/>
        <v>149.63671045240511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33.570892060299876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33.570892060299876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8.5265128291212022E-14</v>
      </c>
      <c r="CU114" s="18">
        <f>CT114*VLOOKUP('Données projet'!$B$13,Paramètres!$A$1:$I$89,3,0)*VLOOKUP('Données projet'!$B$13,Paramètres!$A$1:$I$89,5,0)</f>
        <v>5.5865712056402117E-14</v>
      </c>
      <c r="CV114" s="14">
        <f t="shared" si="95"/>
        <v>8.9811031843713517E-13</v>
      </c>
      <c r="CW114" s="22">
        <f t="shared" si="67"/>
        <v>1.6615082531095774E-12</v>
      </c>
      <c r="CX114" s="62">
        <f t="shared" si="68"/>
        <v>293.33333333333496</v>
      </c>
      <c r="CY114" s="62">
        <f ca="1">AVERAGE(OFFSET($CX$3,0,0,'Données projet'!$E$13+1,1))-AVERAGE(OFFSET($H$3,0,0,'Données projet'!$E$13+1,1))</f>
        <v>173.15672762188746</v>
      </c>
      <c r="CZ114" s="62">
        <f t="shared" si="96"/>
        <v>208.54841796921414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54.3405799484363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54.3405799484363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>
        <f>EJ114*VLOOKUP('Données projet'!$B$15,Paramètres!$A$1:$I$89,3,0)*VLOOKUP('Données projet'!$B$15,Paramètres!$A$1:$I$89,5,0)</f>
        <v>0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269.18638759204373</v>
      </c>
      <c r="EP114" s="62">
        <f t="shared" si="100"/>
        <v>197.07126167823969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109.25498002033929</v>
      </c>
      <c r="EW114" s="23">
        <f>EXP(-LN(2)/25)*EW113+(1-EXP(-LN(2)/25))/(LN(2)/25)*Calculateur!ER114*Calculateur!ET114*VLOOKUP('Données projet'!$B$15,Paramètres!$A$1:$I$89,3,0)*0.475*44/12</f>
        <v>13.358322301540284</v>
      </c>
      <c r="EX114" s="23">
        <f>EXP(-LN(2)/2)*EX113+(1-EXP(-LN(2)/2))/(LN(2)/2)*ER114*EU114*VLOOKUP('Données projet'!$B$15,Paramètres!$A$1:$I$89,3,0)*0.475*44/12</f>
        <v>6.8666537579757984E-4</v>
      </c>
      <c r="EY114" s="24">
        <f t="shared" si="75"/>
        <v>122.61398898725537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1.1368683772161603E-13</v>
      </c>
      <c r="FF114" s="18">
        <f>FE114*VLOOKUP('Données projet'!$B$16,Paramètres!$A$1:$I$89,3,0)*VLOOKUP('Données projet'!$B$16,Paramètres!$A$1:$I$89,5,0)</f>
        <v>6.7984728957526396E-14</v>
      </c>
      <c r="FG114" s="14">
        <f t="shared" si="101"/>
        <v>1.0682447123141398E-12</v>
      </c>
      <c r="FH114" s="22">
        <f t="shared" si="76"/>
        <v>1.978932943548152E-12</v>
      </c>
      <c r="FI114" s="62">
        <f t="shared" si="77"/>
        <v>293.3333333333353</v>
      </c>
      <c r="FJ114" s="62">
        <f ca="1">AVERAGE(OFFSET($FI$3,0,0,'Données projet'!$E$16+1,1))-AVERAGE(OFFSET($H$3,0,0,'Données projet'!$E$16+1,1))</f>
        <v>330.48891719033065</v>
      </c>
      <c r="FK114" s="62">
        <f t="shared" si="102"/>
        <v>419.35494198427284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77.419685419505214</v>
      </c>
      <c r="FR114" s="23">
        <f>EXP(-LN(2)/25)*FR113+(1-EXP(-LN(2)/25))/(LN(2)/25)*Calculateur!FM114*Calculateur!FO114*VLOOKUP('Données projet'!$B$16,Paramètres!$A$1:$I$89,3,0)*0.475*44/12</f>
        <v>8.7366420477233628</v>
      </c>
      <c r="FS114" s="23">
        <f>EXP(-LN(2)/2)*FS113+(1-EXP(-LN(2)/2))/(LN(2)/2)*FM114*FP114*VLOOKUP('Données projet'!$B$16,Paramètres!$A$1:$I$89,3,0)*0.475*44/12</f>
        <v>1.8301495926193243E-7</v>
      </c>
      <c r="FT114" s="24">
        <f t="shared" si="78"/>
        <v>86.15632765024354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>
        <f>FZ114*VLOOKUP('Données projet'!$B$17,Paramètres!$A$1:$I$89,3,0)*VLOOKUP('Données projet'!$B$17,Paramètres!$A$1:$I$89,5,0)</f>
        <v>0</v>
      </c>
      <c r="GB114" s="14" t="e">
        <f t="shared" si="103"/>
        <v>#NUM!</v>
      </c>
      <c r="GC114" s="22" t="e">
        <f t="shared" si="79"/>
        <v>#NUM!</v>
      </c>
      <c r="GD114" s="62" t="e">
        <f t="shared" si="80"/>
        <v>#NUM!</v>
      </c>
      <c r="GE114" s="62">
        <f ca="1">AVERAGE(OFFSET($GD$3,0,0,'Données projet'!$E$17+1,1))-AVERAGE(OFFSET($H$3,0,0,'Données projet'!$E$17+1,1))</f>
        <v>132.18258156780018</v>
      </c>
      <c r="GF114" s="62">
        <f t="shared" si="104"/>
        <v>315.58133946947294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8.7211368806200138</v>
      </c>
      <c r="GM114" s="23">
        <f>EXP(-LN(2)/25)*GM113+(1-EXP(-LN(2)/25))/(LN(2)/25)*Calculateur!GH114*Calculateur!GJ114*VLOOKUP('Données projet'!$B$17,Paramètres!$A$1:$I$89,3,0)*0.475*44/12</f>
        <v>1.9638653161204769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10.685002196740491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9">
        <f t="shared" si="56"/>
        <v>476.90876395053112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7.9349999999999969</v>
      </c>
      <c r="N115" s="14">
        <f>IF('Données projet'!$A$36&gt;35,N114+M115-V114,IF(A115&lt;'Données projet'!$A$36,$K$205^A115,IF(A115='Données projet'!$A$36,'Données projet'!$B$36,N114+M115-V114)))</f>
        <v>368.7000000000005</v>
      </c>
      <c r="O115" s="14">
        <f>N115*VLOOKUP('Données projet'!$B$9,Paramètres!$A$1:$I$89,3,0)*VLOOKUP('Données projet'!$B$9,Paramètres!$A$1:$I$89,5,0)</f>
        <v>333.59976000000046</v>
      </c>
      <c r="P115" s="14">
        <f t="shared" si="87"/>
        <v>78.17615735915706</v>
      </c>
      <c r="Q115" s="22">
        <f t="shared" si="107"/>
        <v>717.17638940053257</v>
      </c>
      <c r="R115" s="62">
        <f t="shared" si="55"/>
        <v>1010.5097227338658</v>
      </c>
      <c r="S115" s="62">
        <f ca="1">AVERAGE(OFFSET($R$3,0,0,'Données projet'!$E$9+1,1))-AVERAGE(OFFSET($H$3,0,0,'Données projet'!$E$9+1,1))</f>
        <v>401.86262166363821</v>
      </c>
      <c r="T115" s="62">
        <f t="shared" si="88"/>
        <v>208.60314230781432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36.017548413334758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36.017548413334758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7.9349999999999969</v>
      </c>
      <c r="AI115" s="14">
        <f>IF('Données projet'!$A$62&gt;35,AI114+AH115-AQ114,IF(A115&lt;'Données projet'!$A$62,$AF$205^A115,IF(A115='Données projet'!$A$62,'Données projet'!$B$62,AI114+AH115-AQ114)))</f>
        <v>368.7000000000005</v>
      </c>
      <c r="AJ115" s="14">
        <f>AI115*VLOOKUP('Données projet'!$B$10,Paramètres!$A$1:$I$89,3,0)*VLOOKUP('Données projet'!$B$10,Paramètres!$A$1:$I$89,5,0)</f>
        <v>396.86868000000055</v>
      </c>
      <c r="AK115" s="14">
        <f t="shared" si="89"/>
        <v>91.14154806834452</v>
      </c>
      <c r="AL115" s="22">
        <f t="shared" si="58"/>
        <v>849.95114721903428</v>
      </c>
      <c r="AM115" s="62">
        <f t="shared" si="59"/>
        <v>1143.2844805523675</v>
      </c>
      <c r="AN115" s="62">
        <f ca="1">AVERAGE(OFFSET($AM$3,0,0,'Données projet'!$E$10+1,1))-AVERAGE(OFFSET($H$3,0,0,'Données projet'!$E$10+1,1))</f>
        <v>407.22515465568205</v>
      </c>
      <c r="AO115" s="62">
        <f t="shared" si="90"/>
        <v>251.6218558398258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42.84846276758789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42.84846276758789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7.9349999999999969</v>
      </c>
      <c r="BD115" s="13">
        <f>IF('Données projet'!$A$88&gt;35,BD114+BC115-BL114,IF(A115&lt;'Données projet'!$A$88,$BA$205^A115,IF(A115='Données projet'!$A$88,'Données projet'!$B$88,BD114+BC115-BL114)))</f>
        <v>368.7000000000005</v>
      </c>
      <c r="BE115" s="14">
        <f>BD115*VLOOKUP('Données projet'!$B$11,Paramètres!$A$1:$I$89,3,0)*VLOOKUP('Données projet'!$B$11,Paramètres!$A$1:$I$89,5,0)</f>
        <v>356.60664000000048</v>
      </c>
      <c r="BF115" s="14">
        <f t="shared" si="91"/>
        <v>82.921402926720376</v>
      </c>
      <c r="BG115" s="22">
        <f t="shared" si="61"/>
        <v>765.51134143070556</v>
      </c>
      <c r="BH115" s="62">
        <f t="shared" si="62"/>
        <v>1058.8446747640389</v>
      </c>
      <c r="BI115" s="62">
        <f ca="1">AVERAGE(OFFSET($BH$3,0,0,'Données projet'!$E$11+1,1))-AVERAGE(OFFSET($H$3,0,0,'Données projet'!$E$11+1,1))</f>
        <v>357.76044008074308</v>
      </c>
      <c r="BJ115" s="62">
        <f t="shared" si="92"/>
        <v>224.26555772810445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38.501517269426806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38.501517269426806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7.9349999999999969</v>
      </c>
      <c r="BY115" s="13">
        <f>IF('Données projet'!$A$114&gt;35,BY114+BX115-CG114,IF(A115&lt;'Données projet'!$A$114,$BV$205^A115,IF(A115='Données projet'!$A$114,'Données projet'!$B$114,BY114+BX115-CG114)))</f>
        <v>368.7000000000005</v>
      </c>
      <c r="BZ115" s="14">
        <f>BY115*VLOOKUP('Données projet'!$B$12,Paramètres!$A$1:$I$89,3,0)*VLOOKUP('Données projet'!$B$12,Paramètres!$A$1:$I$89,5,0)</f>
        <v>247.32396000000037</v>
      </c>
      <c r="CA115" s="14">
        <f t="shared" si="93"/>
        <v>60.012548742620076</v>
      </c>
      <c r="CB115" s="22">
        <f t="shared" si="64"/>
        <v>535.27775272673057</v>
      </c>
      <c r="CC115" s="62">
        <f t="shared" si="65"/>
        <v>828.61108606006383</v>
      </c>
      <c r="CD115" s="62">
        <f ca="1">AVERAGE(OFFSET($CC$3,0,0,'Données projet'!$E$12+1,1))-AVERAGE(OFFSET($H$3,0,0,'Données projet'!$E$12+1,1))</f>
        <v>222.86701323374945</v>
      </c>
      <c r="CE115" s="62">
        <f t="shared" si="94"/>
        <v>149.63671045240511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32.912587343219691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32.912587343219691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8.5265128291212022E-14</v>
      </c>
      <c r="CU115" s="18">
        <f>CT115*VLOOKUP('Données projet'!$B$13,Paramètres!$A$1:$I$89,3,0)*VLOOKUP('Données projet'!$B$13,Paramètres!$A$1:$I$89,5,0)</f>
        <v>5.5865712056402117E-14</v>
      </c>
      <c r="CV115" s="14">
        <f t="shared" si="95"/>
        <v>8.9811031843713517E-13</v>
      </c>
      <c r="CW115" s="22">
        <f t="shared" si="67"/>
        <v>1.6615082531095774E-12</v>
      </c>
      <c r="CX115" s="62">
        <f t="shared" si="68"/>
        <v>293.33333333333496</v>
      </c>
      <c r="CY115" s="62">
        <f ca="1">AVERAGE(OFFSET($CX$3,0,0,'Données projet'!$E$13+1,1))-AVERAGE(OFFSET($H$3,0,0,'Données projet'!$E$13+1,1))</f>
        <v>173.15672762188746</v>
      </c>
      <c r="CZ115" s="62">
        <f t="shared" si="96"/>
        <v>208.54841796921414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53.274994320128485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53.274994320128485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>
        <f>EJ115*VLOOKUP('Données projet'!$B$15,Paramètres!$A$1:$I$89,3,0)*VLOOKUP('Données projet'!$B$15,Paramètres!$A$1:$I$89,5,0)</f>
        <v>0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269.18638759204373</v>
      </c>
      <c r="EP115" s="62">
        <f t="shared" si="100"/>
        <v>197.07126167823969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107.1125565010982</v>
      </c>
      <c r="EW115" s="23">
        <f>EXP(-LN(2)/25)*EW114+(1-EXP(-LN(2)/25))/(LN(2)/25)*Calculateur!ER115*Calculateur!ET115*VLOOKUP('Données projet'!$B$15,Paramètres!$A$1:$I$89,3,0)*0.475*44/12</f>
        <v>12.993038275721025</v>
      </c>
      <c r="EX115" s="23">
        <f>EXP(-LN(2)/2)*EX114+(1-EXP(-LN(2)/2))/(LN(2)/2)*ER115*EU115*VLOOKUP('Données projet'!$B$15,Paramètres!$A$1:$I$89,3,0)*0.475*44/12</f>
        <v>4.8554574363247774E-4</v>
      </c>
      <c r="EY115" s="24">
        <f t="shared" si="75"/>
        <v>120.10608032256285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1.1368683772161603E-13</v>
      </c>
      <c r="FF115" s="18">
        <f>FE115*VLOOKUP('Données projet'!$B$16,Paramètres!$A$1:$I$89,3,0)*VLOOKUP('Données projet'!$B$16,Paramètres!$A$1:$I$89,5,0)</f>
        <v>6.7984728957526396E-14</v>
      </c>
      <c r="FG115" s="14">
        <f t="shared" si="101"/>
        <v>1.0682447123141398E-12</v>
      </c>
      <c r="FH115" s="22">
        <f t="shared" si="76"/>
        <v>1.978932943548152E-12</v>
      </c>
      <c r="FI115" s="62">
        <f t="shared" si="77"/>
        <v>293.3333333333353</v>
      </c>
      <c r="FJ115" s="62">
        <f ca="1">AVERAGE(OFFSET($FI$3,0,0,'Données projet'!$E$16+1,1))-AVERAGE(OFFSET($H$3,0,0,'Données projet'!$E$16+1,1))</f>
        <v>330.48891719033065</v>
      </c>
      <c r="FK115" s="62">
        <f t="shared" si="102"/>
        <v>419.35494198427284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75.901532609774108</v>
      </c>
      <c r="FR115" s="23">
        <f>EXP(-LN(2)/25)*FR114+(1-EXP(-LN(2)/25))/(LN(2)/25)*Calculateur!FM115*Calculateur!FO115*VLOOKUP('Données projet'!$B$16,Paramètres!$A$1:$I$89,3,0)*0.475*44/12</f>
        <v>8.4977381114883297</v>
      </c>
      <c r="FS115" s="23">
        <f>EXP(-LN(2)/2)*FS114+(1-EXP(-LN(2)/2))/(LN(2)/2)*FM115*FP115*VLOOKUP('Données projet'!$B$16,Paramètres!$A$1:$I$89,3,0)*0.475*44/12</f>
        <v>1.2941111875269216E-7</v>
      </c>
      <c r="FT115" s="24">
        <f t="shared" si="78"/>
        <v>84.39927085067356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>
        <f>FZ115*VLOOKUP('Données projet'!$B$17,Paramètres!$A$1:$I$89,3,0)*VLOOKUP('Données projet'!$B$17,Paramètres!$A$1:$I$89,5,0)</f>
        <v>0</v>
      </c>
      <c r="GB115" s="14" t="e">
        <f t="shared" si="103"/>
        <v>#NUM!</v>
      </c>
      <c r="GC115" s="22" t="e">
        <f t="shared" si="79"/>
        <v>#NUM!</v>
      </c>
      <c r="GD115" s="62" t="e">
        <f t="shared" si="80"/>
        <v>#NUM!</v>
      </c>
      <c r="GE115" s="62">
        <f ca="1">AVERAGE(OFFSET($GD$3,0,0,'Données projet'!$E$17+1,1))-AVERAGE(OFFSET($H$3,0,0,'Données projet'!$E$17+1,1))</f>
        <v>132.18258156780018</v>
      </c>
      <c r="GF115" s="62">
        <f t="shared" si="104"/>
        <v>315.58133946947294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8.5501207057593085</v>
      </c>
      <c r="GM115" s="23">
        <f>EXP(-LN(2)/25)*GM114+(1-EXP(-LN(2)/25))/(LN(2)/25)*Calculateur!GH115*Calculateur!GJ115*VLOOKUP('Données projet'!$B$17,Paramètres!$A$1:$I$89,3,0)*0.475*44/12</f>
        <v>1.9101633157759739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10.460284021535282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9">
        <f t="shared" si="56"/>
        <v>478.82639311670562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7.9349999999999969</v>
      </c>
      <c r="N116" s="14">
        <f>IF('Données projet'!$A$36&gt;35,N115+M116-V115,IF(A116&lt;'Données projet'!$A$36,$K$205^A116,IF(A116='Données projet'!$A$36,'Données projet'!$B$36,N115+M116-V115)))</f>
        <v>376.6350000000005</v>
      </c>
      <c r="O116" s="14">
        <f>N116*VLOOKUP('Données projet'!$B$9,Paramètres!$A$1:$I$89,3,0)*VLOOKUP('Données projet'!$B$9,Paramètres!$A$1:$I$89,5,0)</f>
        <v>340.77934800000043</v>
      </c>
      <c r="P116" s="14">
        <f t="shared" si="87"/>
        <v>79.660943190415296</v>
      </c>
      <c r="Q116" s="22">
        <f t="shared" si="107"/>
        <v>732.26684048997402</v>
      </c>
      <c r="R116" s="62">
        <f t="shared" si="55"/>
        <v>1025.6001738233074</v>
      </c>
      <c r="S116" s="62">
        <f ca="1">AVERAGE(OFFSET($R$3,0,0,'Données projet'!$E$9+1,1))-AVERAGE(OFFSET($H$3,0,0,'Données projet'!$E$9+1,1))</f>
        <v>401.86262166363821</v>
      </c>
      <c r="T116" s="62">
        <f t="shared" si="88"/>
        <v>208.60314230781432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35.311266257484583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35.311266257484583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7.9349999999999969</v>
      </c>
      <c r="AI116" s="14">
        <f>IF('Données projet'!$A$62&gt;35,AI115+AH116-AQ115,IF(A116&lt;'Données projet'!$A$62,$AF$205^A116,IF(A116='Données projet'!$A$62,'Données projet'!$B$62,AI115+AH116-AQ115)))</f>
        <v>376.6350000000005</v>
      </c>
      <c r="AJ116" s="14">
        <f>AI116*VLOOKUP('Données projet'!$B$10,Paramètres!$A$1:$I$89,3,0)*VLOOKUP('Données projet'!$B$10,Paramètres!$A$1:$I$89,5,0)</f>
        <v>405.40991400000053</v>
      </c>
      <c r="AK116" s="14">
        <f t="shared" si="89"/>
        <v>92.872583255826356</v>
      </c>
      <c r="AL116" s="22">
        <f t="shared" si="58"/>
        <v>867.84201605389853</v>
      </c>
      <c r="AM116" s="62">
        <f t="shared" si="59"/>
        <v>1161.1753493872318</v>
      </c>
      <c r="AN116" s="62">
        <f ca="1">AVERAGE(OFFSET($AM$3,0,0,'Données projet'!$E$10+1,1))-AVERAGE(OFFSET($H$3,0,0,'Données projet'!$E$10+1,1))</f>
        <v>407.22515465568205</v>
      </c>
      <c r="AO116" s="62">
        <f t="shared" si="90"/>
        <v>251.6218558398258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42.008230547697167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42.008230547697167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7.9349999999999969</v>
      </c>
      <c r="BD116" s="13">
        <f>IF('Données projet'!$A$88&gt;35,BD115+BC116-BL115,IF(A116&lt;'Données projet'!$A$88,$BA$205^A116,IF(A116='Données projet'!$A$88,'Données projet'!$B$88,BD115+BC116-BL115)))</f>
        <v>376.6350000000005</v>
      </c>
      <c r="BE116" s="14">
        <f>BD116*VLOOKUP('Données projet'!$B$11,Paramètres!$A$1:$I$89,3,0)*VLOOKUP('Données projet'!$B$11,Paramètres!$A$1:$I$89,5,0)</f>
        <v>364.28137200000049</v>
      </c>
      <c r="BF116" s="14">
        <f t="shared" si="91"/>
        <v>84.496314361776058</v>
      </c>
      <c r="BG116" s="22">
        <f t="shared" si="61"/>
        <v>781.62113708009417</v>
      </c>
      <c r="BH116" s="62">
        <f t="shared" si="62"/>
        <v>1074.9544704134275</v>
      </c>
      <c r="BI116" s="62">
        <f ca="1">AVERAGE(OFFSET($BH$3,0,0,'Données projet'!$E$11+1,1))-AVERAGE(OFFSET($H$3,0,0,'Données projet'!$E$11+1,1))</f>
        <v>357.76044008074308</v>
      </c>
      <c r="BJ116" s="62">
        <f t="shared" si="92"/>
        <v>224.26555772810445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37.746525999380069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37.746525999380069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7.9349999999999969</v>
      </c>
      <c r="BY116" s="13">
        <f>IF('Données projet'!$A$114&gt;35,BY115+BX116-CG115,IF(A116&lt;'Données projet'!$A$114,$BV$205^A116,IF(A116='Données projet'!$A$114,'Données projet'!$B$114,BY115+BX116-CG115)))</f>
        <v>376.6350000000005</v>
      </c>
      <c r="BZ116" s="14">
        <f>BY116*VLOOKUP('Données projet'!$B$12,Paramètres!$A$1:$I$89,3,0)*VLOOKUP('Données projet'!$B$12,Paramètres!$A$1:$I$89,5,0)</f>
        <v>252.64675800000035</v>
      </c>
      <c r="CA116" s="14">
        <f t="shared" si="93"/>
        <v>61.152356390895321</v>
      </c>
      <c r="CB116" s="22">
        <f t="shared" si="64"/>
        <v>546.5334575641433</v>
      </c>
      <c r="CC116" s="62">
        <f t="shared" si="65"/>
        <v>839.86679089747668</v>
      </c>
      <c r="CD116" s="62">
        <f ca="1">AVERAGE(OFFSET($CC$3,0,0,'Données projet'!$E$12+1,1))-AVERAGE(OFFSET($H$3,0,0,'Données projet'!$E$12+1,1))</f>
        <v>222.86701323374945</v>
      </c>
      <c r="CE116" s="62">
        <f t="shared" si="94"/>
        <v>149.63671045240511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32.267191580115224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32.267191580115224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8.5265128291212022E-14</v>
      </c>
      <c r="CU116" s="18">
        <f>CT116*VLOOKUP('Données projet'!$B$13,Paramètres!$A$1:$I$89,3,0)*VLOOKUP('Données projet'!$B$13,Paramètres!$A$1:$I$89,5,0)</f>
        <v>5.5865712056402117E-14</v>
      </c>
      <c r="CV116" s="14">
        <f t="shared" si="95"/>
        <v>8.9811031843713517E-13</v>
      </c>
      <c r="CW116" s="22">
        <f t="shared" si="67"/>
        <v>1.6615082531095774E-12</v>
      </c>
      <c r="CX116" s="62">
        <f t="shared" si="68"/>
        <v>293.33333333333496</v>
      </c>
      <c r="CY116" s="62">
        <f ca="1">AVERAGE(OFFSET($CX$3,0,0,'Données projet'!$E$13+1,1))-AVERAGE(OFFSET($H$3,0,0,'Données projet'!$E$13+1,1))</f>
        <v>173.15672762188746</v>
      </c>
      <c r="CZ116" s="62">
        <f t="shared" si="96"/>
        <v>208.54841796921414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52.230304176048733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52.230304176048733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>
        <f>EJ116*VLOOKUP('Données projet'!$B$15,Paramètres!$A$1:$I$89,3,0)*VLOOKUP('Données projet'!$B$15,Paramètres!$A$1:$I$89,5,0)</f>
        <v>0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269.18638759204373</v>
      </c>
      <c r="EP116" s="62">
        <f t="shared" si="100"/>
        <v>197.07126167823969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105.01214460032011</v>
      </c>
      <c r="EW116" s="23">
        <f>EXP(-LN(2)/25)*EW115+(1-EXP(-LN(2)/25))/(LN(2)/25)*Calculateur!ER116*Calculateur!ET116*VLOOKUP('Données projet'!$B$15,Paramètres!$A$1:$I$89,3,0)*0.475*44/12</f>
        <v>12.637742960797247</v>
      </c>
      <c r="EX116" s="23">
        <f>EXP(-LN(2)/2)*EX115+(1-EXP(-LN(2)/2))/(LN(2)/2)*ER116*EU116*VLOOKUP('Données projet'!$B$15,Paramètres!$A$1:$I$89,3,0)*0.475*44/12</f>
        <v>3.4333268789878997E-4</v>
      </c>
      <c r="EY116" s="24">
        <f t="shared" si="75"/>
        <v>117.65023089380527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1.1368683772161603E-13</v>
      </c>
      <c r="FF116" s="18">
        <f>FE116*VLOOKUP('Données projet'!$B$16,Paramètres!$A$1:$I$89,3,0)*VLOOKUP('Données projet'!$B$16,Paramètres!$A$1:$I$89,5,0)</f>
        <v>6.7984728957526396E-14</v>
      </c>
      <c r="FG116" s="14">
        <f t="shared" si="101"/>
        <v>1.0682447123141398E-12</v>
      </c>
      <c r="FH116" s="22">
        <f t="shared" si="76"/>
        <v>1.978932943548152E-12</v>
      </c>
      <c r="FI116" s="62">
        <f t="shared" si="77"/>
        <v>293.3333333333353</v>
      </c>
      <c r="FJ116" s="62">
        <f ca="1">AVERAGE(OFFSET($FI$3,0,0,'Données projet'!$E$16+1,1))-AVERAGE(OFFSET($H$3,0,0,'Données projet'!$E$16+1,1))</f>
        <v>330.48891719033065</v>
      </c>
      <c r="FK116" s="62">
        <f t="shared" si="102"/>
        <v>419.35494198427284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74.413149850660048</v>
      </c>
      <c r="FR116" s="23">
        <f>EXP(-LN(2)/25)*FR115+(1-EXP(-LN(2)/25))/(LN(2)/25)*Calculateur!FM116*Calculateur!FO116*VLOOKUP('Données projet'!$B$16,Paramètres!$A$1:$I$89,3,0)*0.475*44/12</f>
        <v>8.2653670159530552</v>
      </c>
      <c r="FS116" s="23">
        <f>EXP(-LN(2)/2)*FS115+(1-EXP(-LN(2)/2))/(LN(2)/2)*FM116*FP116*VLOOKUP('Données projet'!$B$16,Paramètres!$A$1:$I$89,3,0)*0.475*44/12</f>
        <v>9.1507479630966215E-8</v>
      </c>
      <c r="FT116" s="24">
        <f t="shared" si="78"/>
        <v>82.678516958120582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>
        <f>FZ116*VLOOKUP('Données projet'!$B$17,Paramètres!$A$1:$I$89,3,0)*VLOOKUP('Données projet'!$B$17,Paramètres!$A$1:$I$89,5,0)</f>
        <v>0</v>
      </c>
      <c r="GB116" s="14" t="e">
        <f t="shared" si="103"/>
        <v>#NUM!</v>
      </c>
      <c r="GC116" s="22" t="e">
        <f t="shared" si="79"/>
        <v>#NUM!</v>
      </c>
      <c r="GD116" s="62" t="e">
        <f t="shared" si="80"/>
        <v>#NUM!</v>
      </c>
      <c r="GE116" s="62">
        <f ca="1">AVERAGE(OFFSET($GD$3,0,0,'Données projet'!$E$17+1,1))-AVERAGE(OFFSET($H$3,0,0,'Données projet'!$E$17+1,1))</f>
        <v>132.18258156780018</v>
      </c>
      <c r="GF116" s="62">
        <f t="shared" si="104"/>
        <v>315.58133946947294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8.3824580537780555</v>
      </c>
      <c r="GM116" s="23">
        <f>EXP(-LN(2)/25)*GM115+(1-EXP(-LN(2)/25))/(LN(2)/25)*Calculateur!GH116*Calculateur!GJ116*VLOOKUP('Données projet'!$B$17,Paramètres!$A$1:$I$89,3,0)*0.475*44/12</f>
        <v>1.8579297994549568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10.240387853233013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9">
        <f t="shared" si="56"/>
        <v>480.74364243331581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>
        <f>VLOOKUP(A117,'Données projet'!$A$35:$I$55,2,0)</f>
        <v>384.57</v>
      </c>
      <c r="L117" s="13">
        <f>VLOOKUP(A117,'Données projet'!$A$35:$I$55,9,0)</f>
        <v>7.9349999999999969</v>
      </c>
      <c r="M117" s="13">
        <f t="array" ref="M117">INDEX(L:L,MIN(IF(ISNUMBER(L117:L313),ROW(L117:L313),"")))</f>
        <v>7.9349999999999969</v>
      </c>
      <c r="N117" s="14">
        <f>IF('Données projet'!$A$36&gt;35,N116+M117-V116,IF(A117&lt;'Données projet'!$A$36,$K$205^A117,IF(A117='Données projet'!$A$36,'Données projet'!$B$36,N116+M117-V116)))</f>
        <v>384.5700000000005</v>
      </c>
      <c r="O117" s="14">
        <f>N117*VLOOKUP('Données projet'!$B$9,Paramètres!$A$1:$I$89,3,0)*VLOOKUP('Données projet'!$B$9,Paramètres!$A$1:$I$89,5,0)</f>
        <v>347.95893600000045</v>
      </c>
      <c r="P117" s="14">
        <f t="shared" si="87"/>
        <v>81.142092010767954</v>
      </c>
      <c r="Q117" s="22">
        <f t="shared" si="107"/>
        <v>747.35095711875499</v>
      </c>
      <c r="R117" s="62">
        <f t="shared" si="55"/>
        <v>1040.6842904520884</v>
      </c>
      <c r="S117" s="62">
        <f ca="1">AVERAGE(OFFSET($R$3,0,0,'Données projet'!$E$9+1,1))-AVERAGE(OFFSET($H$3,0,0,'Données projet'!$E$9+1,1))</f>
        <v>401.86262166363821</v>
      </c>
      <c r="T117" s="62">
        <f t="shared" si="88"/>
        <v>208.60314230781432</v>
      </c>
      <c r="U117" s="16">
        <f>IF(ISNA(VLOOKUP(A117,'Données projet'!$A$35:$I$55,3,0)),0,VLOOKUP(A117,'Données projet'!$A$35:$I$55,3,0))</f>
        <v>9</v>
      </c>
      <c r="V117" s="16">
        <f>IF(ISNA(VLOOKUP(A117,'Données projet'!$A$35:$I$55,4,0)),0,VLOOKUP(A117,'Données projet'!$A$35:$I$55,4,0))</f>
        <v>56.07</v>
      </c>
      <c r="W117" s="17">
        <f>IF(ISNA(VLOOKUP(A117,'Données projet'!$A$35:$I$55,5,0)),0%,VLOOKUP(A117,'Données projet'!$A$35:$I$55,5,0)*VLOOKUP('Données projet'!$B$9,Paramètres!$A$1:$I$89,7,0))</f>
        <v>0.25800000000000001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49.088215262637867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49.088215262637867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>
        <f>VLOOKUP(A117,'Données projet'!$A$61:$I$81,2,0)</f>
        <v>384.57</v>
      </c>
      <c r="AG117" s="13">
        <f>VLOOKUP(A117,'Données projet'!$A$61:$I$81,9,0)</f>
        <v>7.9349999999999969</v>
      </c>
      <c r="AH117" s="13">
        <f t="array" ref="AH117">INDEX(AG:AG,MIN(IF(ISNUMBER(AG117:AG313),ROW(AG117:AG313),"")))</f>
        <v>7.9349999999999969</v>
      </c>
      <c r="AI117" s="14">
        <f>IF('Données projet'!$A$62&gt;35,AI116+AH117-AQ116,IF(A117&lt;'Données projet'!$A$62,$AF$205^A117,IF(A117='Données projet'!$A$62,'Données projet'!$B$62,AI116+AH117-AQ116)))</f>
        <v>384.5700000000005</v>
      </c>
      <c r="AJ117" s="14">
        <f>AI117*VLOOKUP('Données projet'!$B$10,Paramètres!$A$1:$I$89,3,0)*VLOOKUP('Données projet'!$B$10,Paramètres!$A$1:$I$89,5,0)</f>
        <v>413.95114800000056</v>
      </c>
      <c r="AK117" s="14">
        <f t="shared" si="89"/>
        <v>94.599378239958753</v>
      </c>
      <c r="AL117" s="22">
        <f t="shared" si="58"/>
        <v>885.7254998679291</v>
      </c>
      <c r="AM117" s="62">
        <f t="shared" si="59"/>
        <v>1179.0588332012624</v>
      </c>
      <c r="AN117" s="62">
        <f ca="1">AVERAGE(OFFSET($AM$3,0,0,'Données projet'!$E$10+1,1))-AVERAGE(OFFSET($H$3,0,0,'Données projet'!$E$10+1,1))</f>
        <v>407.22515465568205</v>
      </c>
      <c r="AO117" s="62">
        <f t="shared" si="90"/>
        <v>251.6218558398258</v>
      </c>
      <c r="AP117" s="16">
        <f>IF(ISNA(VLOOKUP(A117,'Données projet'!$A$61:$I$81,3,0)),0,VLOOKUP(A117,'Données projet'!$A$61:$I$81,3,0))</f>
        <v>9</v>
      </c>
      <c r="AQ117" s="16">
        <f>IF(ISNA(VLOOKUP(A117,'Données projet'!$A$61:$I$81,4,0)),0,VLOOKUP(A117,'Données projet'!$A$61:$I$81,4,0))</f>
        <v>56.07</v>
      </c>
      <c r="AR117" s="17">
        <f>IF(ISNA(VLOOKUP(A117,'Données projet'!$A$61:$I$81,5,0)),0%,VLOOKUP(A117,'Données projet'!$A$61:$I$81,5,0)*VLOOKUP('Données projet'!$B$10,Paramètres!$A$1:$I$89,7,0))</f>
        <v>0.25800000000000001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58.39804919175883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58.39804919175883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>
        <f>VLOOKUP(A117,'Données projet'!$A$87:$I$107,2,0)</f>
        <v>384.57</v>
      </c>
      <c r="BB117" s="13">
        <f>VLOOKUP(A117,'Données projet'!$A$87:$I$107,9,0)</f>
        <v>7.9349999999999969</v>
      </c>
      <c r="BC117" s="13">
        <f t="array" ref="BC117">INDEX(BB:BB,MIN(IF(ISNUMBER(BB117:BB313),ROW(BB117:BB313),"")))</f>
        <v>7.9349999999999969</v>
      </c>
      <c r="BD117" s="13">
        <f>IF('Données projet'!$A$88&gt;35,BD116+BC117-BL116,IF(A117&lt;'Données projet'!$A$88,$BA$205^A117,IF(A117='Données projet'!$A$88,'Données projet'!$B$88,BD116+BC117-BL116)))</f>
        <v>384.5700000000005</v>
      </c>
      <c r="BE117" s="14">
        <f>BD117*VLOOKUP('Données projet'!$B$11,Paramètres!$A$1:$I$89,3,0)*VLOOKUP('Données projet'!$B$11,Paramètres!$A$1:$I$89,5,0)</f>
        <v>371.95610400000049</v>
      </c>
      <c r="BF117" s="14">
        <f t="shared" si="91"/>
        <v>86.067368021559375</v>
      </c>
      <c r="BG117" s="22">
        <f t="shared" si="61"/>
        <v>797.72421377088347</v>
      </c>
      <c r="BH117" s="62">
        <f t="shared" si="62"/>
        <v>1091.0575471042168</v>
      </c>
      <c r="BI117" s="62">
        <f ca="1">AVERAGE(OFFSET($BH$3,0,0,'Données projet'!$E$11+1,1))-AVERAGE(OFFSET($H$3,0,0,'Données projet'!$E$11+1,1))</f>
        <v>357.76044008074308</v>
      </c>
      <c r="BJ117" s="62">
        <f t="shared" si="92"/>
        <v>224.26555772810445</v>
      </c>
      <c r="BK117" s="16">
        <f>IF(ISNA(VLOOKUP(A117,'Données projet'!$A$87:$I$107,3,0)),0,VLOOKUP(A117,'Données projet'!$A$87:$I$107,3,0))</f>
        <v>9</v>
      </c>
      <c r="BL117" s="16">
        <f>IF(ISNA(VLOOKUP(A117,'Données projet'!$A$87:$I$107,4,0)),0,VLOOKUP(A117,'Données projet'!$A$87:$I$107,4,0))</f>
        <v>56.07</v>
      </c>
      <c r="BM117" s="17">
        <f>IF(ISNA(VLOOKUP(A117,'Données projet'!$A$87:$I$107,5,0)),0%,VLOOKUP(A117,'Données projet'!$A$87:$I$107,5,0)*VLOOKUP('Données projet'!$B$11,Paramètres!$A$1:$I$89,7,0))</f>
        <v>0.25800000000000001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52.473609418681846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52.473609418681846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>
        <f>VLOOKUP(A117,'Données projet'!$A$113:$I$133,2,0)</f>
        <v>384.57</v>
      </c>
      <c r="BW117" s="13">
        <f>VLOOKUP(A117,'Données projet'!$A$113:$I$133,9,0)</f>
        <v>7.9349999999999969</v>
      </c>
      <c r="BX117" s="13">
        <f t="array" ref="BX117">INDEX(BW:BW,MIN(IF(ISNUMBER(BW117:BW313),ROW(BW117:BW313),"")))</f>
        <v>7.9349999999999969</v>
      </c>
      <c r="BY117" s="13">
        <f>IF('Données projet'!$A$114&gt;35,BY116+BX117-CG116,IF(A117&lt;'Données projet'!$A$114,$BV$205^A117,IF(A117='Données projet'!$A$114,'Données projet'!$B$114,BY116+BX117-CG116)))</f>
        <v>384.5700000000005</v>
      </c>
      <c r="BZ117" s="14">
        <f>BY117*VLOOKUP('Données projet'!$B$12,Paramètres!$A$1:$I$89,3,0)*VLOOKUP('Données projet'!$B$12,Paramètres!$A$1:$I$89,5,0)</f>
        <v>257.96955600000035</v>
      </c>
      <c r="CA117" s="14">
        <f t="shared" si="93"/>
        <v>62.289372058832555</v>
      </c>
      <c r="CB117" s="22">
        <f t="shared" si="64"/>
        <v>557.78429970246725</v>
      </c>
      <c r="CC117" s="62">
        <f t="shared" si="65"/>
        <v>851.11763303580051</v>
      </c>
      <c r="CD117" s="62">
        <f ca="1">AVERAGE(OFFSET($CC$3,0,0,'Données projet'!$E$12+1,1))-AVERAGE(OFFSET($H$3,0,0,'Données projet'!$E$12+1,1))</f>
        <v>222.86701323374945</v>
      </c>
      <c r="CE117" s="62">
        <f t="shared" si="94"/>
        <v>149.63671045240511</v>
      </c>
      <c r="CF117" s="16">
        <f>IF(ISNA(VLOOKUP(A117,'Données projet'!$A$113:$I$133,3,0)),0,VLOOKUP(A117,'Données projet'!$A$113:$I$133,3,0))</f>
        <v>9</v>
      </c>
      <c r="CG117" s="16">
        <f>IF(ISNA(VLOOKUP(A117,'Données projet'!$A$113:$I$133,4,0)),0,VLOOKUP(A117,'Données projet'!$A$113:$I$133,4,0))</f>
        <v>56.07</v>
      </c>
      <c r="CH117" s="17">
        <f>IF(ISNA(VLOOKUP(A117,'Données projet'!$A$113:$I$133,5,0)),0%,VLOOKUP(A117,'Données projet'!$A$113:$I$133,5,0)*VLOOKUP('Données projet'!$B$12,Paramètres!$A$1:$I$89,7,0))</f>
        <v>0.318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44.856472567582877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44.856472567582877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8.5265128291212022E-14</v>
      </c>
      <c r="CU117" s="18">
        <f>CT117*VLOOKUP('Données projet'!$B$13,Paramètres!$A$1:$I$89,3,0)*VLOOKUP('Données projet'!$B$13,Paramètres!$A$1:$I$89,5,0)</f>
        <v>5.5865712056402117E-14</v>
      </c>
      <c r="CV117" s="14">
        <f t="shared" si="95"/>
        <v>8.9811031843713517E-13</v>
      </c>
      <c r="CW117" s="22">
        <f t="shared" si="67"/>
        <v>1.6615082531095774E-12</v>
      </c>
      <c r="CX117" s="62">
        <f t="shared" si="68"/>
        <v>293.33333333333496</v>
      </c>
      <c r="CY117" s="62">
        <f ca="1">AVERAGE(OFFSET($CX$3,0,0,'Données projet'!$E$13+1,1))-AVERAGE(OFFSET($H$3,0,0,'Données projet'!$E$13+1,1))</f>
        <v>173.15672762188746</v>
      </c>
      <c r="CZ117" s="62">
        <f t="shared" si="96"/>
        <v>208.54841796921414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51.206099768496316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51.206099768496316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>
        <f>EJ117*VLOOKUP('Données projet'!$B$15,Paramètres!$A$1:$I$89,3,0)*VLOOKUP('Données projet'!$B$15,Paramètres!$A$1:$I$89,5,0)</f>
        <v>0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269.18638759204373</v>
      </c>
      <c r="EP117" s="62">
        <f t="shared" si="100"/>
        <v>197.07126167823969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102.95292049579152</v>
      </c>
      <c r="EW117" s="23">
        <f>EXP(-LN(2)/25)*EW116+(1-EXP(-LN(2)/25))/(LN(2)/25)*Calculateur!ER117*Calculateur!ET117*VLOOKUP('Données projet'!$B$15,Paramètres!$A$1:$I$89,3,0)*0.475*44/12</f>
        <v>12.292163214944228</v>
      </c>
      <c r="EX117" s="23">
        <f>EXP(-LN(2)/2)*EX116+(1-EXP(-LN(2)/2))/(LN(2)/2)*ER117*EU117*VLOOKUP('Données projet'!$B$15,Paramètres!$A$1:$I$89,3,0)*0.475*44/12</f>
        <v>2.427728718162389E-4</v>
      </c>
      <c r="EY117" s="24">
        <f t="shared" si="75"/>
        <v>115.24532648360756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1.1368683772161603E-13</v>
      </c>
      <c r="FF117" s="18">
        <f>FE117*VLOOKUP('Données projet'!$B$16,Paramètres!$A$1:$I$89,3,0)*VLOOKUP('Données projet'!$B$16,Paramètres!$A$1:$I$89,5,0)</f>
        <v>6.7984728957526396E-14</v>
      </c>
      <c r="FG117" s="14">
        <f t="shared" si="101"/>
        <v>1.0682447123141398E-12</v>
      </c>
      <c r="FH117" s="22">
        <f t="shared" si="76"/>
        <v>1.978932943548152E-12</v>
      </c>
      <c r="FI117" s="62">
        <f t="shared" si="77"/>
        <v>293.3333333333353</v>
      </c>
      <c r="FJ117" s="62">
        <f ca="1">AVERAGE(OFFSET($FI$3,0,0,'Données projet'!$E$16+1,1))-AVERAGE(OFFSET($H$3,0,0,'Données projet'!$E$16+1,1))</f>
        <v>330.48891719033065</v>
      </c>
      <c r="FK117" s="62">
        <f t="shared" si="102"/>
        <v>419.35494198427284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72.953953369628366</v>
      </c>
      <c r="FR117" s="23">
        <f>EXP(-LN(2)/25)*FR116+(1-EXP(-LN(2)/25))/(LN(2)/25)*Calculateur!FM117*Calculateur!FO117*VLOOKUP('Données projet'!$B$16,Paramètres!$A$1:$I$89,3,0)*0.475*44/12</f>
        <v>8.039350120245059</v>
      </c>
      <c r="FS117" s="23">
        <f>EXP(-LN(2)/2)*FS116+(1-EXP(-LN(2)/2))/(LN(2)/2)*FM117*FP117*VLOOKUP('Données projet'!$B$16,Paramètres!$A$1:$I$89,3,0)*0.475*44/12</f>
        <v>6.4705559376346081E-8</v>
      </c>
      <c r="FT117" s="24">
        <f t="shared" si="78"/>
        <v>80.993303554578986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>
        <f>FZ117*VLOOKUP('Données projet'!$B$17,Paramètres!$A$1:$I$89,3,0)*VLOOKUP('Données projet'!$B$17,Paramètres!$A$1:$I$89,5,0)</f>
        <v>0</v>
      </c>
      <c r="GB117" s="14" t="e">
        <f t="shared" si="103"/>
        <v>#NUM!</v>
      </c>
      <c r="GC117" s="22" t="e">
        <f t="shared" si="79"/>
        <v>#NUM!</v>
      </c>
      <c r="GD117" s="62" t="e">
        <f t="shared" si="80"/>
        <v>#NUM!</v>
      </c>
      <c r="GE117" s="62">
        <f ca="1">AVERAGE(OFFSET($GD$3,0,0,'Données projet'!$E$17+1,1))-AVERAGE(OFFSET($H$3,0,0,'Données projet'!$E$17+1,1))</f>
        <v>132.18258156780018</v>
      </c>
      <c r="GF117" s="62">
        <f t="shared" si="104"/>
        <v>315.58133946947294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8.2180831641380347</v>
      </c>
      <c r="GM117" s="23">
        <f>EXP(-LN(2)/25)*GM116+(1-EXP(-LN(2)/25))/(LN(2)/25)*Calculateur!GH117*Calculateur!GJ117*VLOOKUP('Données projet'!$B$17,Paramètres!$A$1:$I$89,3,0)*0.475*44/12</f>
        <v>1.8071246113845794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10.025207775522613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9">
        <f t="shared" si="56"/>
        <v>482.66051561841903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7.9920000000000018</v>
      </c>
      <c r="N118" s="14">
        <f>IF('Données projet'!$A$36&gt;35,N117+M118-V117,IF(A118&lt;'Données projet'!$A$36,$K$205^A118,IF(A118='Données projet'!$A$36,'Données projet'!$B$36,N117+M118-V117)))</f>
        <v>336.49200000000053</v>
      </c>
      <c r="O118" s="14">
        <f>N118*VLOOKUP('Données projet'!$B$9,Paramètres!$A$1:$I$89,3,0)*VLOOKUP('Données projet'!$B$9,Paramètres!$A$1:$I$89,5,0)</f>
        <v>304.45796160000049</v>
      </c>
      <c r="P118" s="14">
        <f t="shared" si="87"/>
        <v>72.11021964481435</v>
      </c>
      <c r="Q118" s="22">
        <f t="shared" si="107"/>
        <v>655.85624900138566</v>
      </c>
      <c r="R118" s="62">
        <f t="shared" si="55"/>
        <v>949.18958233471903</v>
      </c>
      <c r="S118" s="62">
        <f ca="1">AVERAGE(OFFSET($R$3,0,0,'Données projet'!$E$9+1,1))-AVERAGE(OFFSET($H$3,0,0,'Données projet'!$E$9+1,1))</f>
        <v>401.86262166363821</v>
      </c>
      <c r="T118" s="62">
        <f t="shared" si="88"/>
        <v>208.60314230781432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48.125625302192432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48.125625302192432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7.9920000000000018</v>
      </c>
      <c r="AI118" s="14">
        <f>IF('Données projet'!$A$62&gt;35,AI117+AH118-AQ117,IF(A118&lt;'Données projet'!$A$62,$AF$205^A118,IF(A118='Données projet'!$A$62,'Données projet'!$B$62,AI117+AH118-AQ117)))</f>
        <v>336.49200000000053</v>
      </c>
      <c r="AJ118" s="14">
        <f>AI118*VLOOKUP('Données projet'!$B$10,Paramètres!$A$1:$I$89,3,0)*VLOOKUP('Données projet'!$B$10,Paramètres!$A$1:$I$89,5,0)</f>
        <v>362.19998880000054</v>
      </c>
      <c r="AK118" s="14">
        <f t="shared" si="89"/>
        <v>84.069584282360367</v>
      </c>
      <c r="AL118" s="22">
        <f t="shared" si="58"/>
        <v>777.25283978511197</v>
      </c>
      <c r="AM118" s="62">
        <f t="shared" si="59"/>
        <v>1070.5861731184452</v>
      </c>
      <c r="AN118" s="62">
        <f ca="1">AVERAGE(OFFSET($AM$3,0,0,'Données projet'!$E$10+1,1))-AVERAGE(OFFSET($H$3,0,0,'Données projet'!$E$10+1,1))</f>
        <v>407.22515465568205</v>
      </c>
      <c r="AO118" s="62">
        <f t="shared" si="90"/>
        <v>251.6218558398258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57.252899066401334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57.252899066401334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7.9920000000000018</v>
      </c>
      <c r="BD118" s="13">
        <f>IF('Données projet'!$A$88&gt;35,BD117+BC118-BL117,IF(A118&lt;'Données projet'!$A$88,$BA$205^A118,IF(A118='Données projet'!$A$88,'Données projet'!$B$88,BD117+BC118-BL117)))</f>
        <v>336.49200000000053</v>
      </c>
      <c r="BE118" s="14">
        <f>BD118*VLOOKUP('Données projet'!$B$11,Paramètres!$A$1:$I$89,3,0)*VLOOKUP('Données projet'!$B$11,Paramètres!$A$1:$I$89,5,0)</f>
        <v>325.45506240000054</v>
      </c>
      <c r="BF118" s="14">
        <f t="shared" si="91"/>
        <v>76.487266454284907</v>
      </c>
      <c r="BG118" s="22">
        <f t="shared" si="61"/>
        <v>700.04955608788043</v>
      </c>
      <c r="BH118" s="62">
        <f t="shared" si="62"/>
        <v>993.3828894212138</v>
      </c>
      <c r="BI118" s="62">
        <f ca="1">AVERAGE(OFFSET($BH$3,0,0,'Données projet'!$E$11+1,1))-AVERAGE(OFFSET($H$3,0,0,'Données projet'!$E$11+1,1))</f>
        <v>357.76044008074308</v>
      </c>
      <c r="BJ118" s="62">
        <f t="shared" si="92"/>
        <v>224.26555772810445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51.444633943722934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51.444633943722934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7.9920000000000018</v>
      </c>
      <c r="BY118" s="13">
        <f>IF('Données projet'!$A$114&gt;35,BY117+BX118-CG117,IF(A118&lt;'Données projet'!$A$114,$BV$205^A118,IF(A118='Données projet'!$A$114,'Données projet'!$B$114,BY117+BX118-CG117)))</f>
        <v>336.49200000000053</v>
      </c>
      <c r="BZ118" s="14">
        <f>BY118*VLOOKUP('Données projet'!$B$12,Paramètres!$A$1:$I$89,3,0)*VLOOKUP('Données projet'!$B$12,Paramètres!$A$1:$I$89,5,0)</f>
        <v>225.71883360000038</v>
      </c>
      <c r="CA118" s="14">
        <f t="shared" si="93"/>
        <v>55.355983428476335</v>
      </c>
      <c r="CB118" s="22">
        <f t="shared" si="64"/>
        <v>489.53863965793022</v>
      </c>
      <c r="CC118" s="62">
        <f t="shared" si="65"/>
        <v>782.87197299126353</v>
      </c>
      <c r="CD118" s="62">
        <f ca="1">AVERAGE(OFFSET($CC$3,0,0,'Données projet'!$E$12+1,1))-AVERAGE(OFFSET($H$3,0,0,'Données projet'!$E$12+1,1))</f>
        <v>222.86701323374945</v>
      </c>
      <c r="CE118" s="62">
        <f t="shared" si="94"/>
        <v>149.63671045240511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43.976864500279291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43.976864500279291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8.5265128291212022E-14</v>
      </c>
      <c r="CU118" s="18">
        <f>CT118*VLOOKUP('Données projet'!$B$13,Paramètres!$A$1:$I$89,3,0)*VLOOKUP('Données projet'!$B$13,Paramètres!$A$1:$I$89,5,0)</f>
        <v>5.5865712056402117E-14</v>
      </c>
      <c r="CV118" s="14">
        <f t="shared" si="95"/>
        <v>8.9811031843713517E-13</v>
      </c>
      <c r="CW118" s="22">
        <f t="shared" si="67"/>
        <v>1.6615082531095774E-12</v>
      </c>
      <c r="CX118" s="62">
        <f t="shared" si="68"/>
        <v>293.33333333333496</v>
      </c>
      <c r="CY118" s="62">
        <f ca="1">AVERAGE(OFFSET($CX$3,0,0,'Données projet'!$E$13+1,1))-AVERAGE(OFFSET($H$3,0,0,'Données projet'!$E$13+1,1))</f>
        <v>173.15672762188746</v>
      </c>
      <c r="CZ118" s="62">
        <f t="shared" si="96"/>
        <v>208.54841796921414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50.201979384672995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50.201979384672995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>
        <f>EJ118*VLOOKUP('Données projet'!$B$15,Paramètres!$A$1:$I$89,3,0)*VLOOKUP('Données projet'!$B$15,Paramètres!$A$1:$I$89,5,0)</f>
        <v>0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269.18638759204373</v>
      </c>
      <c r="EP118" s="62">
        <f t="shared" si="100"/>
        <v>197.07126167823969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100.93407651995005</v>
      </c>
      <c r="EW118" s="23">
        <f>EXP(-LN(2)/25)*EW117+(1-EXP(-LN(2)/25))/(LN(2)/25)*Calculateur!ER118*Calculateur!ET118*VLOOKUP('Données projet'!$B$15,Paramètres!$A$1:$I$89,3,0)*0.475*44/12</f>
        <v>11.956033365414809</v>
      </c>
      <c r="EX118" s="23">
        <f>EXP(-LN(2)/2)*EX117+(1-EXP(-LN(2)/2))/(LN(2)/2)*ER118*EU118*VLOOKUP('Données projet'!$B$15,Paramètres!$A$1:$I$89,3,0)*0.475*44/12</f>
        <v>1.7166634394939501E-4</v>
      </c>
      <c r="EY118" s="24">
        <f t="shared" si="75"/>
        <v>112.89028155170881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1.1368683772161603E-13</v>
      </c>
      <c r="FF118" s="18">
        <f>FE118*VLOOKUP('Données projet'!$B$16,Paramètres!$A$1:$I$89,3,0)*VLOOKUP('Données projet'!$B$16,Paramètres!$A$1:$I$89,5,0)</f>
        <v>6.7984728957526396E-14</v>
      </c>
      <c r="FG118" s="14">
        <f t="shared" si="101"/>
        <v>1.0682447123141398E-12</v>
      </c>
      <c r="FH118" s="22">
        <f t="shared" si="76"/>
        <v>1.978932943548152E-12</v>
      </c>
      <c r="FI118" s="62">
        <f t="shared" si="77"/>
        <v>293.3333333333353</v>
      </c>
      <c r="FJ118" s="62">
        <f ca="1">AVERAGE(OFFSET($FI$3,0,0,'Données projet'!$E$16+1,1))-AVERAGE(OFFSET($H$3,0,0,'Données projet'!$E$16+1,1))</f>
        <v>330.48891719033065</v>
      </c>
      <c r="FK118" s="62">
        <f t="shared" si="102"/>
        <v>419.35494198427284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71.52337084156774</v>
      </c>
      <c r="FR118" s="23">
        <f>EXP(-LN(2)/25)*FR117+(1-EXP(-LN(2)/25))/(LN(2)/25)*Calculateur!FM118*Calculateur!FO118*VLOOKUP('Données projet'!$B$16,Paramètres!$A$1:$I$89,3,0)*0.475*44/12</f>
        <v>7.819513668435909</v>
      </c>
      <c r="FS118" s="23">
        <f>EXP(-LN(2)/2)*FS117+(1-EXP(-LN(2)/2))/(LN(2)/2)*FM118*FP118*VLOOKUP('Données projet'!$B$16,Paramètres!$A$1:$I$89,3,0)*0.475*44/12</f>
        <v>4.5753739815483108E-8</v>
      </c>
      <c r="FT118" s="24">
        <f t="shared" si="78"/>
        <v>79.342884555757379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>
        <f>FZ118*VLOOKUP('Données projet'!$B$17,Paramètres!$A$1:$I$89,3,0)*VLOOKUP('Données projet'!$B$17,Paramètres!$A$1:$I$89,5,0)</f>
        <v>0</v>
      </c>
      <c r="GB118" s="14" t="e">
        <f t="shared" si="103"/>
        <v>#NUM!</v>
      </c>
      <c r="GC118" s="22" t="e">
        <f t="shared" si="79"/>
        <v>#NUM!</v>
      </c>
      <c r="GD118" s="62" t="e">
        <f t="shared" si="80"/>
        <v>#NUM!</v>
      </c>
      <c r="GE118" s="62">
        <f ca="1">AVERAGE(OFFSET($GD$3,0,0,'Données projet'!$E$17+1,1))-AVERAGE(OFFSET($H$3,0,0,'Données projet'!$E$17+1,1))</f>
        <v>132.18258156780018</v>
      </c>
      <c r="GF118" s="62">
        <f t="shared" si="104"/>
        <v>315.58133946947294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8.0569315658250709</v>
      </c>
      <c r="GM118" s="23">
        <f>EXP(-LN(2)/25)*GM117+(1-EXP(-LN(2)/25))/(LN(2)/25)*Calculateur!GH118*Calculateur!GJ118*VLOOKUP('Données projet'!$B$17,Paramètres!$A$1:$I$89,3,0)*0.475*44/12</f>
        <v>1.757708693853715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9.8146402596787858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9">
        <f t="shared" si="56"/>
        <v>484.57701632167959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7.9920000000000018</v>
      </c>
      <c r="N119" s="14">
        <f>IF('Données projet'!$A$36&gt;35,N118+M119-V118,IF(A119&lt;'Données projet'!$A$36,$K$205^A119,IF(A119='Données projet'!$A$36,'Données projet'!$B$36,N118+M119-V118)))</f>
        <v>344.48400000000055</v>
      </c>
      <c r="O119" s="14">
        <f>N119*VLOOKUP('Données projet'!$B$9,Paramètres!$A$1:$I$89,3,0)*VLOOKUP('Données projet'!$B$9,Paramètres!$A$1:$I$89,5,0)</f>
        <v>311.68912320000049</v>
      </c>
      <c r="P119" s="14">
        <f t="shared" si="87"/>
        <v>73.621474685301479</v>
      </c>
      <c r="Q119" s="22">
        <f t="shared" si="107"/>
        <v>671.08262465023415</v>
      </c>
      <c r="R119" s="62">
        <f t="shared" si="55"/>
        <v>964.41595798356752</v>
      </c>
      <c r="S119" s="62">
        <f ca="1">AVERAGE(OFFSET($R$3,0,0,'Données projet'!$E$9+1,1))-AVERAGE(OFFSET($H$3,0,0,'Données projet'!$E$9+1,1))</f>
        <v>401.86262166363821</v>
      </c>
      <c r="T119" s="62">
        <f t="shared" si="88"/>
        <v>208.60314230781432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47.181911143749431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47.181911143749431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7.9920000000000018</v>
      </c>
      <c r="AI119" s="14">
        <f>IF('Données projet'!$A$62&gt;35,AI118+AH119-AQ118,IF(A119&lt;'Données projet'!$A$62,$AF$205^A119,IF(A119='Données projet'!$A$62,'Données projet'!$B$62,AI118+AH119-AQ118)))</f>
        <v>344.48400000000055</v>
      </c>
      <c r="AJ119" s="14">
        <f>AI119*VLOOKUP('Données projet'!$B$10,Paramètres!$A$1:$I$89,3,0)*VLOOKUP('Données projet'!$B$10,Paramètres!$A$1:$I$89,5,0)</f>
        <v>370.80257760000057</v>
      </c>
      <c r="AK119" s="14">
        <f t="shared" si="89"/>
        <v>85.831478555102493</v>
      </c>
      <c r="AL119" s="22">
        <f t="shared" si="58"/>
        <v>795.3043144701378</v>
      </c>
      <c r="AM119" s="62">
        <f t="shared" si="59"/>
        <v>1088.6376478034711</v>
      </c>
      <c r="AN119" s="62">
        <f ca="1">AVERAGE(OFFSET($AM$3,0,0,'Données projet'!$E$10+1,1))-AVERAGE(OFFSET($H$3,0,0,'Données projet'!$E$10+1,1))</f>
        <v>407.22515465568205</v>
      </c>
      <c r="AO119" s="62">
        <f t="shared" si="90"/>
        <v>251.6218558398258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56.130204636529491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56.130204636529491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7.9920000000000018</v>
      </c>
      <c r="BD119" s="13">
        <f>IF('Données projet'!$A$88&gt;35,BD118+BC119-BL118,IF(A119&lt;'Données projet'!$A$88,$BA$205^A119,IF(A119='Données projet'!$A$88,'Données projet'!$B$88,BD118+BC119-BL118)))</f>
        <v>344.48400000000055</v>
      </c>
      <c r="BE119" s="14">
        <f>BD119*VLOOKUP('Données projet'!$B$11,Paramètres!$A$1:$I$89,3,0)*VLOOKUP('Données projet'!$B$11,Paramètres!$A$1:$I$89,5,0)</f>
        <v>333.18492480000054</v>
      </c>
      <c r="BF119" s="14">
        <f t="shared" si="91"/>
        <v>78.090253763593893</v>
      </c>
      <c r="BG119" s="22">
        <f t="shared" si="61"/>
        <v>716.30426933159345</v>
      </c>
      <c r="BH119" s="62">
        <f t="shared" si="62"/>
        <v>1009.6376026649268</v>
      </c>
      <c r="BI119" s="62">
        <f ca="1">AVERAGE(OFFSET($BH$3,0,0,'Données projet'!$E$11+1,1))-AVERAGE(OFFSET($H$3,0,0,'Données projet'!$E$11+1,1))</f>
        <v>357.76044008074308</v>
      </c>
      <c r="BJ119" s="62">
        <f t="shared" si="92"/>
        <v>224.26555772810445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50.435836050214903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50.435836050214903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7.9920000000000018</v>
      </c>
      <c r="BY119" s="13">
        <f>IF('Données projet'!$A$114&gt;35,BY118+BX119-CG118,IF(A119&lt;'Données projet'!$A$114,$BV$205^A119,IF(A119='Données projet'!$A$114,'Données projet'!$B$114,BY118+BX119-CG118)))</f>
        <v>344.48400000000055</v>
      </c>
      <c r="BZ119" s="14">
        <f>BY119*VLOOKUP('Données projet'!$B$12,Paramètres!$A$1:$I$89,3,0)*VLOOKUP('Données projet'!$B$12,Paramètres!$A$1:$I$89,5,0)</f>
        <v>231.07986720000036</v>
      </c>
      <c r="CA119" s="14">
        <f t="shared" si="93"/>
        <v>56.516110375661739</v>
      </c>
      <c r="CB119" s="22">
        <f t="shared" si="64"/>
        <v>500.89632761094487</v>
      </c>
      <c r="CC119" s="62">
        <f t="shared" si="65"/>
        <v>794.22966094427818</v>
      </c>
      <c r="CD119" s="62">
        <f ca="1">AVERAGE(OFFSET($CC$3,0,0,'Données projet'!$E$12+1,1))-AVERAGE(OFFSET($H$3,0,0,'Données projet'!$E$12+1,1))</f>
        <v>222.86701323374945</v>
      </c>
      <c r="CE119" s="62">
        <f t="shared" si="94"/>
        <v>149.63671045240511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43.114505010667585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43.114505010667585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8.5265128291212022E-14</v>
      </c>
      <c r="CU119" s="18">
        <f>CT119*VLOOKUP('Données projet'!$B$13,Paramètres!$A$1:$I$89,3,0)*VLOOKUP('Données projet'!$B$13,Paramètres!$A$1:$I$89,5,0)</f>
        <v>5.5865712056402117E-14</v>
      </c>
      <c r="CV119" s="14">
        <f t="shared" si="95"/>
        <v>8.9811031843713517E-13</v>
      </c>
      <c r="CW119" s="22">
        <f t="shared" si="67"/>
        <v>1.6615082531095774E-12</v>
      </c>
      <c r="CX119" s="62">
        <f t="shared" si="68"/>
        <v>293.33333333333496</v>
      </c>
      <c r="CY119" s="62">
        <f ca="1">AVERAGE(OFFSET($CX$3,0,0,'Données projet'!$E$13+1,1))-AVERAGE(OFFSET($H$3,0,0,'Données projet'!$E$13+1,1))</f>
        <v>173.15672762188746</v>
      </c>
      <c r="CZ119" s="62">
        <f t="shared" si="96"/>
        <v>208.54841796921414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49.217549189123488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49.217549189123488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269.18638759204373</v>
      </c>
      <c r="EP119" s="62">
        <f t="shared" si="100"/>
        <v>197.07126167823969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98.954820843101601</v>
      </c>
      <c r="EW119" s="23">
        <f>EXP(-LN(2)/25)*EW118+(1-EXP(-LN(2)/25))/(LN(2)/25)*Calculateur!ER119*Calculateur!ET119*VLOOKUP('Données projet'!$B$15,Paramètres!$A$1:$I$89,3,0)*0.475*44/12</f>
        <v>11.629095004297072</v>
      </c>
      <c r="EX119" s="23">
        <f>EXP(-LN(2)/2)*EX118+(1-EXP(-LN(2)/2))/(LN(2)/2)*ER119*EU119*VLOOKUP('Données projet'!$B$15,Paramètres!$A$1:$I$89,3,0)*0.475*44/12</f>
        <v>1.2138643590811948E-4</v>
      </c>
      <c r="EY119" s="24">
        <f t="shared" si="75"/>
        <v>110.58403723383458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1.1368683772161603E-13</v>
      </c>
      <c r="FF119" s="18">
        <f>FE119*VLOOKUP('Données projet'!$B$16,Paramètres!$A$1:$I$89,3,0)*VLOOKUP('Données projet'!$B$16,Paramètres!$A$1:$I$89,5,0)</f>
        <v>6.7984728957526396E-14</v>
      </c>
      <c r="FG119" s="14">
        <f t="shared" si="101"/>
        <v>1.0682447123141398E-12</v>
      </c>
      <c r="FH119" s="22">
        <f t="shared" si="76"/>
        <v>1.978932943548152E-12</v>
      </c>
      <c r="FI119" s="62">
        <f t="shared" si="77"/>
        <v>293.3333333333353</v>
      </c>
      <c r="FJ119" s="62">
        <f ca="1">AVERAGE(OFFSET($FI$3,0,0,'Données projet'!$E$16+1,1))-AVERAGE(OFFSET($H$3,0,0,'Données projet'!$E$16+1,1))</f>
        <v>330.48891719033065</v>
      </c>
      <c r="FK119" s="62">
        <f t="shared" si="102"/>
        <v>419.35494198427284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70.120841164313205</v>
      </c>
      <c r="FR119" s="23">
        <f>EXP(-LN(2)/25)*FR118+(1-EXP(-LN(2)/25))/(LN(2)/25)*Calculateur!FM119*Calculateur!FO119*VLOOKUP('Données projet'!$B$16,Paramètres!$A$1:$I$89,3,0)*0.475*44/12</f>
        <v>7.6056886559621768</v>
      </c>
      <c r="FS119" s="23">
        <f>EXP(-LN(2)/2)*FS118+(1-EXP(-LN(2)/2))/(LN(2)/2)*FM119*FP119*VLOOKUP('Données projet'!$B$16,Paramètres!$A$1:$I$89,3,0)*0.475*44/12</f>
        <v>3.2352779688173041E-8</v>
      </c>
      <c r="FT119" s="24">
        <f t="shared" si="78"/>
        <v>77.726529852628161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>
        <f>FZ119*VLOOKUP('Données projet'!$B$17,Paramètres!$A$1:$I$89,3,0)*VLOOKUP('Données projet'!$B$17,Paramètres!$A$1:$I$89,5,0)</f>
        <v>0</v>
      </c>
      <c r="GB119" s="14" t="e">
        <f t="shared" si="103"/>
        <v>#NUM!</v>
      </c>
      <c r="GC119" s="22" t="e">
        <f t="shared" si="79"/>
        <v>#NUM!</v>
      </c>
      <c r="GD119" s="62" t="e">
        <f t="shared" si="80"/>
        <v>#NUM!</v>
      </c>
      <c r="GE119" s="62">
        <f ca="1">AVERAGE(OFFSET($GD$3,0,0,'Données projet'!$E$17+1,1))-AVERAGE(OFFSET($H$3,0,0,'Données projet'!$E$17+1,1))</f>
        <v>132.18258156780018</v>
      </c>
      <c r="GF119" s="62">
        <f t="shared" si="104"/>
        <v>315.58133946947294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7.8989400520622555</v>
      </c>
      <c r="GM119" s="23">
        <f>EXP(-LN(2)/25)*GM118+(1-EXP(-LN(2)/25))/(LN(2)/25)*Calculateur!GH119*Calculateur!GJ119*VLOOKUP('Données projet'!$B$17,Paramètres!$A$1:$I$89,3,0)*0.475*44/12</f>
        <v>1.7096440571864022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9.6085841092486568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9">
        <f t="shared" si="56"/>
        <v>486.49314812620531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7.9920000000000018</v>
      </c>
      <c r="N120" s="14">
        <f>IF('Données projet'!$A$36&gt;35,N119+M120-V119,IF(A120&lt;'Données projet'!$A$36,$K$205^A120,IF(A120='Données projet'!$A$36,'Données projet'!$B$36,N119+M120-V119)))</f>
        <v>352.47600000000057</v>
      </c>
      <c r="O120" s="14">
        <f>N120*VLOOKUP('Données projet'!$B$9,Paramètres!$A$1:$I$89,3,0)*VLOOKUP('Données projet'!$B$9,Paramètres!$A$1:$I$89,5,0)</f>
        <v>318.9202848000005</v>
      </c>
      <c r="P120" s="14">
        <f t="shared" si="87"/>
        <v>75.128653745521831</v>
      </c>
      <c r="Q120" s="22">
        <f t="shared" si="107"/>
        <v>686.30190130011806</v>
      </c>
      <c r="R120" s="62">
        <f t="shared" si="55"/>
        <v>979.63523463345132</v>
      </c>
      <c r="S120" s="62">
        <f ca="1">AVERAGE(OFFSET($R$3,0,0,'Données projet'!$E$9+1,1))-AVERAGE(OFFSET($H$3,0,0,'Données projet'!$E$9+1,1))</f>
        <v>401.86262166363821</v>
      </c>
      <c r="T120" s="62">
        <f t="shared" si="88"/>
        <v>208.60314230781432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46.256702644344699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46.256702644344699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7.9920000000000018</v>
      </c>
      <c r="AI120" s="14">
        <f>IF('Données projet'!$A$62&gt;35,AI119+AH120-AQ119,IF(A120&lt;'Données projet'!$A$62,$AF$205^A120,IF(A120='Données projet'!$A$62,'Données projet'!$B$62,AI119+AH120-AQ119)))</f>
        <v>352.47600000000057</v>
      </c>
      <c r="AJ120" s="14">
        <f>AI120*VLOOKUP('Données projet'!$B$10,Paramètres!$A$1:$I$89,3,0)*VLOOKUP('Données projet'!$B$10,Paramètres!$A$1:$I$89,5,0)</f>
        <v>379.40516640000061</v>
      </c>
      <c r="AK120" s="14">
        <f t="shared" si="89"/>
        <v>87.588620852767377</v>
      </c>
      <c r="AL120" s="22">
        <f t="shared" si="58"/>
        <v>813.34751279857085</v>
      </c>
      <c r="AM120" s="62">
        <f t="shared" si="59"/>
        <v>1106.6808461319042</v>
      </c>
      <c r="AN120" s="62">
        <f ca="1">AVERAGE(OFFSET($AM$3,0,0,'Données projet'!$E$10+1,1))-AVERAGE(OFFSET($H$3,0,0,'Données projet'!$E$10+1,1))</f>
        <v>407.22515465568205</v>
      </c>
      <c r="AO120" s="62">
        <f t="shared" si="90"/>
        <v>251.6218558398258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55.029525559651447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55.029525559651447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7.9920000000000018</v>
      </c>
      <c r="BD120" s="13">
        <f>IF('Données projet'!$A$88&gt;35,BD119+BC120-BL119,IF(A120&lt;'Données projet'!$A$88,$BA$205^A120,IF(A120='Données projet'!$A$88,'Données projet'!$B$88,BD119+BC120-BL119)))</f>
        <v>352.47600000000057</v>
      </c>
      <c r="BE120" s="14">
        <f>BD120*VLOOKUP('Données projet'!$B$11,Paramètres!$A$1:$I$89,3,0)*VLOOKUP('Données projet'!$B$11,Paramètres!$A$1:$I$89,5,0)</f>
        <v>340.91478720000055</v>
      </c>
      <c r="BF120" s="14">
        <f t="shared" si="91"/>
        <v>79.68891768309399</v>
      </c>
      <c r="BG120" s="22">
        <f t="shared" si="61"/>
        <v>732.55145267138971</v>
      </c>
      <c r="BH120" s="62">
        <f t="shared" si="62"/>
        <v>1025.8847860047231</v>
      </c>
      <c r="BI120" s="62">
        <f ca="1">AVERAGE(OFFSET($BH$3,0,0,'Données projet'!$E$11+1,1))-AVERAGE(OFFSET($H$3,0,0,'Données projet'!$E$11+1,1))</f>
        <v>357.76044008074308</v>
      </c>
      <c r="BJ120" s="62">
        <f t="shared" si="92"/>
        <v>224.26555772810445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49.446820068092606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49.446820068092606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7.9920000000000018</v>
      </c>
      <c r="BY120" s="13">
        <f>IF('Données projet'!$A$114&gt;35,BY119+BX120-CG119,IF(A120&lt;'Données projet'!$A$114,$BV$205^A120,IF(A120='Données projet'!$A$114,'Données projet'!$B$114,BY119+BX120-CG119)))</f>
        <v>352.47600000000057</v>
      </c>
      <c r="BZ120" s="14">
        <f>BY120*VLOOKUP('Données projet'!$B$12,Paramètres!$A$1:$I$89,3,0)*VLOOKUP('Données projet'!$B$12,Paramètres!$A$1:$I$89,5,0)</f>
        <v>236.44090080000038</v>
      </c>
      <c r="CA120" s="14">
        <f t="shared" si="93"/>
        <v>57.673108364188977</v>
      </c>
      <c r="CB120" s="22">
        <f t="shared" si="64"/>
        <v>512.24856596096311</v>
      </c>
      <c r="CC120" s="62">
        <f t="shared" si="65"/>
        <v>805.58189929429636</v>
      </c>
      <c r="CD120" s="62">
        <f ca="1">AVERAGE(OFFSET($CC$3,0,0,'Données projet'!$E$12+1,1))-AVERAGE(OFFSET($H$3,0,0,'Données projet'!$E$12+1,1))</f>
        <v>222.86701323374945</v>
      </c>
      <c r="CE120" s="62">
        <f t="shared" si="94"/>
        <v>149.63671045240511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42.269055864659812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42.269055864659812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8.5265128291212022E-14</v>
      </c>
      <c r="CU120" s="18">
        <f>CT120*VLOOKUP('Données projet'!$B$13,Paramètres!$A$1:$I$89,3,0)*VLOOKUP('Données projet'!$B$13,Paramètres!$A$1:$I$89,5,0)</f>
        <v>5.5865712056402117E-14</v>
      </c>
      <c r="CV120" s="14">
        <f t="shared" si="95"/>
        <v>8.9811031843713517E-13</v>
      </c>
      <c r="CW120" s="22">
        <f t="shared" si="67"/>
        <v>1.6615082531095774E-12</v>
      </c>
      <c r="CX120" s="62">
        <f t="shared" si="68"/>
        <v>293.33333333333496</v>
      </c>
      <c r="CY120" s="62">
        <f ca="1">AVERAGE(OFFSET($CX$3,0,0,'Données projet'!$E$13+1,1))-AVERAGE(OFFSET($H$3,0,0,'Données projet'!$E$13+1,1))</f>
        <v>173.15672762188746</v>
      </c>
      <c r="CZ120" s="62">
        <f t="shared" si="96"/>
        <v>208.54841796921414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48.252423069265582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48.252423069265582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269.18638759204373</v>
      </c>
      <c r="EP120" s="62">
        <f t="shared" si="100"/>
        <v>197.07126167823969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97.014377162849385</v>
      </c>
      <c r="EW120" s="23">
        <f>EXP(-LN(2)/25)*EW119+(1-EXP(-LN(2)/25))/(LN(2)/25)*Calculateur!ER120*Calculateur!ET120*VLOOKUP('Données projet'!$B$15,Paramètres!$A$1:$I$89,3,0)*0.475*44/12</f>
        <v>11.311096789857041</v>
      </c>
      <c r="EX120" s="23">
        <f>EXP(-LN(2)/2)*EX119+(1-EXP(-LN(2)/2))/(LN(2)/2)*ER120*EU120*VLOOKUP('Données projet'!$B$15,Paramètres!$A$1:$I$89,3,0)*0.475*44/12</f>
        <v>8.583317197469752E-5</v>
      </c>
      <c r="EY120" s="24">
        <f t="shared" si="75"/>
        <v>108.32555978587841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1.1368683772161603E-13</v>
      </c>
      <c r="FF120" s="18">
        <f>FE120*VLOOKUP('Données projet'!$B$16,Paramètres!$A$1:$I$89,3,0)*VLOOKUP('Données projet'!$B$16,Paramètres!$A$1:$I$89,5,0)</f>
        <v>6.7984728957526396E-14</v>
      </c>
      <c r="FG120" s="14">
        <f t="shared" si="101"/>
        <v>1.0682447123141398E-12</v>
      </c>
      <c r="FH120" s="22">
        <f t="shared" si="76"/>
        <v>1.978932943548152E-12</v>
      </c>
      <c r="FI120" s="62">
        <f t="shared" si="77"/>
        <v>293.3333333333353</v>
      </c>
      <c r="FJ120" s="62">
        <f ca="1">AVERAGE(OFFSET($FI$3,0,0,'Données projet'!$E$16+1,1))-AVERAGE(OFFSET($H$3,0,0,'Données projet'!$E$16+1,1))</f>
        <v>330.48891719033065</v>
      </c>
      <c r="FK120" s="62">
        <f t="shared" si="102"/>
        <v>419.35494198427284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68.745814238571</v>
      </c>
      <c r="FR120" s="23">
        <f>EXP(-LN(2)/25)*FR119+(1-EXP(-LN(2)/25))/(LN(2)/25)*Calculateur!FM120*Calculateur!FO120*VLOOKUP('Données projet'!$B$16,Paramètres!$A$1:$I$89,3,0)*0.475*44/12</f>
        <v>7.3977106996991076</v>
      </c>
      <c r="FS120" s="23">
        <f>EXP(-LN(2)/2)*FS119+(1-EXP(-LN(2)/2))/(LN(2)/2)*FM120*FP120*VLOOKUP('Données projet'!$B$16,Paramètres!$A$1:$I$89,3,0)*0.475*44/12</f>
        <v>2.2876869907741554E-8</v>
      </c>
      <c r="FT120" s="24">
        <f t="shared" si="78"/>
        <v>76.14352496114698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>
        <f>FZ120*VLOOKUP('Données projet'!$B$17,Paramètres!$A$1:$I$89,3,0)*VLOOKUP('Données projet'!$B$17,Paramètres!$A$1:$I$89,5,0)</f>
        <v>0</v>
      </c>
      <c r="GB120" s="14" t="e">
        <f t="shared" si="103"/>
        <v>#NUM!</v>
      </c>
      <c r="GC120" s="22" t="e">
        <f t="shared" si="79"/>
        <v>#NUM!</v>
      </c>
      <c r="GD120" s="62" t="e">
        <f t="shared" si="80"/>
        <v>#NUM!</v>
      </c>
      <c r="GE120" s="62">
        <f ca="1">AVERAGE(OFFSET($GD$3,0,0,'Données projet'!$E$17+1,1))-AVERAGE(OFFSET($H$3,0,0,'Données projet'!$E$17+1,1))</f>
        <v>132.18258156780018</v>
      </c>
      <c r="GF120" s="62">
        <f t="shared" si="104"/>
        <v>315.58133946947294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7.7440466555190204</v>
      </c>
      <c r="GM120" s="23">
        <f>EXP(-LN(2)/25)*GM119+(1-EXP(-LN(2)/25))/(LN(2)/25)*Calculateur!GH120*Calculateur!GJ120*VLOOKUP('Données projet'!$B$17,Paramètres!$A$1:$I$89,3,0)*0.475*44/12</f>
        <v>1.6628937505363666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9.4069404060553872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9">
        <f t="shared" si="56"/>
        <v>488.40891455031931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7.9920000000000018</v>
      </c>
      <c r="N121" s="14">
        <f>IF('Données projet'!$A$36&gt;35,N120+M121-V120,IF(A121&lt;'Données projet'!$A$36,$K$205^A121,IF(A121='Données projet'!$A$36,'Données projet'!$B$36,N120+M121-V120)))</f>
        <v>360.46800000000059</v>
      </c>
      <c r="O121" s="14">
        <f>N121*VLOOKUP('Données projet'!$B$9,Paramètres!$A$1:$I$89,3,0)*VLOOKUP('Données projet'!$B$9,Paramètres!$A$1:$I$89,5,0)</f>
        <v>326.15144640000051</v>
      </c>
      <c r="P121" s="14">
        <f t="shared" si="87"/>
        <v>76.631859883081802</v>
      </c>
      <c r="Q121" s="22">
        <f t="shared" si="107"/>
        <v>701.51425844303503</v>
      </c>
      <c r="R121" s="62">
        <f t="shared" si="55"/>
        <v>994.84759177636829</v>
      </c>
      <c r="S121" s="62">
        <f ca="1">AVERAGE(OFFSET($R$3,0,0,'Données projet'!$E$9+1,1))-AVERAGE(OFFSET($H$3,0,0,'Données projet'!$E$9+1,1))</f>
        <v>401.86262166363821</v>
      </c>
      <c r="T121" s="62">
        <f t="shared" si="88"/>
        <v>208.60314230781432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45.349636919291832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45.349636919291832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7.9920000000000018</v>
      </c>
      <c r="AI121" s="14">
        <f>IF('Données projet'!$A$62&gt;35,AI120+AH121-AQ120,IF(A121&lt;'Données projet'!$A$62,$AF$205^A121,IF(A121='Données projet'!$A$62,'Données projet'!$B$62,AI120+AH121-AQ120)))</f>
        <v>360.46800000000059</v>
      </c>
      <c r="AJ121" s="14">
        <f>AI121*VLOOKUP('Données projet'!$B$10,Paramètres!$A$1:$I$89,3,0)*VLOOKUP('Données projet'!$B$10,Paramètres!$A$1:$I$89,5,0)</f>
        <v>388.00775520000059</v>
      </c>
      <c r="AK121" s="14">
        <f t="shared" si="89"/>
        <v>89.341131324900545</v>
      </c>
      <c r="AL121" s="22">
        <f t="shared" si="58"/>
        <v>831.38264403086941</v>
      </c>
      <c r="AM121" s="62">
        <f t="shared" si="59"/>
        <v>1124.7159773642027</v>
      </c>
      <c r="AN121" s="62">
        <f ca="1">AVERAGE(OFFSET($AM$3,0,0,'Données projet'!$E$10+1,1))-AVERAGE(OFFSET($H$3,0,0,'Données projet'!$E$10+1,1))</f>
        <v>407.22515465568205</v>
      </c>
      <c r="AO121" s="62">
        <f t="shared" si="90"/>
        <v>251.6218558398258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53.950430128123031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53.950430128123031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7.9920000000000018</v>
      </c>
      <c r="BD121" s="13">
        <f>IF('Données projet'!$A$88&gt;35,BD120+BC121-BL120,IF(A121&lt;'Données projet'!$A$88,$BA$205^A121,IF(A121='Données projet'!$A$88,'Données projet'!$B$88,BD120+BC121-BL120)))</f>
        <v>360.46800000000059</v>
      </c>
      <c r="BE121" s="14">
        <f>BD121*VLOOKUP('Données projet'!$B$11,Paramètres!$A$1:$I$89,3,0)*VLOOKUP('Données projet'!$B$11,Paramètres!$A$1:$I$89,5,0)</f>
        <v>348.64464960000061</v>
      </c>
      <c r="BF121" s="14">
        <f t="shared" si="91"/>
        <v>81.283367525926224</v>
      </c>
      <c r="BG121" s="22">
        <f t="shared" si="61"/>
        <v>748.79129649432252</v>
      </c>
      <c r="BH121" s="62">
        <f t="shared" si="62"/>
        <v>1042.1246298276558</v>
      </c>
      <c r="BI121" s="62">
        <f ca="1">AVERAGE(OFFSET($BH$3,0,0,'Données projet'!$E$11+1,1))-AVERAGE(OFFSET($H$3,0,0,'Données projet'!$E$11+1,1))</f>
        <v>357.76044008074308</v>
      </c>
      <c r="BJ121" s="62">
        <f t="shared" si="92"/>
        <v>224.26555772810445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48.477198086139538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48.477198086139538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7.9920000000000018</v>
      </c>
      <c r="BY121" s="13">
        <f>IF('Données projet'!$A$114&gt;35,BY120+BX121-CG120,IF(A121&lt;'Données projet'!$A$114,$BV$205^A121,IF(A121='Données projet'!$A$114,'Données projet'!$B$114,BY120+BX121-CG120)))</f>
        <v>360.46800000000059</v>
      </c>
      <c r="BZ121" s="14">
        <f>BY121*VLOOKUP('Données projet'!$B$12,Paramètres!$A$1:$I$89,3,0)*VLOOKUP('Données projet'!$B$12,Paramètres!$A$1:$I$89,5,0)</f>
        <v>241.80193440000039</v>
      </c>
      <c r="CA121" s="14">
        <f t="shared" si="93"/>
        <v>58.827056507048894</v>
      </c>
      <c r="CB121" s="22">
        <f t="shared" si="64"/>
        <v>523.59549249644408</v>
      </c>
      <c r="CC121" s="62">
        <f t="shared" si="65"/>
        <v>816.92882582977745</v>
      </c>
      <c r="CD121" s="62">
        <f ca="1">AVERAGE(OFFSET($CC$3,0,0,'Données projet'!$E$12+1,1))-AVERAGE(OFFSET($H$3,0,0,'Données projet'!$E$12+1,1))</f>
        <v>222.86701323374945</v>
      </c>
      <c r="CE121" s="62">
        <f t="shared" si="94"/>
        <v>149.63671045240511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41.440185460732188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41.440185460732188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8.5265128291212022E-14</v>
      </c>
      <c r="CU121" s="18">
        <f>CT121*VLOOKUP('Données projet'!$B$13,Paramètres!$A$1:$I$89,3,0)*VLOOKUP('Données projet'!$B$13,Paramètres!$A$1:$I$89,5,0)</f>
        <v>5.5865712056402117E-14</v>
      </c>
      <c r="CV121" s="14">
        <f t="shared" si="95"/>
        <v>8.9811031843713517E-13</v>
      </c>
      <c r="CW121" s="22">
        <f t="shared" si="67"/>
        <v>1.6615082531095774E-12</v>
      </c>
      <c r="CX121" s="62">
        <f t="shared" si="68"/>
        <v>293.33333333333496</v>
      </c>
      <c r="CY121" s="62">
        <f ca="1">AVERAGE(OFFSET($CX$3,0,0,'Données projet'!$E$13+1,1))-AVERAGE(OFFSET($H$3,0,0,'Données projet'!$E$13+1,1))</f>
        <v>173.15672762188746</v>
      </c>
      <c r="CZ121" s="62">
        <f t="shared" si="96"/>
        <v>208.54841796921414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47.306222483949277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47.306222483949277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269.18638759204373</v>
      </c>
      <c r="EP121" s="62">
        <f t="shared" si="100"/>
        <v>197.07126167823969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95.111984399613135</v>
      </c>
      <c r="EW121" s="23">
        <f>EXP(-LN(2)/25)*EW120+(1-EXP(-LN(2)/25))/(LN(2)/25)*Calculateur!ER121*Calculateur!ET121*VLOOKUP('Données projet'!$B$15,Paramètres!$A$1:$I$89,3,0)*0.475*44/12</f>
        <v>11.001794253313673</v>
      </c>
      <c r="EX121" s="23">
        <f>EXP(-LN(2)/2)*EX120+(1-EXP(-LN(2)/2))/(LN(2)/2)*ER121*EU121*VLOOKUP('Données projet'!$B$15,Paramètres!$A$1:$I$89,3,0)*0.475*44/12</f>
        <v>6.0693217954059745E-5</v>
      </c>
      <c r="EY121" s="24">
        <f t="shared" si="75"/>
        <v>106.11383934614477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1.1368683772161603E-13</v>
      </c>
      <c r="FF121" s="18">
        <f>FE121*VLOOKUP('Données projet'!$B$16,Paramètres!$A$1:$I$89,3,0)*VLOOKUP('Données projet'!$B$16,Paramètres!$A$1:$I$89,5,0)</f>
        <v>6.7984728957526396E-14</v>
      </c>
      <c r="FG121" s="14">
        <f t="shared" si="101"/>
        <v>1.0682447123141398E-12</v>
      </c>
      <c r="FH121" s="22">
        <f t="shared" si="76"/>
        <v>1.978932943548152E-12</v>
      </c>
      <c r="FI121" s="62">
        <f t="shared" si="77"/>
        <v>293.3333333333353</v>
      </c>
      <c r="FJ121" s="62">
        <f ca="1">AVERAGE(OFFSET($FI$3,0,0,'Données projet'!$E$16+1,1))-AVERAGE(OFFSET($H$3,0,0,'Données projet'!$E$16+1,1))</f>
        <v>330.48891719033065</v>
      </c>
      <c r="FK121" s="62">
        <f t="shared" si="102"/>
        <v>419.35494198427284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67.397750752158984</v>
      </c>
      <c r="FR121" s="23">
        <f>EXP(-LN(2)/25)*FR120+(1-EXP(-LN(2)/25))/(LN(2)/25)*Calculateur!FM121*Calculateur!FO121*VLOOKUP('Données projet'!$B$16,Paramètres!$A$1:$I$89,3,0)*0.475*44/12</f>
        <v>7.1954199115871376</v>
      </c>
      <c r="FS121" s="23">
        <f>EXP(-LN(2)/2)*FS120+(1-EXP(-LN(2)/2))/(LN(2)/2)*FM121*FP121*VLOOKUP('Données projet'!$B$16,Paramètres!$A$1:$I$89,3,0)*0.475*44/12</f>
        <v>1.617638984408652E-8</v>
      </c>
      <c r="FT121" s="24">
        <f t="shared" si="78"/>
        <v>74.593170679922508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>
        <f>FZ121*VLOOKUP('Données projet'!$B$17,Paramètres!$A$1:$I$89,3,0)*VLOOKUP('Données projet'!$B$17,Paramètres!$A$1:$I$89,5,0)</f>
        <v>0</v>
      </c>
      <c r="GB121" s="14" t="e">
        <f t="shared" si="103"/>
        <v>#NUM!</v>
      </c>
      <c r="GC121" s="22" t="e">
        <f t="shared" si="79"/>
        <v>#NUM!</v>
      </c>
      <c r="GD121" s="62" t="e">
        <f t="shared" si="80"/>
        <v>#NUM!</v>
      </c>
      <c r="GE121" s="62">
        <f ca="1">AVERAGE(OFFSET($GD$3,0,0,'Données projet'!$E$17+1,1))-AVERAGE(OFFSET($H$3,0,0,'Données projet'!$E$17+1,1))</f>
        <v>132.18258156780018</v>
      </c>
      <c r="GF121" s="62">
        <f t="shared" si="104"/>
        <v>315.58133946947294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7.5921906240063555</v>
      </c>
      <c r="GM121" s="23">
        <f>EXP(-LN(2)/25)*GM120+(1-EXP(-LN(2)/25))/(LN(2)/25)*Calculateur!GH121*Calculateur!GJ121*VLOOKUP('Données projet'!$B$17,Paramètres!$A$1:$I$89,3,0)*0.475*44/12</f>
        <v>1.6174218334801678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9.2096124574865232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9">
        <f t="shared" si="56"/>
        <v>490.32431904927057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7.9920000000000018</v>
      </c>
      <c r="N122" s="14">
        <f>IF('Données projet'!$A$36&gt;35,N121+M122-V121,IF(A122&lt;'Données projet'!$A$36,$K$205^A122,IF(A122='Données projet'!$A$36,'Données projet'!$B$36,N121+M122-V121)))</f>
        <v>368.4600000000006</v>
      </c>
      <c r="O122" s="14">
        <f>N122*VLOOKUP('Données projet'!$B$9,Paramètres!$A$1:$I$89,3,0)*VLOOKUP('Données projet'!$B$9,Paramètres!$A$1:$I$89,5,0)</f>
        <v>333.38260800000052</v>
      </c>
      <c r="P122" s="14">
        <f t="shared" si="87"/>
        <v>78.13119132485231</v>
      </c>
      <c r="Q122" s="22">
        <f t="shared" si="107"/>
        <v>716.71986715745197</v>
      </c>
      <c r="R122" s="62">
        <f t="shared" si="55"/>
        <v>1010.0532004907852</v>
      </c>
      <c r="S122" s="62">
        <f ca="1">AVERAGE(OFFSET($R$3,0,0,'Données projet'!$E$9+1,1))-AVERAGE(OFFSET($H$3,0,0,'Données projet'!$E$9+1,1))</f>
        <v>401.86262166363821</v>
      </c>
      <c r="T122" s="62">
        <f t="shared" si="88"/>
        <v>208.60314230781432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44.46035819985179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44.46035819985179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7.9920000000000018</v>
      </c>
      <c r="AI122" s="14">
        <f>IF('Données projet'!$A$62&gt;35,AI121+AH122-AQ121,IF(A122&lt;'Données projet'!$A$62,$AF$205^A122,IF(A122='Données projet'!$A$62,'Données projet'!$B$62,AI121+AH122-AQ121)))</f>
        <v>368.4600000000006</v>
      </c>
      <c r="AJ122" s="14">
        <f>AI122*VLOOKUP('Données projet'!$B$10,Paramètres!$A$1:$I$89,3,0)*VLOOKUP('Données projet'!$B$10,Paramètres!$A$1:$I$89,5,0)</f>
        <v>396.61034400000062</v>
      </c>
      <c r="AK122" s="14">
        <f t="shared" si="89"/>
        <v>91.089124489142378</v>
      </c>
      <c r="AL122" s="22">
        <f t="shared" si="58"/>
        <v>849.40990761859075</v>
      </c>
      <c r="AM122" s="62">
        <f t="shared" si="59"/>
        <v>1142.743240951924</v>
      </c>
      <c r="AN122" s="62">
        <f ca="1">AVERAGE(OFFSET($AM$3,0,0,'Données projet'!$E$10+1,1))-AVERAGE(OFFSET($H$3,0,0,'Données projet'!$E$10+1,1))</f>
        <v>407.22515465568205</v>
      </c>
      <c r="AO122" s="62">
        <f t="shared" si="90"/>
        <v>251.6218558398258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52.89249509982367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52.89249509982367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7.9920000000000018</v>
      </c>
      <c r="BD122" s="13">
        <f>IF('Données projet'!$A$88&gt;35,BD121+BC122-BL121,IF(A122&lt;'Données projet'!$A$88,$BA$205^A122,IF(A122='Données projet'!$A$88,'Données projet'!$B$88,BD121+BC122-BL121)))</f>
        <v>368.4600000000006</v>
      </c>
      <c r="BE122" s="14">
        <f>BD122*VLOOKUP('Données projet'!$B$11,Paramètres!$A$1:$I$89,3,0)*VLOOKUP('Données projet'!$B$11,Paramètres!$A$1:$I$89,5,0)</f>
        <v>356.37451200000061</v>
      </c>
      <c r="BF122" s="14">
        <f t="shared" si="91"/>
        <v>82.873707481273101</v>
      </c>
      <c r="BG122" s="22">
        <f t="shared" si="61"/>
        <v>765.02398226321839</v>
      </c>
      <c r="BH122" s="62">
        <f t="shared" si="62"/>
        <v>1058.3573155965516</v>
      </c>
      <c r="BI122" s="62">
        <f ca="1">AVERAGE(OFFSET($BH$3,0,0,'Données projet'!$E$11+1,1))-AVERAGE(OFFSET($H$3,0,0,'Données projet'!$E$11+1,1))</f>
        <v>357.76044008074308</v>
      </c>
      <c r="BJ122" s="62">
        <f t="shared" si="92"/>
        <v>224.26555772810445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47.52658979984156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47.52658979984156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7.9920000000000018</v>
      </c>
      <c r="BY122" s="13">
        <f>IF('Données projet'!$A$114&gt;35,BY121+BX122-CG121,IF(A122&lt;'Données projet'!$A$114,$BV$205^A122,IF(A122='Données projet'!$A$114,'Données projet'!$B$114,BY121+BX122-CG121)))</f>
        <v>368.4600000000006</v>
      </c>
      <c r="BZ122" s="14">
        <f>BY122*VLOOKUP('Données projet'!$B$12,Paramètres!$A$1:$I$89,3,0)*VLOOKUP('Données projet'!$B$12,Paramètres!$A$1:$I$89,5,0)</f>
        <v>247.16296800000043</v>
      </c>
      <c r="CA122" s="14">
        <f t="shared" si="93"/>
        <v>59.978030208879936</v>
      </c>
      <c r="CB122" s="22">
        <f t="shared" si="64"/>
        <v>534.93723854713335</v>
      </c>
      <c r="CC122" s="62">
        <f t="shared" si="65"/>
        <v>828.2705718804666</v>
      </c>
      <c r="CD122" s="62">
        <f ca="1">AVERAGE(OFFSET($CC$3,0,0,'Données projet'!$E$12+1,1))-AVERAGE(OFFSET($H$3,0,0,'Données projet'!$E$12+1,1))</f>
        <v>222.86701323374945</v>
      </c>
      <c r="CE122" s="62">
        <f t="shared" si="94"/>
        <v>149.63671045240511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40.627568699864561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40.627568699864561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8.5265128291212022E-14</v>
      </c>
      <c r="CU122" s="18">
        <f>CT122*VLOOKUP('Données projet'!$B$13,Paramètres!$A$1:$I$89,3,0)*VLOOKUP('Données projet'!$B$13,Paramètres!$A$1:$I$89,5,0)</f>
        <v>5.5865712056402117E-14</v>
      </c>
      <c r="CV122" s="14">
        <f t="shared" si="95"/>
        <v>8.9811031843713517E-13</v>
      </c>
      <c r="CW122" s="22">
        <f t="shared" si="67"/>
        <v>1.6615082531095774E-12</v>
      </c>
      <c r="CX122" s="62">
        <f t="shared" si="68"/>
        <v>293.33333333333496</v>
      </c>
      <c r="CY122" s="62">
        <f ca="1">AVERAGE(OFFSET($CX$3,0,0,'Données projet'!$E$13+1,1))-AVERAGE(OFFSET($H$3,0,0,'Données projet'!$E$13+1,1))</f>
        <v>173.15672762188746</v>
      </c>
      <c r="CZ122" s="62">
        <f t="shared" si="96"/>
        <v>208.54841796921414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46.378576314985658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46.378576314985658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269.18638759204373</v>
      </c>
      <c r="EP122" s="62">
        <f t="shared" si="100"/>
        <v>197.07126167823969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93.246896398118935</v>
      </c>
      <c r="EW122" s="23">
        <f>EXP(-LN(2)/25)*EW121+(1-EXP(-LN(2)/25))/(LN(2)/25)*Calculateur!ER122*Calculateur!ET122*VLOOKUP('Données projet'!$B$15,Paramètres!$A$1:$I$89,3,0)*0.475*44/12</f>
        <v>10.700949610897595</v>
      </c>
      <c r="EX122" s="23">
        <f>EXP(-LN(2)/2)*EX121+(1-EXP(-LN(2)/2))/(LN(2)/2)*ER122*EU122*VLOOKUP('Données projet'!$B$15,Paramètres!$A$1:$I$89,3,0)*0.475*44/12</f>
        <v>4.2916585987348767E-5</v>
      </c>
      <c r="EY122" s="24">
        <f t="shared" si="75"/>
        <v>103.94788892560251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1.1368683772161603E-13</v>
      </c>
      <c r="FF122" s="18">
        <f>FE122*VLOOKUP('Données projet'!$B$16,Paramètres!$A$1:$I$89,3,0)*VLOOKUP('Données projet'!$B$16,Paramètres!$A$1:$I$89,5,0)</f>
        <v>6.7984728957526396E-14</v>
      </c>
      <c r="FG122" s="14">
        <f t="shared" si="101"/>
        <v>1.0682447123141398E-12</v>
      </c>
      <c r="FH122" s="22">
        <f t="shared" si="76"/>
        <v>1.978932943548152E-12</v>
      </c>
      <c r="FI122" s="62">
        <f t="shared" si="77"/>
        <v>293.3333333333353</v>
      </c>
      <c r="FJ122" s="62">
        <f ca="1">AVERAGE(OFFSET($FI$3,0,0,'Données projet'!$E$16+1,1))-AVERAGE(OFFSET($H$3,0,0,'Données projet'!$E$16+1,1))</f>
        <v>330.48891719033065</v>
      </c>
      <c r="FK122" s="62">
        <f t="shared" si="102"/>
        <v>419.35494198427284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66.076121968477977</v>
      </c>
      <c r="FR122" s="23">
        <f>EXP(-LN(2)/25)*FR121+(1-EXP(-LN(2)/25))/(LN(2)/25)*Calculateur!FM122*Calculateur!FO122*VLOOKUP('Données projet'!$B$16,Paramètres!$A$1:$I$89,3,0)*0.475*44/12</f>
        <v>6.9986607757140993</v>
      </c>
      <c r="FS122" s="23">
        <f>EXP(-LN(2)/2)*FS121+(1-EXP(-LN(2)/2))/(LN(2)/2)*FM122*FP122*VLOOKUP('Données projet'!$B$16,Paramètres!$A$1:$I$89,3,0)*0.475*44/12</f>
        <v>1.1438434953870777E-8</v>
      </c>
      <c r="FT122" s="24">
        <f t="shared" si="78"/>
        <v>73.074782755630508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>
        <f>FZ122*VLOOKUP('Données projet'!$B$17,Paramètres!$A$1:$I$89,3,0)*VLOOKUP('Données projet'!$B$17,Paramètres!$A$1:$I$89,5,0)</f>
        <v>0</v>
      </c>
      <c r="GB122" s="14" t="e">
        <f t="shared" si="103"/>
        <v>#NUM!</v>
      </c>
      <c r="GC122" s="22" t="e">
        <f t="shared" si="79"/>
        <v>#NUM!</v>
      </c>
      <c r="GD122" s="62" t="e">
        <f t="shared" si="80"/>
        <v>#NUM!</v>
      </c>
      <c r="GE122" s="62">
        <f ca="1">AVERAGE(OFFSET($GD$3,0,0,'Données projet'!$E$17+1,1))-AVERAGE(OFFSET($H$3,0,0,'Données projet'!$E$17+1,1))</f>
        <v>132.18258156780018</v>
      </c>
      <c r="GF122" s="62">
        <f t="shared" si="104"/>
        <v>315.58133946947294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7.4433123966486203</v>
      </c>
      <c r="GM122" s="23">
        <f>EXP(-LN(2)/25)*GM121+(1-EXP(-LN(2)/25))/(LN(2)/25)*Calculateur!GH122*Calculateur!GJ122*VLOOKUP('Données projet'!$B$17,Paramètres!$A$1:$I$89,3,0)*0.475*44/12</f>
        <v>1.573193348387135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9.0165057450357544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9">
        <f t="shared" si="56"/>
        <v>492.23936501688451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7.9920000000000018</v>
      </c>
      <c r="N123" s="14">
        <f>IF('Données projet'!$A$36&gt;35,N122+M123-V122,IF(A123&lt;'Données projet'!$A$36,$K$205^A123,IF(A123='Données projet'!$A$36,'Données projet'!$B$36,N122+M123-V122)))</f>
        <v>376.45200000000062</v>
      </c>
      <c r="O123" s="14">
        <f>N123*VLOOKUP('Données projet'!$B$9,Paramètres!$A$1:$I$89,3,0)*VLOOKUP('Données projet'!$B$9,Paramètres!$A$1:$I$89,5,0)</f>
        <v>340.61376960000058</v>
      </c>
      <c r="P123" s="14">
        <f t="shared" si="87"/>
        <v>79.626741793195919</v>
      </c>
      <c r="Q123" s="22">
        <f t="shared" si="107"/>
        <v>731.9188906764839</v>
      </c>
      <c r="R123" s="62">
        <f t="shared" si="55"/>
        <v>1025.2522240098172</v>
      </c>
      <c r="S123" s="62">
        <f ca="1">AVERAGE(OFFSET($R$3,0,0,'Données projet'!$E$9+1,1))-AVERAGE(OFFSET($H$3,0,0,'Données projet'!$E$9+1,1))</f>
        <v>401.86262166363821</v>
      </c>
      <c r="T123" s="62">
        <f t="shared" si="88"/>
        <v>208.60314230781432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43.588517693693504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43.588517693693504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7.9920000000000018</v>
      </c>
      <c r="AI123" s="14">
        <f>IF('Données projet'!$A$62&gt;35,AI122+AH123-AQ122,IF(A123&lt;'Données projet'!$A$62,$AF$205^A123,IF(A123='Données projet'!$A$62,'Données projet'!$B$62,AI122+AH123-AQ122)))</f>
        <v>376.45200000000062</v>
      </c>
      <c r="AJ123" s="14">
        <f>AI123*VLOOKUP('Données projet'!$B$10,Paramètres!$A$1:$I$89,3,0)*VLOOKUP('Données projet'!$B$10,Paramètres!$A$1:$I$89,5,0)</f>
        <v>405.21293280000066</v>
      </c>
      <c r="AK123" s="14">
        <f t="shared" si="89"/>
        <v>92.832709611559608</v>
      </c>
      <c r="AL123" s="22">
        <f t="shared" si="58"/>
        <v>867.42949386680073</v>
      </c>
      <c r="AM123" s="62">
        <f t="shared" si="59"/>
        <v>1160.7628272001341</v>
      </c>
      <c r="AN123" s="62">
        <f ca="1">AVERAGE(OFFSET($AM$3,0,0,'Données projet'!$E$10+1,1))-AVERAGE(OFFSET($H$3,0,0,'Données projet'!$E$10+1,1))</f>
        <v>407.22515465568205</v>
      </c>
      <c r="AO123" s="62">
        <f t="shared" si="90"/>
        <v>251.6218558398258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51.855305532152606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51.855305532152606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7.9920000000000018</v>
      </c>
      <c r="BD123" s="13">
        <f>IF('Données projet'!$A$88&gt;35,BD122+BC123-BL122,IF(A123&lt;'Données projet'!$A$88,$BA$205^A123,IF(A123='Données projet'!$A$88,'Données projet'!$B$88,BD122+BC123-BL122)))</f>
        <v>376.45200000000062</v>
      </c>
      <c r="BE123" s="14">
        <f>BD123*VLOOKUP('Données projet'!$B$11,Paramètres!$A$1:$I$89,3,0)*VLOOKUP('Données projet'!$B$11,Paramètres!$A$1:$I$89,5,0)</f>
        <v>364.10437440000061</v>
      </c>
      <c r="BF123" s="14">
        <f t="shared" si="91"/>
        <v>84.460036960388123</v>
      </c>
      <c r="BG123" s="22">
        <f t="shared" si="61"/>
        <v>781.24968311934356</v>
      </c>
      <c r="BH123" s="62">
        <f t="shared" si="62"/>
        <v>1074.5830164526769</v>
      </c>
      <c r="BI123" s="62">
        <f ca="1">AVERAGE(OFFSET($BH$3,0,0,'Données projet'!$E$11+1,1))-AVERAGE(OFFSET($H$3,0,0,'Données projet'!$E$11+1,1))</f>
        <v>357.76044008074308</v>
      </c>
      <c r="BJ123" s="62">
        <f t="shared" si="92"/>
        <v>224.26555772810445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46.594622362224079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46.594622362224079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7.9920000000000018</v>
      </c>
      <c r="BY123" s="13">
        <f>IF('Données projet'!$A$114&gt;35,BY122+BX123-CG122,IF(A123&lt;'Données projet'!$A$114,$BV$205^A123,IF(A123='Données projet'!$A$114,'Données projet'!$B$114,BY122+BX123-CG122)))</f>
        <v>376.45200000000062</v>
      </c>
      <c r="BZ123" s="14">
        <f>BY123*VLOOKUP('Données projet'!$B$12,Paramètres!$A$1:$I$89,3,0)*VLOOKUP('Données projet'!$B$12,Paramètres!$A$1:$I$89,5,0)</f>
        <v>252.52400160000039</v>
      </c>
      <c r="CA123" s="14">
        <f t="shared" si="93"/>
        <v>61.126101416398889</v>
      </c>
      <c r="CB123" s="22">
        <f t="shared" si="64"/>
        <v>546.27392942022868</v>
      </c>
      <c r="CC123" s="62">
        <f t="shared" si="65"/>
        <v>839.60726275356205</v>
      </c>
      <c r="CD123" s="62">
        <f ca="1">AVERAGE(OFFSET($CC$3,0,0,'Données projet'!$E$12+1,1))-AVERAGE(OFFSET($H$3,0,0,'Données projet'!$E$12+1,1))</f>
        <v>222.86701323374945</v>
      </c>
      <c r="CE123" s="62">
        <f t="shared" si="94"/>
        <v>149.63671045240511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39.830886858030269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39.830886858030269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8.5265128291212022E-14</v>
      </c>
      <c r="CU123" s="18">
        <f>CT123*VLOOKUP('Données projet'!$B$13,Paramètres!$A$1:$I$89,3,0)*VLOOKUP('Données projet'!$B$13,Paramètres!$A$1:$I$89,5,0)</f>
        <v>5.5865712056402117E-14</v>
      </c>
      <c r="CV123" s="14">
        <f t="shared" si="95"/>
        <v>8.9811031843713517E-13</v>
      </c>
      <c r="CW123" s="22">
        <f t="shared" si="67"/>
        <v>1.6615082531095774E-12</v>
      </c>
      <c r="CX123" s="62">
        <f t="shared" si="68"/>
        <v>293.33333333333496</v>
      </c>
      <c r="CY123" s="62">
        <f ca="1">AVERAGE(OFFSET($CX$3,0,0,'Données projet'!$E$13+1,1))-AVERAGE(OFFSET($H$3,0,0,'Données projet'!$E$13+1,1))</f>
        <v>173.15672762188746</v>
      </c>
      <c r="CZ123" s="62">
        <f t="shared" si="96"/>
        <v>208.54841796921414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45.469120721587117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45.469120721587117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269.18638759204373</v>
      </c>
      <c r="EP123" s="62">
        <f t="shared" si="100"/>
        <v>197.07126167823969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91.418381634742687</v>
      </c>
      <c r="EW123" s="23">
        <f>EXP(-LN(2)/25)*EW122+(1-EXP(-LN(2)/25))/(LN(2)/25)*Calculateur!ER123*Calculateur!ET123*VLOOKUP('Données projet'!$B$15,Paramètres!$A$1:$I$89,3,0)*0.475*44/12</f>
        <v>10.408331581049119</v>
      </c>
      <c r="EX123" s="23">
        <f>EXP(-LN(2)/2)*EX122+(1-EXP(-LN(2)/2))/(LN(2)/2)*ER123*EU123*VLOOKUP('Données projet'!$B$15,Paramètres!$A$1:$I$89,3,0)*0.475*44/12</f>
        <v>3.0346608977029879E-5</v>
      </c>
      <c r="EY123" s="24">
        <f t="shared" si="75"/>
        <v>101.82674356240079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1.1368683772161603E-13</v>
      </c>
      <c r="FF123" s="18">
        <f>FE123*VLOOKUP('Données projet'!$B$16,Paramètres!$A$1:$I$89,3,0)*VLOOKUP('Données projet'!$B$16,Paramètres!$A$1:$I$89,5,0)</f>
        <v>6.7984728957526396E-14</v>
      </c>
      <c r="FG123" s="14">
        <f t="shared" si="101"/>
        <v>1.0682447123141398E-12</v>
      </c>
      <c r="FH123" s="22">
        <f t="shared" si="76"/>
        <v>1.978932943548152E-12</v>
      </c>
      <c r="FI123" s="62">
        <f t="shared" si="77"/>
        <v>293.3333333333353</v>
      </c>
      <c r="FJ123" s="62">
        <f ca="1">AVERAGE(OFFSET($FI$3,0,0,'Données projet'!$E$16+1,1))-AVERAGE(OFFSET($H$3,0,0,'Données projet'!$E$16+1,1))</f>
        <v>330.48891719033065</v>
      </c>
      <c r="FK123" s="62">
        <f t="shared" si="102"/>
        <v>419.35494198427284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64.780409519130984</v>
      </c>
      <c r="FR123" s="23">
        <f>EXP(-LN(2)/25)*FR122+(1-EXP(-LN(2)/25))/(LN(2)/25)*Calculateur!FM123*Calculateur!FO123*VLOOKUP('Données projet'!$B$16,Paramètres!$A$1:$I$89,3,0)*0.475*44/12</f>
        <v>6.8072820287586229</v>
      </c>
      <c r="FS123" s="23">
        <f>EXP(-LN(2)/2)*FS122+(1-EXP(-LN(2)/2))/(LN(2)/2)*FM123*FP123*VLOOKUP('Données projet'!$B$16,Paramètres!$A$1:$I$89,3,0)*0.475*44/12</f>
        <v>8.0881949220432601E-9</v>
      </c>
      <c r="FT123" s="24">
        <f t="shared" si="78"/>
        <v>71.587691555977798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>
        <f>FZ123*VLOOKUP('Données projet'!$B$17,Paramètres!$A$1:$I$89,3,0)*VLOOKUP('Données projet'!$B$17,Paramètres!$A$1:$I$89,5,0)</f>
        <v>0</v>
      </c>
      <c r="GB123" s="14" t="e">
        <f t="shared" si="103"/>
        <v>#NUM!</v>
      </c>
      <c r="GC123" s="22" t="e">
        <f t="shared" si="79"/>
        <v>#NUM!</v>
      </c>
      <c r="GD123" s="62" t="e">
        <f t="shared" si="80"/>
        <v>#NUM!</v>
      </c>
      <c r="GE123" s="62">
        <f ca="1">AVERAGE(OFFSET($GD$3,0,0,'Données projet'!$E$17+1,1))-AVERAGE(OFFSET($H$3,0,0,'Données projet'!$E$17+1,1))</f>
        <v>132.18258156780018</v>
      </c>
      <c r="GF123" s="62">
        <f t="shared" si="104"/>
        <v>315.58133946947294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7.2973535805226177</v>
      </c>
      <c r="GM123" s="23">
        <f>EXP(-LN(2)/25)*GM122+(1-EXP(-LN(2)/25))/(LN(2)/25)*Calculateur!GH123*Calculateur!GJ123*VLOOKUP('Données projet'!$B$17,Paramètres!$A$1:$I$89,3,0)*0.475*44/12</f>
        <v>1.5301742935448461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8.8275278740674636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9">
        <f t="shared" si="56"/>
        <v>494.15405578715797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7.9920000000000018</v>
      </c>
      <c r="N124" s="14">
        <f>IF('Données projet'!$A$36&gt;35,N123+M124-V123,IF(A124&lt;'Données projet'!$A$36,$K$205^A124,IF(A124='Données projet'!$A$36,'Données projet'!$B$36,N123+M124-V123)))</f>
        <v>384.44400000000064</v>
      </c>
      <c r="O124" s="14">
        <f>N124*VLOOKUP('Données projet'!$B$9,Paramètres!$A$1:$I$89,3,0)*VLOOKUP('Données projet'!$B$9,Paramètres!$A$1:$I$89,5,0)</f>
        <v>347.84493120000059</v>
      </c>
      <c r="P124" s="14">
        <f t="shared" si="87"/>
        <v>81.11860080370937</v>
      </c>
      <c r="Q124" s="22">
        <f t="shared" si="107"/>
        <v>747.11148490646144</v>
      </c>
      <c r="R124" s="62">
        <f t="shared" si="55"/>
        <v>1040.4448182397948</v>
      </c>
      <c r="S124" s="62">
        <f ca="1">AVERAGE(OFFSET($R$3,0,0,'Données projet'!$E$9+1,1))-AVERAGE(OFFSET($H$3,0,0,'Données projet'!$E$9+1,1))</f>
        <v>401.86262166363821</v>
      </c>
      <c r="T124" s="62">
        <f t="shared" si="88"/>
        <v>208.60314230781432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42.73377344809078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42.73377344809078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7.9920000000000018</v>
      </c>
      <c r="AI124" s="14">
        <f>IF('Données projet'!$A$62&gt;35,AI123+AH124-AQ123,IF(A124&lt;'Données projet'!$A$62,$AF$205^A124,IF(A124='Données projet'!$A$62,'Données projet'!$B$62,AI123+AH124-AQ123)))</f>
        <v>384.44400000000064</v>
      </c>
      <c r="AJ124" s="14">
        <f>AI124*VLOOKUP('Données projet'!$B$10,Paramètres!$A$1:$I$89,3,0)*VLOOKUP('Données projet'!$B$10,Paramètres!$A$1:$I$89,5,0)</f>
        <v>413.81552160000069</v>
      </c>
      <c r="AK124" s="14">
        <f t="shared" si="89"/>
        <v>94.571991053767576</v>
      </c>
      <c r="AL124" s="22">
        <f t="shared" si="58"/>
        <v>885.44158453864645</v>
      </c>
      <c r="AM124" s="62">
        <f t="shared" si="59"/>
        <v>1178.7749178719798</v>
      </c>
      <c r="AN124" s="62">
        <f ca="1">AVERAGE(OFFSET($AM$3,0,0,'Données projet'!$E$10+1,1))-AVERAGE(OFFSET($H$3,0,0,'Données projet'!$E$10+1,1))</f>
        <v>407.22515465568205</v>
      </c>
      <c r="AO124" s="62">
        <f t="shared" si="90"/>
        <v>251.6218558398258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50.838454619280405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50.838454619280405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7.9920000000000018</v>
      </c>
      <c r="BD124" s="13">
        <f>IF('Données projet'!$A$88&gt;35,BD123+BC124-BL123,IF(A124&lt;'Données projet'!$A$88,$BA$205^A124,IF(A124='Données projet'!$A$88,'Données projet'!$B$88,BD123+BC124-BL123)))</f>
        <v>384.44400000000064</v>
      </c>
      <c r="BE124" s="14">
        <f>BD124*VLOOKUP('Données projet'!$B$11,Paramètres!$A$1:$I$89,3,0)*VLOOKUP('Données projet'!$B$11,Paramètres!$A$1:$I$89,5,0)</f>
        <v>371.83423680000061</v>
      </c>
      <c r="BF124" s="14">
        <f t="shared" si="91"/>
        <v>86.042450912410658</v>
      </c>
      <c r="BG124" s="22">
        <f t="shared" si="61"/>
        <v>797.46856443244951</v>
      </c>
      <c r="BH124" s="62">
        <f t="shared" si="62"/>
        <v>1090.8018977657828</v>
      </c>
      <c r="BI124" s="62">
        <f ca="1">AVERAGE(OFFSET($BH$3,0,0,'Données projet'!$E$11+1,1))-AVERAGE(OFFSET($H$3,0,0,'Données projet'!$E$11+1,1))</f>
        <v>357.76044008074308</v>
      </c>
      <c r="BJ124" s="62">
        <f t="shared" si="92"/>
        <v>224.26555772810445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45.68093023761427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45.68093023761427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7.9920000000000018</v>
      </c>
      <c r="BY124" s="13">
        <f>IF('Données projet'!$A$114&gt;35,BY123+BX124-CG123,IF(A124&lt;'Données projet'!$A$114,$BV$205^A124,IF(A124='Données projet'!$A$114,'Données projet'!$B$114,BY123+BX124-CG123)))</f>
        <v>384.44400000000064</v>
      </c>
      <c r="BZ124" s="14">
        <f>BY124*VLOOKUP('Données projet'!$B$12,Paramètres!$A$1:$I$89,3,0)*VLOOKUP('Données projet'!$B$12,Paramètres!$A$1:$I$89,5,0)</f>
        <v>257.8850352000004</v>
      </c>
      <c r="CA124" s="14">
        <f t="shared" si="93"/>
        <v>62.271338846965236</v>
      </c>
      <c r="CB124" s="22">
        <f t="shared" si="64"/>
        <v>557.60568479846518</v>
      </c>
      <c r="CC124" s="62">
        <f t="shared" si="65"/>
        <v>850.93901813179855</v>
      </c>
      <c r="CD124" s="62">
        <f ca="1">AVERAGE(OFFSET($CC$3,0,0,'Données projet'!$E$12+1,1))-AVERAGE(OFFSET($H$3,0,0,'Données projet'!$E$12+1,1))</f>
        <v>222.86701323374945</v>
      </c>
      <c r="CE124" s="62">
        <f t="shared" si="94"/>
        <v>149.63671045240511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39.049827461186403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39.049827461186403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8.5265128291212022E-14</v>
      </c>
      <c r="CU124" s="18">
        <f>CT124*VLOOKUP('Données projet'!$B$13,Paramètres!$A$1:$I$89,3,0)*VLOOKUP('Données projet'!$B$13,Paramètres!$A$1:$I$89,5,0)</f>
        <v>5.5865712056402117E-14</v>
      </c>
      <c r="CV124" s="14">
        <f t="shared" si="95"/>
        <v>8.9811031843713517E-13</v>
      </c>
      <c r="CW124" s="22">
        <f t="shared" si="67"/>
        <v>1.6615082531095774E-12</v>
      </c>
      <c r="CX124" s="62">
        <f t="shared" si="68"/>
        <v>293.33333333333496</v>
      </c>
      <c r="CY124" s="62">
        <f ca="1">AVERAGE(OFFSET($CX$3,0,0,'Données projet'!$E$13+1,1))-AVERAGE(OFFSET($H$3,0,0,'Données projet'!$E$13+1,1))</f>
        <v>173.15672762188746</v>
      </c>
      <c r="CZ124" s="62">
        <f t="shared" si="96"/>
        <v>208.54841796921414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44.577498997661984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44.577498997661984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269.18638759204373</v>
      </c>
      <c r="EP124" s="62">
        <f t="shared" si="100"/>
        <v>197.07126167823969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89.62572293059236</v>
      </c>
      <c r="EW124" s="23">
        <f>EXP(-LN(2)/25)*EW123+(1-EXP(-LN(2)/25))/(LN(2)/25)*Calculateur!ER124*Calculateur!ET124*VLOOKUP('Données projet'!$B$15,Paramètres!$A$1:$I$89,3,0)*0.475*44/12</f>
        <v>10.12371520661496</v>
      </c>
      <c r="EX124" s="23">
        <f>EXP(-LN(2)/2)*EX123+(1-EXP(-LN(2)/2))/(LN(2)/2)*ER124*EU124*VLOOKUP('Données projet'!$B$15,Paramètres!$A$1:$I$89,3,0)*0.475*44/12</f>
        <v>2.1458292993674387E-5</v>
      </c>
      <c r="EY124" s="24">
        <f t="shared" si="75"/>
        <v>99.749459595500312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1.1368683772161603E-13</v>
      </c>
      <c r="FF124" s="18">
        <f>FE124*VLOOKUP('Données projet'!$B$16,Paramètres!$A$1:$I$89,3,0)*VLOOKUP('Données projet'!$B$16,Paramètres!$A$1:$I$89,5,0)</f>
        <v>6.7984728957526396E-14</v>
      </c>
      <c r="FG124" s="14">
        <f t="shared" si="101"/>
        <v>1.0682447123141398E-12</v>
      </c>
      <c r="FH124" s="22">
        <f t="shared" si="76"/>
        <v>1.978932943548152E-12</v>
      </c>
      <c r="FI124" s="62">
        <f t="shared" si="77"/>
        <v>293.3333333333353</v>
      </c>
      <c r="FJ124" s="62">
        <f ca="1">AVERAGE(OFFSET($FI$3,0,0,'Données projet'!$E$16+1,1))-AVERAGE(OFFSET($H$3,0,0,'Données projet'!$E$16+1,1))</f>
        <v>330.48891719033065</v>
      </c>
      <c r="FK124" s="62">
        <f t="shared" si="102"/>
        <v>419.35494198427284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63.510105200609132</v>
      </c>
      <c r="FR124" s="23">
        <f>EXP(-LN(2)/25)*FR123+(1-EXP(-LN(2)/25))/(LN(2)/25)*Calculateur!FM124*Calculateur!FO124*VLOOKUP('Données projet'!$B$16,Paramètres!$A$1:$I$89,3,0)*0.475*44/12</f>
        <v>6.6211365437028151</v>
      </c>
      <c r="FS124" s="23">
        <f>EXP(-LN(2)/2)*FS123+(1-EXP(-LN(2)/2))/(LN(2)/2)*FM124*FP124*VLOOKUP('Données projet'!$B$16,Paramètres!$A$1:$I$89,3,0)*0.475*44/12</f>
        <v>5.7192174769353884E-9</v>
      </c>
      <c r="FT124" s="24">
        <f t="shared" si="78"/>
        <v>70.131241750031165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>
        <f>FZ124*VLOOKUP('Données projet'!$B$17,Paramètres!$A$1:$I$89,3,0)*VLOOKUP('Données projet'!$B$17,Paramètres!$A$1:$I$89,5,0)</f>
        <v>0</v>
      </c>
      <c r="GB124" s="14" t="e">
        <f t="shared" si="103"/>
        <v>#NUM!</v>
      </c>
      <c r="GC124" s="22" t="e">
        <f t="shared" si="79"/>
        <v>#NUM!</v>
      </c>
      <c r="GD124" s="62" t="e">
        <f t="shared" si="80"/>
        <v>#NUM!</v>
      </c>
      <c r="GE124" s="62">
        <f ca="1">AVERAGE(OFFSET($GD$3,0,0,'Données projet'!$E$17+1,1))-AVERAGE(OFFSET($H$3,0,0,'Données projet'!$E$17+1,1))</f>
        <v>132.18258156780018</v>
      </c>
      <c r="GF124" s="62">
        <f t="shared" si="104"/>
        <v>315.58133946947294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7.1542569277547585</v>
      </c>
      <c r="GM124" s="23">
        <f>EXP(-LN(2)/25)*GM123+(1-EXP(-LN(2)/25))/(LN(2)/25)*Calculateur!GH124*Calculateur!GJ124*VLOOKUP('Données projet'!$B$17,Paramètres!$A$1:$I$89,3,0)*0.475*44/12</f>
        <v>1.4883315970194935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8.6425885247742524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9">
        <f t="shared" si="56"/>
        <v>496.06839463579934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7.9920000000000018</v>
      </c>
      <c r="N125" s="14">
        <f>IF('Données projet'!$A$36&gt;35,N124+M125-V124,IF(A125&lt;'Données projet'!$A$36,$K$205^A125,IF(A125='Données projet'!$A$36,'Données projet'!$B$36,N124+M125-V124)))</f>
        <v>392.43600000000066</v>
      </c>
      <c r="O125" s="14">
        <f>N125*VLOOKUP('Données projet'!$B$9,Paramètres!$A$1:$I$89,3,0)*VLOOKUP('Données projet'!$B$9,Paramètres!$A$1:$I$89,5,0)</f>
        <v>355.07609280000059</v>
      </c>
      <c r="P125" s="14">
        <f t="shared" si="87"/>
        <v>82.606853937508674</v>
      </c>
      <c r="Q125" s="22">
        <f t="shared" si="107"/>
        <v>762.29779890116197</v>
      </c>
      <c r="R125" s="62">
        <f t="shared" si="55"/>
        <v>1055.6311322344952</v>
      </c>
      <c r="S125" s="62">
        <f ca="1">AVERAGE(OFFSET($R$3,0,0,'Données projet'!$E$9+1,1))-AVERAGE(OFFSET($H$3,0,0,'Données projet'!$E$9+1,1))</f>
        <v>401.86262166363821</v>
      </c>
      <c r="T125" s="62">
        <f t="shared" si="88"/>
        <v>208.60314230781432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41.895790215801817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41.895790215801817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7.9920000000000018</v>
      </c>
      <c r="AI125" s="14">
        <f>IF('Données projet'!$A$62&gt;35,AI124+AH125-AQ124,IF(A125&lt;'Données projet'!$A$62,$AF$205^A125,IF(A125='Données projet'!$A$62,'Données projet'!$B$62,AI124+AH125-AQ124)))</f>
        <v>392.43600000000066</v>
      </c>
      <c r="AJ125" s="14">
        <f>AI125*VLOOKUP('Données projet'!$B$10,Paramètres!$A$1:$I$89,3,0)*VLOOKUP('Données projet'!$B$10,Paramètres!$A$1:$I$89,5,0)</f>
        <v>422.41811040000067</v>
      </c>
      <c r="AK125" s="14">
        <f t="shared" si="89"/>
        <v>96.307068590373376</v>
      </c>
      <c r="AL125" s="22">
        <f t="shared" si="58"/>
        <v>903.4463534082347</v>
      </c>
      <c r="AM125" s="62">
        <f t="shared" si="59"/>
        <v>1196.779686741568</v>
      </c>
      <c r="AN125" s="62">
        <f ca="1">AVERAGE(OFFSET($AM$3,0,0,'Données projet'!$E$10+1,1))-AVERAGE(OFFSET($H$3,0,0,'Données projet'!$E$10+1,1))</f>
        <v>407.22515465568205</v>
      </c>
      <c r="AO125" s="62">
        <f t="shared" si="90"/>
        <v>251.6218558398258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49.841543532591807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49.841543532591807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7.9920000000000018</v>
      </c>
      <c r="BD125" s="13">
        <f>IF('Données projet'!$A$88&gt;35,BD124+BC125-BL124,IF(A125&lt;'Données projet'!$A$88,$BA$205^A125,IF(A125='Données projet'!$A$88,'Données projet'!$B$88,BD124+BC125-BL124)))</f>
        <v>392.43600000000066</v>
      </c>
      <c r="BE125" s="14">
        <f>BD125*VLOOKUP('Données projet'!$B$11,Paramètres!$A$1:$I$89,3,0)*VLOOKUP('Données projet'!$B$11,Paramètres!$A$1:$I$89,5,0)</f>
        <v>379.56409920000067</v>
      </c>
      <c r="BF125" s="14">
        <f t="shared" si="91"/>
        <v>87.621040113179006</v>
      </c>
      <c r="BG125" s="22">
        <f t="shared" si="61"/>
        <v>813.68078430378785</v>
      </c>
      <c r="BH125" s="62">
        <f t="shared" si="62"/>
        <v>1107.0141176371212</v>
      </c>
      <c r="BI125" s="62">
        <f ca="1">AVERAGE(OFFSET($BH$3,0,0,'Données projet'!$E$11+1,1))-AVERAGE(OFFSET($H$3,0,0,'Données projet'!$E$11+1,1))</f>
        <v>357.76044008074308</v>
      </c>
      <c r="BJ125" s="62">
        <f t="shared" si="92"/>
        <v>224.26555772810445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44.785155058270895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44.785155058270895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7.9920000000000018</v>
      </c>
      <c r="BY125" s="13">
        <f>IF('Données projet'!$A$114&gt;35,BY124+BX125-CG124,IF(A125&lt;'Données projet'!$A$114,$BV$205^A125,IF(A125='Données projet'!$A$114,'Données projet'!$B$114,BY124+BX125-CG124)))</f>
        <v>392.43600000000066</v>
      </c>
      <c r="BZ125" s="14">
        <f>BY125*VLOOKUP('Données projet'!$B$12,Paramètres!$A$1:$I$89,3,0)*VLOOKUP('Données projet'!$B$12,Paramètres!$A$1:$I$89,5,0)</f>
        <v>263.24606880000044</v>
      </c>
      <c r="CA125" s="14">
        <f t="shared" si="93"/>
        <v>63.413808197603316</v>
      </c>
      <c r="CB125" s="22">
        <f t="shared" si="64"/>
        <v>568.93261910415981</v>
      </c>
      <c r="CC125" s="62">
        <f t="shared" si="65"/>
        <v>862.26595243749307</v>
      </c>
      <c r="CD125" s="62">
        <f ca="1">AVERAGE(OFFSET($CC$3,0,0,'Données projet'!$E$12+1,1))-AVERAGE(OFFSET($H$3,0,0,'Données projet'!$E$12+1,1))</f>
        <v>222.86701323374945</v>
      </c>
      <c r="CE125" s="62">
        <f t="shared" si="94"/>
        <v>149.63671045240511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38.284084162715452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38.284084162715452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8.5265128291212022E-14</v>
      </c>
      <c r="CU125" s="18">
        <f>CT125*VLOOKUP('Données projet'!$B$13,Paramètres!$A$1:$I$89,3,0)*VLOOKUP('Données projet'!$B$13,Paramètres!$A$1:$I$89,5,0)</f>
        <v>5.5865712056402117E-14</v>
      </c>
      <c r="CV125" s="14">
        <f t="shared" si="95"/>
        <v>8.9811031843713517E-13</v>
      </c>
      <c r="CW125" s="22">
        <f t="shared" si="67"/>
        <v>1.6615082531095774E-12</v>
      </c>
      <c r="CX125" s="62">
        <f t="shared" si="68"/>
        <v>293.33333333333496</v>
      </c>
      <c r="CY125" s="62">
        <f ca="1">AVERAGE(OFFSET($CX$3,0,0,'Données projet'!$E$13+1,1))-AVERAGE(OFFSET($H$3,0,0,'Données projet'!$E$13+1,1))</f>
        <v>173.15672762188746</v>
      </c>
      <c r="CZ125" s="62">
        <f t="shared" si="96"/>
        <v>208.54841796921414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43.703361431907474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43.703361431907474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269.18638759204373</v>
      </c>
      <c r="EP125" s="62">
        <f t="shared" si="100"/>
        <v>197.07126167823969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87.868217170216582</v>
      </c>
      <c r="EW125" s="23">
        <f>EXP(-LN(2)/25)*EW124+(1-EXP(-LN(2)/25))/(LN(2)/25)*Calculateur!ER125*Calculateur!ET125*VLOOKUP('Données projet'!$B$15,Paramètres!$A$1:$I$89,3,0)*0.475*44/12</f>
        <v>9.8468816819070302</v>
      </c>
      <c r="EX125" s="23">
        <f>EXP(-LN(2)/2)*EX124+(1-EXP(-LN(2)/2))/(LN(2)/2)*ER125*EU125*VLOOKUP('Données projet'!$B$15,Paramètres!$A$1:$I$89,3,0)*0.475*44/12</f>
        <v>1.5173304488514941E-5</v>
      </c>
      <c r="EY125" s="24">
        <f t="shared" si="75"/>
        <v>97.715114025428107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1.1368683772161603E-13</v>
      </c>
      <c r="FF125" s="18">
        <f>FE125*VLOOKUP('Données projet'!$B$16,Paramètres!$A$1:$I$89,3,0)*VLOOKUP('Données projet'!$B$16,Paramètres!$A$1:$I$89,5,0)</f>
        <v>6.7984728957526396E-14</v>
      </c>
      <c r="FG125" s="14">
        <f t="shared" si="101"/>
        <v>1.0682447123141398E-12</v>
      </c>
      <c r="FH125" s="22">
        <f t="shared" si="76"/>
        <v>1.978932943548152E-12</v>
      </c>
      <c r="FI125" s="62">
        <f t="shared" si="77"/>
        <v>293.3333333333353</v>
      </c>
      <c r="FJ125" s="62">
        <f ca="1">AVERAGE(OFFSET($FI$3,0,0,'Données projet'!$E$16+1,1))-AVERAGE(OFFSET($H$3,0,0,'Données projet'!$E$16+1,1))</f>
        <v>330.48891719033065</v>
      </c>
      <c r="FK125" s="62">
        <f t="shared" si="102"/>
        <v>419.35494198427284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62.264710774964364</v>
      </c>
      <c r="FR125" s="23">
        <f>EXP(-LN(2)/25)*FR124+(1-EXP(-LN(2)/25))/(LN(2)/25)*Calculateur!FM125*Calculateur!FO125*VLOOKUP('Données projet'!$B$16,Paramètres!$A$1:$I$89,3,0)*0.475*44/12</f>
        <v>6.440081216724824</v>
      </c>
      <c r="FS125" s="23">
        <f>EXP(-LN(2)/2)*FS124+(1-EXP(-LN(2)/2))/(LN(2)/2)*FM125*FP125*VLOOKUP('Données projet'!$B$16,Paramètres!$A$1:$I$89,3,0)*0.475*44/12</f>
        <v>4.0440974610216301E-9</v>
      </c>
      <c r="FT125" s="24">
        <f t="shared" si="78"/>
        <v>68.704791995733288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>
        <f>FZ125*VLOOKUP('Données projet'!$B$17,Paramètres!$A$1:$I$89,3,0)*VLOOKUP('Données projet'!$B$17,Paramètres!$A$1:$I$89,5,0)</f>
        <v>0</v>
      </c>
      <c r="GB125" s="14" t="e">
        <f t="shared" si="103"/>
        <v>#NUM!</v>
      </c>
      <c r="GC125" s="22" t="e">
        <f t="shared" si="79"/>
        <v>#NUM!</v>
      </c>
      <c r="GD125" s="62" t="e">
        <f t="shared" si="80"/>
        <v>#NUM!</v>
      </c>
      <c r="GE125" s="62">
        <f ca="1">AVERAGE(OFFSET($GD$3,0,0,'Données projet'!$E$17+1,1))-AVERAGE(OFFSET($H$3,0,0,'Données projet'!$E$17+1,1))</f>
        <v>132.18258156780018</v>
      </c>
      <c r="GF125" s="62">
        <f t="shared" si="104"/>
        <v>315.58133946947294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7.0139663130673373</v>
      </c>
      <c r="GM125" s="23">
        <f>EXP(-LN(2)/25)*GM124+(1-EXP(-LN(2)/25))/(LN(2)/25)*Calculateur!GH125*Calculateur!GJ125*VLOOKUP('Données projet'!$B$17,Paramètres!$A$1:$I$89,3,0)*0.475*44/12</f>
        <v>1.4476330912310384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8.4615994042983758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9">
        <f t="shared" si="56"/>
        <v>497.98238478171629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7.9920000000000018</v>
      </c>
      <c r="N126" s="14">
        <f>IF('Données projet'!$A$36&gt;35,N125+M126-V125,IF(A126&lt;'Données projet'!$A$36,$K$205^A126,IF(A126='Données projet'!$A$36,'Données projet'!$B$36,N125+M126-V125)))</f>
        <v>400.42800000000068</v>
      </c>
      <c r="O126" s="14">
        <f>N126*VLOOKUP('Données projet'!$B$9,Paramètres!$A$1:$I$89,3,0)*VLOOKUP('Données projet'!$B$9,Paramètres!$A$1:$I$89,5,0)</f>
        <v>362.3072544000006</v>
      </c>
      <c r="P126" s="14">
        <f t="shared" si="87"/>
        <v>84.09158309070763</v>
      </c>
      <c r="Q126" s="22">
        <f t="shared" si="107"/>
        <v>777.4779752963168</v>
      </c>
      <c r="R126" s="62">
        <f t="shared" si="55"/>
        <v>1070.8113086296501</v>
      </c>
      <c r="S126" s="62">
        <f ca="1">AVERAGE(OFFSET($R$3,0,0,'Données projet'!$E$9+1,1))-AVERAGE(OFFSET($H$3,0,0,'Données projet'!$E$9+1,1))</f>
        <v>401.86262166363821</v>
      </c>
      <c r="T126" s="62">
        <f t="shared" si="88"/>
        <v>208.60314230781432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41.074239323578738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41.074239323578738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7.9920000000000018</v>
      </c>
      <c r="AI126" s="14">
        <f>IF('Données projet'!$A$62&gt;35,AI125+AH126-AQ125,IF(A126&lt;'Données projet'!$A$62,$AF$205^A126,IF(A126='Données projet'!$A$62,'Données projet'!$B$62,AI125+AH126-AQ125)))</f>
        <v>400.42800000000068</v>
      </c>
      <c r="AJ126" s="14">
        <f>AI126*VLOOKUP('Données projet'!$B$10,Paramètres!$A$1:$I$89,3,0)*VLOOKUP('Données projet'!$B$10,Paramètres!$A$1:$I$89,5,0)</f>
        <v>431.02069920000071</v>
      </c>
      <c r="AK126" s="14">
        <f t="shared" si="89"/>
        <v>98.038037699830426</v>
      </c>
      <c r="AL126" s="22">
        <f t="shared" si="58"/>
        <v>921.44396676720589</v>
      </c>
      <c r="AM126" s="62">
        <f t="shared" si="59"/>
        <v>1214.7773001005392</v>
      </c>
      <c r="AN126" s="62">
        <f ca="1">AVERAGE(OFFSET($AM$3,0,0,'Données projet'!$E$10+1,1))-AVERAGE(OFFSET($H$3,0,0,'Données projet'!$E$10+1,1))</f>
        <v>407.22515465568205</v>
      </c>
      <c r="AO126" s="62">
        <f t="shared" si="90"/>
        <v>251.6218558398258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48.864181264257454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48.864181264257454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7.9920000000000018</v>
      </c>
      <c r="BD126" s="13">
        <f>IF('Données projet'!$A$88&gt;35,BD125+BC126-BL125,IF(A126&lt;'Données projet'!$A$88,$BA$205^A126,IF(A126='Données projet'!$A$88,'Données projet'!$B$88,BD125+BC126-BL125)))</f>
        <v>400.42800000000068</v>
      </c>
      <c r="BE126" s="14">
        <f>BD126*VLOOKUP('Données projet'!$B$11,Paramètres!$A$1:$I$89,3,0)*VLOOKUP('Données projet'!$B$11,Paramètres!$A$1:$I$89,5,0)</f>
        <v>387.29396160000067</v>
      </c>
      <c r="BF126" s="14">
        <f t="shared" si="91"/>
        <v>89.195891429851343</v>
      </c>
      <c r="BG126" s="22">
        <f t="shared" si="61"/>
        <v>829.8864940269923</v>
      </c>
      <c r="BH126" s="62">
        <f t="shared" si="62"/>
        <v>1123.2198273603256</v>
      </c>
      <c r="BI126" s="62">
        <f ca="1">AVERAGE(OFFSET($BH$3,0,0,'Données projet'!$E$11+1,1))-AVERAGE(OFFSET($H$3,0,0,'Données projet'!$E$11+1,1))</f>
        <v>357.76044008074308</v>
      </c>
      <c r="BJ126" s="62">
        <f t="shared" si="92"/>
        <v>224.26555772810445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43.906945483825531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43.906945483825531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7.9920000000000018</v>
      </c>
      <c r="BY126" s="13">
        <f>IF('Données projet'!$A$114&gt;35,BY125+BX126-CG125,IF(A126&lt;'Données projet'!$A$114,$BV$205^A126,IF(A126='Données projet'!$A$114,'Données projet'!$B$114,BY125+BX126-CG125)))</f>
        <v>400.42800000000068</v>
      </c>
      <c r="BZ126" s="14">
        <f>BY126*VLOOKUP('Données projet'!$B$12,Paramètres!$A$1:$I$89,3,0)*VLOOKUP('Données projet'!$B$12,Paramètres!$A$1:$I$89,5,0)</f>
        <v>268.60710240000049</v>
      </c>
      <c r="CA126" s="14">
        <f t="shared" si="93"/>
        <v>64.553572336515671</v>
      </c>
      <c r="CB126" s="22">
        <f t="shared" si="64"/>
        <v>580.25484183276569</v>
      </c>
      <c r="CC126" s="62">
        <f t="shared" si="65"/>
        <v>873.58817516609906</v>
      </c>
      <c r="CD126" s="62">
        <f ca="1">AVERAGE(OFFSET($CC$3,0,0,'Données projet'!$E$12+1,1))-AVERAGE(OFFSET($H$3,0,0,'Données projet'!$E$12+1,1))</f>
        <v>222.86701323374945</v>
      </c>
      <c r="CE126" s="62">
        <f t="shared" si="94"/>
        <v>149.63671045240511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37.533356623270222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37.533356623270222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8.5265128291212022E-14</v>
      </c>
      <c r="CU126" s="18">
        <f>CT126*VLOOKUP('Données projet'!$B$13,Paramètres!$A$1:$I$89,3,0)*VLOOKUP('Données projet'!$B$13,Paramètres!$A$1:$I$89,5,0)</f>
        <v>5.5865712056402117E-14</v>
      </c>
      <c r="CV126" s="14">
        <f t="shared" si="95"/>
        <v>8.9811031843713517E-13</v>
      </c>
      <c r="CW126" s="22">
        <f t="shared" si="67"/>
        <v>1.6615082531095774E-12</v>
      </c>
      <c r="CX126" s="62">
        <f t="shared" si="68"/>
        <v>293.33333333333496</v>
      </c>
      <c r="CY126" s="62">
        <f ca="1">AVERAGE(OFFSET($CX$3,0,0,'Données projet'!$E$13+1,1))-AVERAGE(OFFSET($H$3,0,0,'Données projet'!$E$13+1,1))</f>
        <v>173.15672762188746</v>
      </c>
      <c r="CZ126" s="62">
        <f t="shared" si="96"/>
        <v>208.54841796921414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42.846365170646138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42.846365170646138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269.18638759204373</v>
      </c>
      <c r="EP126" s="62">
        <f t="shared" si="100"/>
        <v>197.07126167823969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86.145175025829104</v>
      </c>
      <c r="EW126" s="23">
        <f>EXP(-LN(2)/25)*EW125+(1-EXP(-LN(2)/25))/(LN(2)/25)*Calculateur!ER126*Calculateur!ET126*VLOOKUP('Données projet'!$B$15,Paramètres!$A$1:$I$89,3,0)*0.475*44/12</f>
        <v>9.5776181844902801</v>
      </c>
      <c r="EX126" s="23">
        <f>EXP(-LN(2)/2)*EX125+(1-EXP(-LN(2)/2))/(LN(2)/2)*ER126*EU126*VLOOKUP('Données projet'!$B$15,Paramètres!$A$1:$I$89,3,0)*0.475*44/12</f>
        <v>1.0729146496837195E-5</v>
      </c>
      <c r="EY126" s="24">
        <f t="shared" si="75"/>
        <v>95.722803939465877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1.1368683772161603E-13</v>
      </c>
      <c r="FF126" s="18">
        <f>FE126*VLOOKUP('Données projet'!$B$16,Paramètres!$A$1:$I$89,3,0)*VLOOKUP('Données projet'!$B$16,Paramètres!$A$1:$I$89,5,0)</f>
        <v>6.7984728957526396E-14</v>
      </c>
      <c r="FG126" s="14">
        <f t="shared" si="101"/>
        <v>1.0682447123141398E-12</v>
      </c>
      <c r="FH126" s="22">
        <f t="shared" si="76"/>
        <v>1.978932943548152E-12</v>
      </c>
      <c r="FI126" s="62">
        <f t="shared" si="77"/>
        <v>293.3333333333353</v>
      </c>
      <c r="FJ126" s="62">
        <f ca="1">AVERAGE(OFFSET($FI$3,0,0,'Données projet'!$E$16+1,1))-AVERAGE(OFFSET($H$3,0,0,'Données projet'!$E$16+1,1))</f>
        <v>330.48891719033065</v>
      </c>
      <c r="FK126" s="62">
        <f t="shared" si="102"/>
        <v>419.35494198427284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61.043737774390898</v>
      </c>
      <c r="FR126" s="23">
        <f>EXP(-LN(2)/25)*FR125+(1-EXP(-LN(2)/25))/(LN(2)/25)*Calculateur!FM126*Calculateur!FO126*VLOOKUP('Données projet'!$B$16,Paramètres!$A$1:$I$89,3,0)*0.475*44/12</f>
        <v>6.2639768571843319</v>
      </c>
      <c r="FS126" s="23">
        <f>EXP(-LN(2)/2)*FS125+(1-EXP(-LN(2)/2))/(LN(2)/2)*FM126*FP126*VLOOKUP('Données projet'!$B$16,Paramètres!$A$1:$I$89,3,0)*0.475*44/12</f>
        <v>2.8596087384676942E-9</v>
      </c>
      <c r="FT126" s="24">
        <f t="shared" si="78"/>
        <v>67.307714634434845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>
        <f>FZ126*VLOOKUP('Données projet'!$B$17,Paramètres!$A$1:$I$89,3,0)*VLOOKUP('Données projet'!$B$17,Paramètres!$A$1:$I$89,5,0)</f>
        <v>0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132.18258156780018</v>
      </c>
      <c r="GF126" s="62">
        <f t="shared" si="104"/>
        <v>315.58133946947294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6.8764267117651112</v>
      </c>
      <c r="GM126" s="23">
        <f>EXP(-LN(2)/25)*GM125+(1-EXP(-LN(2)/25))/(LN(2)/25)*Calculateur!GH126*Calculateur!GJ126*VLOOKUP('Données projet'!$B$17,Paramètres!$A$1:$I$89,3,0)*0.475*44/12</f>
        <v>1.40804748822361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8.2844741999887219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9">
        <f t="shared" si="56"/>
        <v>499.89602938845536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>
        <f>VLOOKUP(A127,'Données projet'!$A$35:$I$55,2,0)</f>
        <v>408.42</v>
      </c>
      <c r="L127" s="13">
        <f>VLOOKUP(A127,'Données projet'!$A$35:$I$55,9,0)</f>
        <v>7.9920000000000018</v>
      </c>
      <c r="M127" s="13">
        <f t="array" ref="M127">INDEX(L:L,MIN(IF(ISNUMBER(L127:L323),ROW(L127:L323),"")))</f>
        <v>7.9920000000000018</v>
      </c>
      <c r="N127" s="14">
        <f>IF('Données projet'!$A$36&gt;35,N126+M127-V126,IF(A127&lt;'Données projet'!$A$36,$K$205^A127,IF(A127='Données projet'!$A$36,'Données projet'!$B$36,N126+M127-V126)))</f>
        <v>408.4200000000007</v>
      </c>
      <c r="O127" s="14">
        <f>N127*VLOOKUP('Données projet'!$B$9,Paramètres!$A$1:$I$89,3,0)*VLOOKUP('Données projet'!$B$9,Paramètres!$A$1:$I$89,5,0)</f>
        <v>369.53841600000061</v>
      </c>
      <c r="P127" s="14">
        <f t="shared" si="87"/>
        <v>85.572866703416025</v>
      </c>
      <c r="Q127" s="22">
        <f t="shared" si="107"/>
        <v>792.65215070845068</v>
      </c>
      <c r="R127" s="62">
        <f t="shared" si="55"/>
        <v>1085.985484041784</v>
      </c>
      <c r="S127" s="62">
        <f ca="1">AVERAGE(OFFSET($R$3,0,0,'Données projet'!$E$9+1,1))-AVERAGE(OFFSET($H$3,0,0,'Données projet'!$E$9+1,1))</f>
        <v>401.86262166363821</v>
      </c>
      <c r="T127" s="62">
        <f t="shared" si="88"/>
        <v>208.60314230781432</v>
      </c>
      <c r="U127" s="16">
        <f>IF(ISNA(VLOOKUP(A127,'Données projet'!$A$35:$I$55,3,0)),0,VLOOKUP(A127,'Données projet'!$A$35:$I$55,3,0))</f>
        <v>10</v>
      </c>
      <c r="V127" s="16">
        <f>IF(ISNA(VLOOKUP(A127,'Données projet'!$A$35:$I$55,4,0)),0,VLOOKUP(A127,'Données projet'!$A$35:$I$55,4,0))</f>
        <v>52.53</v>
      </c>
      <c r="W127" s="17">
        <f>IF(ISNA(VLOOKUP(A127,'Données projet'!$A$35:$I$55,5,0)),0%,VLOOKUP(A127,'Données projet'!$A$35:$I$55,5,0)*VLOOKUP('Données projet'!$B$9,Paramètres!$A$1:$I$89,7,0))</f>
        <v>0.30099999999999999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56.083958861079012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56.083958861079012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>
        <f>VLOOKUP(A127,'Données projet'!$A$61:$I$81,2,0)</f>
        <v>408.42</v>
      </c>
      <c r="AG127" s="13">
        <f>VLOOKUP(A127,'Données projet'!$A$61:$I$81,9,0)</f>
        <v>7.9920000000000018</v>
      </c>
      <c r="AH127" s="13">
        <f t="array" ref="AH127">INDEX(AG:AG,MIN(IF(ISNUMBER(AG127:AG323),ROW(AG127:AG323),"")))</f>
        <v>7.9920000000000018</v>
      </c>
      <c r="AI127" s="14">
        <f>IF('Données projet'!$A$62&gt;35,AI126+AH127-AQ126,IF(A127&lt;'Données projet'!$A$62,$AF$205^A127,IF(A127='Données projet'!$A$62,'Données projet'!$B$62,AI126+AH127-AQ126)))</f>
        <v>408.4200000000007</v>
      </c>
      <c r="AJ127" s="14">
        <f>AI127*VLOOKUP('Données projet'!$B$10,Paramètres!$A$1:$I$89,3,0)*VLOOKUP('Données projet'!$B$10,Paramètres!$A$1:$I$89,5,0)</f>
        <v>439.62328800000074</v>
      </c>
      <c r="AK127" s="14">
        <f t="shared" si="89"/>
        <v>99.764989831415335</v>
      </c>
      <c r="AL127" s="22">
        <f t="shared" si="58"/>
        <v>939.43458388971624</v>
      </c>
      <c r="AM127" s="62">
        <f t="shared" si="59"/>
        <v>1232.7679172230496</v>
      </c>
      <c r="AN127" s="62">
        <f ca="1">AVERAGE(OFFSET($AM$3,0,0,'Données projet'!$E$10+1,1))-AVERAGE(OFFSET($H$3,0,0,'Données projet'!$E$10+1,1))</f>
        <v>407.22515465568205</v>
      </c>
      <c r="AO127" s="62">
        <f t="shared" si="90"/>
        <v>251.6218558398258</v>
      </c>
      <c r="AP127" s="16">
        <f>IF(ISNA(VLOOKUP(A127,'Données projet'!$A$61:$I$81,3,0)),0,VLOOKUP(A127,'Données projet'!$A$61:$I$81,3,0))</f>
        <v>10</v>
      </c>
      <c r="AQ127" s="16">
        <f>IF(ISNA(VLOOKUP(A127,'Données projet'!$A$61:$I$81,4,0)),0,VLOOKUP(A127,'Données projet'!$A$61:$I$81,4,0))</f>
        <v>408.42</v>
      </c>
      <c r="AR127" s="17">
        <f>IF(ISNA(VLOOKUP(A127,'Données projet'!$A$61:$I$81,5,0)),0%,VLOOKUP(A127,'Données projet'!$A$61:$I$81,5,0)*VLOOKUP('Données projet'!$B$10,Paramètres!$A$1:$I$89,7,0))</f>
        <v>0.30099999999999999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194.18913190797491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194.18913190797491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>
        <f>VLOOKUP(A127,'Données projet'!$A$87:$I$107,2,0)</f>
        <v>408.42</v>
      </c>
      <c r="BB127" s="13">
        <f>VLOOKUP(A127,'Données projet'!$A$87:$I$107,9,0)</f>
        <v>7.9920000000000018</v>
      </c>
      <c r="BC127" s="13">
        <f t="array" ref="BC127">INDEX(BB:BB,MIN(IF(ISNUMBER(BB127:BB323),ROW(BB127:BB323),"")))</f>
        <v>7.9920000000000018</v>
      </c>
      <c r="BD127" s="13">
        <f>IF('Données projet'!$A$88&gt;35,BD126+BC127-BL126,IF(A127&lt;'Données projet'!$A$88,$BA$205^A127,IF(A127='Données projet'!$A$88,'Données projet'!$B$88,BD126+BC127-BL126)))</f>
        <v>408.4200000000007</v>
      </c>
      <c r="BE127" s="14">
        <f>BD127*VLOOKUP('Données projet'!$B$11,Paramètres!$A$1:$I$89,3,0)*VLOOKUP('Données projet'!$B$11,Paramètres!$A$1:$I$89,5,0)</f>
        <v>395.02382400000067</v>
      </c>
      <c r="BF127" s="14">
        <f t="shared" si="91"/>
        <v>90.767088063805105</v>
      </c>
      <c r="BG127" s="22">
        <f t="shared" si="61"/>
        <v>846.08583851112826</v>
      </c>
      <c r="BH127" s="62">
        <f t="shared" si="62"/>
        <v>1139.4191718444615</v>
      </c>
      <c r="BI127" s="62">
        <f ca="1">AVERAGE(OFFSET($BH$3,0,0,'Données projet'!$E$11+1,1))-AVERAGE(OFFSET($H$3,0,0,'Données projet'!$E$11+1,1))</f>
        <v>357.76044008074308</v>
      </c>
      <c r="BJ127" s="62">
        <f t="shared" si="92"/>
        <v>224.26555772810445</v>
      </c>
      <c r="BK127" s="16">
        <f>IF(ISNA(VLOOKUP(A127,'Données projet'!$A$87:$I$107,3,0)),0,VLOOKUP(A127,'Données projet'!$A$87:$I$107,3,0))</f>
        <v>10</v>
      </c>
      <c r="BL127" s="16">
        <f>IF(ISNA(VLOOKUP(A127,'Données projet'!$A$87:$I$107,4,0)),0,VLOOKUP(A127,'Données projet'!$A$87:$I$107,4,0))</f>
        <v>408.42</v>
      </c>
      <c r="BM127" s="17">
        <f>IF(ISNA(VLOOKUP(A127,'Données projet'!$A$87:$I$107,5,0)),0%,VLOOKUP(A127,'Données projet'!$A$87:$I$107,5,0)*VLOOKUP('Données projet'!$B$11,Paramètres!$A$1:$I$89,7,0))</f>
        <v>0.30099999999999999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174.48878519267313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174.48878519267313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>
        <f>VLOOKUP(A127,'Données projet'!$A$113:$I$133,2,0)</f>
        <v>408.42</v>
      </c>
      <c r="BW127" s="13">
        <f>VLOOKUP(A127,'Données projet'!$A$113:$I$133,9,0)</f>
        <v>7.9920000000000018</v>
      </c>
      <c r="BX127" s="13">
        <f t="array" ref="BX127">INDEX(BW:BW,MIN(IF(ISNUMBER(BW127:BW323),ROW(BW127:BW323),"")))</f>
        <v>7.9920000000000018</v>
      </c>
      <c r="BY127" s="13">
        <f>IF('Données projet'!$A$114&gt;35,BY126+BX127-CG126,IF(A127&lt;'Données projet'!$A$114,$BV$205^A127,IF(A127='Données projet'!$A$114,'Données projet'!$B$114,BY126+BX127-CG126)))</f>
        <v>408.4200000000007</v>
      </c>
      <c r="BZ127" s="14">
        <f>BY127*VLOOKUP('Données projet'!$B$12,Paramètres!$A$1:$I$89,3,0)*VLOOKUP('Données projet'!$B$12,Paramètres!$A$1:$I$89,5,0)</f>
        <v>273.96813600000047</v>
      </c>
      <c r="CA127" s="14">
        <f t="shared" si="93"/>
        <v>65.690691478876531</v>
      </c>
      <c r="CB127" s="22">
        <f t="shared" si="64"/>
        <v>591.57245785904422</v>
      </c>
      <c r="CC127" s="62">
        <f t="shared" si="65"/>
        <v>884.90579119237759</v>
      </c>
      <c r="CD127" s="62">
        <f ca="1">AVERAGE(OFFSET($CC$3,0,0,'Données projet'!$E$12+1,1))-AVERAGE(OFFSET($H$3,0,0,'Données projet'!$E$12+1,1))</f>
        <v>222.86701323374945</v>
      </c>
      <c r="CE127" s="62">
        <f t="shared" si="94"/>
        <v>149.63671045240511</v>
      </c>
      <c r="CF127" s="16">
        <f>IF(ISNA(VLOOKUP(A127,'Données projet'!$A$113:$I$133,3,0)),0,VLOOKUP(A127,'Données projet'!$A$113:$I$133,3,0))</f>
        <v>10</v>
      </c>
      <c r="CG127" s="16">
        <f>IF(ISNA(VLOOKUP(A127,'Données projet'!$A$113:$I$133,4,0)),0,VLOOKUP(A127,'Données projet'!$A$113:$I$133,4,0))</f>
        <v>408.42</v>
      </c>
      <c r="CH127" s="17">
        <f>IF(ISNA(VLOOKUP(A127,'Données projet'!$A$113:$I$133,5,0)),0%,VLOOKUP(A127,'Données projet'!$A$113:$I$133,5,0)*VLOOKUP('Données projet'!$B$12,Paramètres!$A$1:$I$89,7,0))</f>
        <v>0.371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149.15976798728508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149.15976798728508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8.5265128291212022E-14</v>
      </c>
      <c r="CU127" s="18">
        <f>CT127*VLOOKUP('Données projet'!$B$13,Paramètres!$A$1:$I$89,3,0)*VLOOKUP('Données projet'!$B$13,Paramètres!$A$1:$I$89,5,0)</f>
        <v>5.5865712056402117E-14</v>
      </c>
      <c r="CV127" s="14">
        <f t="shared" si="95"/>
        <v>8.9811031843713517E-13</v>
      </c>
      <c r="CW127" s="22">
        <f t="shared" si="67"/>
        <v>1.6615082531095774E-12</v>
      </c>
      <c r="CX127" s="62">
        <f t="shared" si="68"/>
        <v>293.33333333333496</v>
      </c>
      <c r="CY127" s="62">
        <f ca="1">AVERAGE(OFFSET($CX$3,0,0,'Données projet'!$E$13+1,1))-AVERAGE(OFFSET($H$3,0,0,'Données projet'!$E$13+1,1))</f>
        <v>173.15672762188746</v>
      </c>
      <c r="CZ127" s="62">
        <f t="shared" si="96"/>
        <v>208.54841796921414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42.006174083352029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42.006174083352029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269.18638759204373</v>
      </c>
      <c r="EP127" s="62">
        <f t="shared" si="100"/>
        <v>197.07126167823969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84.455920686941141</v>
      </c>
      <c r="EW127" s="23">
        <f>EXP(-LN(2)/25)*EW126+(1-EXP(-LN(2)/25))/(LN(2)/25)*Calculateur!ER127*Calculateur!ET127*VLOOKUP('Données projet'!$B$15,Paramètres!$A$1:$I$89,3,0)*0.475*44/12</f>
        <v>9.3157177115703433</v>
      </c>
      <c r="EX127" s="23">
        <f>EXP(-LN(2)/2)*EX126+(1-EXP(-LN(2)/2))/(LN(2)/2)*ER127*EU127*VLOOKUP('Données projet'!$B$15,Paramètres!$A$1:$I$89,3,0)*0.475*44/12</f>
        <v>7.5866522442574723E-6</v>
      </c>
      <c r="EY127" s="24">
        <f t="shared" si="75"/>
        <v>93.77164598516373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1.1368683772161603E-13</v>
      </c>
      <c r="FF127" s="18">
        <f>FE127*VLOOKUP('Données projet'!$B$16,Paramètres!$A$1:$I$89,3,0)*VLOOKUP('Données projet'!$B$16,Paramètres!$A$1:$I$89,5,0)</f>
        <v>6.7984728957526396E-14</v>
      </c>
      <c r="FG127" s="14">
        <f t="shared" si="101"/>
        <v>1.0682447123141398E-12</v>
      </c>
      <c r="FH127" s="22">
        <f t="shared" si="76"/>
        <v>1.978932943548152E-12</v>
      </c>
      <c r="FI127" s="62">
        <f t="shared" si="77"/>
        <v>293.3333333333353</v>
      </c>
      <c r="FJ127" s="62">
        <f ca="1">AVERAGE(OFFSET($FI$3,0,0,'Données projet'!$E$16+1,1))-AVERAGE(OFFSET($H$3,0,0,'Données projet'!$E$16+1,1))</f>
        <v>330.48891719033065</v>
      </c>
      <c r="FK127" s="62">
        <f t="shared" si="102"/>
        <v>419.35494198427284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59.846707309638681</v>
      </c>
      <c r="FR127" s="23">
        <f>EXP(-LN(2)/25)*FR126+(1-EXP(-LN(2)/25))/(LN(2)/25)*Calculateur!FM127*Calculateur!FO127*VLOOKUP('Données projet'!$B$16,Paramètres!$A$1:$I$89,3,0)*0.475*44/12</f>
        <v>6.0926880806163997</v>
      </c>
      <c r="FS127" s="23">
        <f>EXP(-LN(2)/2)*FS126+(1-EXP(-LN(2)/2))/(LN(2)/2)*FM127*FP127*VLOOKUP('Données projet'!$B$16,Paramètres!$A$1:$I$89,3,0)*0.475*44/12</f>
        <v>2.022048730510815E-9</v>
      </c>
      <c r="FT127" s="24">
        <f t="shared" si="78"/>
        <v>65.939395392277135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>
        <f>FZ127*VLOOKUP('Données projet'!$B$17,Paramètres!$A$1:$I$89,3,0)*VLOOKUP('Données projet'!$B$17,Paramètres!$A$1:$I$89,5,0)</f>
        <v>0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132.18258156780018</v>
      </c>
      <c r="GF127" s="62">
        <f t="shared" si="104"/>
        <v>315.58133946947294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6.7415841781535484</v>
      </c>
      <c r="GM127" s="23">
        <f>EXP(-LN(2)/25)*GM126+(1-EXP(-LN(2)/25))/(LN(2)/25)*Calculateur!GH127*Calculateur!GJ127*VLOOKUP('Données projet'!$B$17,Paramètres!$A$1:$I$89,3,0)*0.475*44/12</f>
        <v>1.3695443556121361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8.1111285337656849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9">
        <f t="shared" si="56"/>
        <v>501.80933156559138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8.0699999999999985</v>
      </c>
      <c r="N128" s="14">
        <f>IF('Données projet'!$A$36&gt;35,N127+M128-V127,IF(A128&lt;'Données projet'!$A$36,$K$205^A128,IF(A128='Données projet'!$A$36,'Données projet'!$B$36,N127+M128-V127)))</f>
        <v>363.96000000000072</v>
      </c>
      <c r="O128" s="14">
        <f>N128*VLOOKUP('Données projet'!$B$9,Paramètres!$A$1:$I$89,3,0)*VLOOKUP('Données projet'!$B$9,Paramètres!$A$1:$I$89,5,0)</f>
        <v>329.31100800000064</v>
      </c>
      <c r="P128" s="14">
        <f t="shared" si="87"/>
        <v>77.287444180583748</v>
      </c>
      <c r="Q128" s="22">
        <f t="shared" si="107"/>
        <v>708.15897088118447</v>
      </c>
      <c r="R128" s="62">
        <f t="shared" si="55"/>
        <v>1001.4923042145178</v>
      </c>
      <c r="S128" s="62">
        <f ca="1">AVERAGE(OFFSET($R$3,0,0,'Données projet'!$E$9+1,1))-AVERAGE(OFFSET($H$3,0,0,'Données projet'!$E$9+1,1))</f>
        <v>401.86262166363821</v>
      </c>
      <c r="T128" s="62">
        <f t="shared" si="88"/>
        <v>208.60314230781432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54.984186635650417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54.984186635650417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6.8212102632969618E-13</v>
      </c>
      <c r="AJ128" s="14">
        <f>AI128*VLOOKUP('Données projet'!$B$10,Paramètres!$A$1:$I$89,3,0)*VLOOKUP('Données projet'!$B$10,Paramètres!$A$1:$I$89,5,0)</f>
        <v>7.3423507274128498E-13</v>
      </c>
      <c r="AK128" s="14">
        <f t="shared" si="89"/>
        <v>8.7458894232577541E-12</v>
      </c>
      <c r="AL128" s="22">
        <f t="shared" si="58"/>
        <v>1.6511216830531657E-11</v>
      </c>
      <c r="AM128" s="62">
        <f t="shared" si="59"/>
        <v>293.3333333333498</v>
      </c>
      <c r="AN128" s="62">
        <f ca="1">AVERAGE(OFFSET($AM$3,0,0,'Données projet'!$E$10+1,1))-AVERAGE(OFFSET($H$3,0,0,'Données projet'!$E$10+1,1))</f>
        <v>407.22515465568205</v>
      </c>
      <c r="AO128" s="62">
        <f t="shared" si="90"/>
        <v>251.6218558398258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190.38120147493464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190.38120147493464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6.8212102632969618E-13</v>
      </c>
      <c r="BE128" s="14">
        <f>BD128*VLOOKUP('Données projet'!$B$11,Paramètres!$A$1:$I$89,3,0)*VLOOKUP('Données projet'!$B$11,Paramètres!$A$1:$I$89,5,0)</f>
        <v>6.5974745666608208E-13</v>
      </c>
      <c r="BF128" s="14">
        <f t="shared" si="91"/>
        <v>7.9570891233345703E-12</v>
      </c>
      <c r="BG128" s="22">
        <f t="shared" si="61"/>
        <v>1.5007657043501137E-11</v>
      </c>
      <c r="BH128" s="62">
        <f t="shared" si="62"/>
        <v>293.33333333334832</v>
      </c>
      <c r="BI128" s="62">
        <f ca="1">AVERAGE(OFFSET($BH$3,0,0,'Données projet'!$E$11+1,1))-AVERAGE(OFFSET($H$3,0,0,'Données projet'!$E$11+1,1))</f>
        <v>357.76044008074308</v>
      </c>
      <c r="BJ128" s="62">
        <f t="shared" si="92"/>
        <v>224.26555772810445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171.06716654269493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171.06716654269493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6.8212102632969618E-13</v>
      </c>
      <c r="BZ128" s="14">
        <f>BY128*VLOOKUP('Données projet'!$B$12,Paramètres!$A$1:$I$89,3,0)*VLOOKUP('Données projet'!$B$12,Paramètres!$A$1:$I$89,5,0)</f>
        <v>4.5756678446196019E-13</v>
      </c>
      <c r="CA128" s="14">
        <f t="shared" si="93"/>
        <v>5.7587689306883675E-12</v>
      </c>
      <c r="CB128" s="22">
        <f t="shared" si="64"/>
        <v>1.0826784703886818E-11</v>
      </c>
      <c r="CC128" s="62">
        <f t="shared" si="65"/>
        <v>293.33333333334411</v>
      </c>
      <c r="CD128" s="62">
        <f ca="1">AVERAGE(OFFSET($CC$3,0,0,'Données projet'!$E$12+1,1))-AVERAGE(OFFSET($H$3,0,0,'Données projet'!$E$12+1,1))</f>
        <v>222.86701323374945</v>
      </c>
      <c r="CE128" s="62">
        <f t="shared" si="94"/>
        <v>149.63671045240511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146.23483591552952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146.23483591552952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8.5265128291212022E-14</v>
      </c>
      <c r="CU128" s="18">
        <f>CT128*VLOOKUP('Données projet'!$B$13,Paramètres!$A$1:$I$89,3,0)*VLOOKUP('Données projet'!$B$13,Paramètres!$A$1:$I$89,5,0)</f>
        <v>5.5865712056402117E-14</v>
      </c>
      <c r="CV128" s="14">
        <f t="shared" si="95"/>
        <v>8.9811031843713517E-13</v>
      </c>
      <c r="CW128" s="22">
        <f t="shared" si="67"/>
        <v>1.6615082531095774E-12</v>
      </c>
      <c r="CX128" s="62">
        <f t="shared" si="68"/>
        <v>293.33333333333496</v>
      </c>
      <c r="CY128" s="62">
        <f ca="1">AVERAGE(OFFSET($CX$3,0,0,'Données projet'!$E$13+1,1))-AVERAGE(OFFSET($H$3,0,0,'Données projet'!$E$13+1,1))</f>
        <v>173.15672762188746</v>
      </c>
      <c r="CZ128" s="62">
        <f t="shared" si="96"/>
        <v>208.54841796921414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41.182458630813798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41.182458630813798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269.18638759204373</v>
      </c>
      <c r="EP128" s="62">
        <f t="shared" si="100"/>
        <v>197.07126167823969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82.79979159529536</v>
      </c>
      <c r="EW128" s="23">
        <f>EXP(-LN(2)/25)*EW127+(1-EXP(-LN(2)/25))/(LN(2)/25)*Calculateur!ER128*Calculateur!ET128*VLOOKUP('Données projet'!$B$15,Paramètres!$A$1:$I$89,3,0)*0.475*44/12</f>
        <v>9.060978920855149</v>
      </c>
      <c r="EX128" s="23">
        <f>EXP(-LN(2)/2)*EX127+(1-EXP(-LN(2)/2))/(LN(2)/2)*ER128*EU128*VLOOKUP('Données projet'!$B$15,Paramètres!$A$1:$I$89,3,0)*0.475*44/12</f>
        <v>5.3645732484185984E-6</v>
      </c>
      <c r="EY128" s="24">
        <f t="shared" si="75"/>
        <v>91.860775880723764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1.1368683772161603E-13</v>
      </c>
      <c r="FF128" s="18">
        <f>FE128*VLOOKUP('Données projet'!$B$16,Paramètres!$A$1:$I$89,3,0)*VLOOKUP('Données projet'!$B$16,Paramètres!$A$1:$I$89,5,0)</f>
        <v>6.7984728957526396E-14</v>
      </c>
      <c r="FG128" s="14">
        <f t="shared" si="101"/>
        <v>1.0682447123141398E-12</v>
      </c>
      <c r="FH128" s="22">
        <f t="shared" si="76"/>
        <v>1.978932943548152E-12</v>
      </c>
      <c r="FI128" s="62">
        <f t="shared" si="77"/>
        <v>293.3333333333353</v>
      </c>
      <c r="FJ128" s="62">
        <f ca="1">AVERAGE(OFFSET($FI$3,0,0,'Données projet'!$E$16+1,1))-AVERAGE(OFFSET($H$3,0,0,'Données projet'!$E$16+1,1))</f>
        <v>330.48891719033065</v>
      </c>
      <c r="FK128" s="62">
        <f t="shared" si="102"/>
        <v>419.35494198427284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58.673149882183765</v>
      </c>
      <c r="FR128" s="23">
        <f>EXP(-LN(2)/25)*FR127+(1-EXP(-LN(2)/25))/(LN(2)/25)*Calculateur!FM128*Calculateur!FO128*VLOOKUP('Données projet'!$B$16,Paramètres!$A$1:$I$89,3,0)*0.475*44/12</f>
        <v>5.9260832046514027</v>
      </c>
      <c r="FS128" s="23">
        <f>EXP(-LN(2)/2)*FS127+(1-EXP(-LN(2)/2))/(LN(2)/2)*FM128*FP128*VLOOKUP('Données projet'!$B$16,Paramètres!$A$1:$I$89,3,0)*0.475*44/12</f>
        <v>1.4298043692338471E-9</v>
      </c>
      <c r="FT128" s="24">
        <f t="shared" si="78"/>
        <v>64.599233088264981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>
        <f>FZ128*VLOOKUP('Données projet'!$B$17,Paramètres!$A$1:$I$89,3,0)*VLOOKUP('Données projet'!$B$17,Paramètres!$A$1:$I$89,5,0)</f>
        <v>0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132.18258156780018</v>
      </c>
      <c r="GF128" s="62">
        <f t="shared" si="104"/>
        <v>315.58133946947294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6.6093858243802837</v>
      </c>
      <c r="GM128" s="23">
        <f>EXP(-LN(2)/25)*GM127+(1-EXP(-LN(2)/25))/(LN(2)/25)*Calculateur!GH128*Calculateur!GJ128*VLOOKUP('Données projet'!$B$17,Paramètres!$A$1:$I$89,3,0)*0.475*44/12</f>
        <v>1.3320940931867147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7.9414799175669986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9">
        <f t="shared" si="56"/>
        <v>503.72229437007394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8.0699999999999985</v>
      </c>
      <c r="N129" s="14">
        <f>IF('Données projet'!$A$36&gt;35,N128+M129-V128,IF(A129&lt;'Données projet'!$A$36,$K$205^A129,IF(A129='Données projet'!$A$36,'Données projet'!$B$36,N128+M129-V128)))</f>
        <v>372.03000000000071</v>
      </c>
      <c r="O129" s="14">
        <f>N129*VLOOKUP('Données projet'!$B$9,Paramètres!$A$1:$I$89,3,0)*VLOOKUP('Données projet'!$B$9,Paramètres!$A$1:$I$89,5,0)</f>
        <v>336.61274400000065</v>
      </c>
      <c r="P129" s="14">
        <f t="shared" si="87"/>
        <v>78.799710600410648</v>
      </c>
      <c r="Q129" s="22">
        <f t="shared" si="107"/>
        <v>723.51002509571629</v>
      </c>
      <c r="R129" s="62">
        <f t="shared" si="55"/>
        <v>1016.8433584290497</v>
      </c>
      <c r="S129" s="62">
        <f ca="1">AVERAGE(OFFSET($R$3,0,0,'Données projet'!$E$9+1,1))-AVERAGE(OFFSET($H$3,0,0,'Données projet'!$E$9+1,1))</f>
        <v>401.86262166363821</v>
      </c>
      <c r="T129" s="62">
        <f t="shared" si="88"/>
        <v>208.60314230781432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53.90598027276765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53.90598027276765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6.8212102632969618E-13</v>
      </c>
      <c r="AJ129" s="14">
        <f>AI129*VLOOKUP('Données projet'!$B$10,Paramètres!$A$1:$I$89,3,0)*VLOOKUP('Données projet'!$B$10,Paramètres!$A$1:$I$89,5,0)</f>
        <v>7.3423507274128498E-13</v>
      </c>
      <c r="AK129" s="14">
        <f t="shared" si="89"/>
        <v>8.7458894232577541E-12</v>
      </c>
      <c r="AL129" s="22">
        <f t="shared" si="58"/>
        <v>1.6511216830531657E-11</v>
      </c>
      <c r="AM129" s="62">
        <f t="shared" si="59"/>
        <v>293.3333333333498</v>
      </c>
      <c r="AN129" s="62">
        <f ca="1">AVERAGE(OFFSET($AM$3,0,0,'Données projet'!$E$10+1,1))-AVERAGE(OFFSET($H$3,0,0,'Données projet'!$E$10+1,1))</f>
        <v>407.22515465568205</v>
      </c>
      <c r="AO129" s="62">
        <f t="shared" si="90"/>
        <v>251.6218558398258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186.64794223507806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186.64794223507806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6.8212102632969618E-13</v>
      </c>
      <c r="BE129" s="14">
        <f>BD129*VLOOKUP('Données projet'!$B$11,Paramètres!$A$1:$I$89,3,0)*VLOOKUP('Données projet'!$B$11,Paramètres!$A$1:$I$89,5,0)</f>
        <v>6.5974745666608208E-13</v>
      </c>
      <c r="BF129" s="14">
        <f t="shared" si="91"/>
        <v>7.9570891233345703E-12</v>
      </c>
      <c r="BG129" s="22">
        <f t="shared" si="61"/>
        <v>1.5007657043501137E-11</v>
      </c>
      <c r="BH129" s="62">
        <f t="shared" si="62"/>
        <v>293.33333333334832</v>
      </c>
      <c r="BI129" s="62">
        <f ca="1">AVERAGE(OFFSET($BH$3,0,0,'Données projet'!$E$11+1,1))-AVERAGE(OFFSET($H$3,0,0,'Données projet'!$E$11+1,1))</f>
        <v>357.76044008074308</v>
      </c>
      <c r="BJ129" s="62">
        <f t="shared" si="92"/>
        <v>224.26555772810445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167.7126437474615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167.7126437474615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6.8212102632969618E-13</v>
      </c>
      <c r="BZ129" s="14">
        <f>BY129*VLOOKUP('Données projet'!$B$12,Paramètres!$A$1:$I$89,3,0)*VLOOKUP('Données projet'!$B$12,Paramètres!$A$1:$I$89,5,0)</f>
        <v>4.5756678446196019E-13</v>
      </c>
      <c r="CA129" s="14">
        <f t="shared" si="93"/>
        <v>5.7587689306883675E-12</v>
      </c>
      <c r="CB129" s="22">
        <f t="shared" si="64"/>
        <v>1.0826784703886818E-11</v>
      </c>
      <c r="CC129" s="62">
        <f t="shared" si="65"/>
        <v>293.33333333334411</v>
      </c>
      <c r="CD129" s="62">
        <f ca="1">AVERAGE(OFFSET($CC$3,0,0,'Données projet'!$E$12+1,1))-AVERAGE(OFFSET($H$3,0,0,'Données projet'!$E$12+1,1))</f>
        <v>222.86701323374945</v>
      </c>
      <c r="CE129" s="62">
        <f t="shared" si="94"/>
        <v>149.63671045240511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143.36725997766868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143.36725997766868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8.5265128291212022E-14</v>
      </c>
      <c r="CU129" s="18">
        <f>CT129*VLOOKUP('Données projet'!$B$13,Paramètres!$A$1:$I$89,3,0)*VLOOKUP('Données projet'!$B$13,Paramètres!$A$1:$I$89,5,0)</f>
        <v>5.5865712056402117E-14</v>
      </c>
      <c r="CV129" s="14">
        <f t="shared" si="95"/>
        <v>8.9811031843713517E-13</v>
      </c>
      <c r="CW129" s="22">
        <f t="shared" si="67"/>
        <v>1.6615082531095774E-12</v>
      </c>
      <c r="CX129" s="62">
        <f t="shared" si="68"/>
        <v>293.33333333333496</v>
      </c>
      <c r="CY129" s="62">
        <f ca="1">AVERAGE(OFFSET($CX$3,0,0,'Données projet'!$E$13+1,1))-AVERAGE(OFFSET($H$3,0,0,'Données projet'!$E$13+1,1))</f>
        <v>173.15672762188746</v>
      </c>
      <c r="CZ129" s="62">
        <f t="shared" si="96"/>
        <v>208.54841796921414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40.37489573588303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40.37489573588303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269.18638759204373</v>
      </c>
      <c r="EP129" s="62">
        <f t="shared" si="100"/>
        <v>197.07126167823969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81.17613818499774</v>
      </c>
      <c r="EW129" s="23">
        <f>EXP(-LN(2)/25)*EW128+(1-EXP(-LN(2)/25))/(LN(2)/25)*Calculateur!ER129*Calculateur!ET129*VLOOKUP('Données projet'!$B$15,Paramètres!$A$1:$I$89,3,0)*0.475*44/12</f>
        <v>8.8132059757681933</v>
      </c>
      <c r="EX129" s="23">
        <f>EXP(-LN(2)/2)*EX128+(1-EXP(-LN(2)/2))/(LN(2)/2)*ER129*EU129*VLOOKUP('Données projet'!$B$15,Paramètres!$A$1:$I$89,3,0)*0.475*44/12</f>
        <v>3.7933261221287366E-6</v>
      </c>
      <c r="EY129" s="24">
        <f t="shared" si="75"/>
        <v>89.989347954092054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1.1368683772161603E-13</v>
      </c>
      <c r="FF129" s="18">
        <f>FE129*VLOOKUP('Données projet'!$B$16,Paramètres!$A$1:$I$89,3,0)*VLOOKUP('Données projet'!$B$16,Paramètres!$A$1:$I$89,5,0)</f>
        <v>6.7984728957526396E-14</v>
      </c>
      <c r="FG129" s="14">
        <f t="shared" si="101"/>
        <v>1.0682447123141398E-12</v>
      </c>
      <c r="FH129" s="22">
        <f t="shared" si="76"/>
        <v>1.978932943548152E-12</v>
      </c>
      <c r="FI129" s="62">
        <f t="shared" si="77"/>
        <v>293.3333333333353</v>
      </c>
      <c r="FJ129" s="62">
        <f ca="1">AVERAGE(OFFSET($FI$3,0,0,'Données projet'!$E$16+1,1))-AVERAGE(OFFSET($H$3,0,0,'Données projet'!$E$16+1,1))</f>
        <v>330.48891719033065</v>
      </c>
      <c r="FK129" s="62">
        <f t="shared" si="102"/>
        <v>419.35494198427284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57.522605200081891</v>
      </c>
      <c r="FR129" s="23">
        <f>EXP(-LN(2)/25)*FR128+(1-EXP(-LN(2)/25))/(LN(2)/25)*Calculateur!FM129*Calculateur!FO129*VLOOKUP('Données projet'!$B$16,Paramètres!$A$1:$I$89,3,0)*0.475*44/12</f>
        <v>5.7640341477810386</v>
      </c>
      <c r="FS129" s="23">
        <f>EXP(-LN(2)/2)*FS128+(1-EXP(-LN(2)/2))/(LN(2)/2)*FM129*FP129*VLOOKUP('Données projet'!$B$16,Paramètres!$A$1:$I$89,3,0)*0.475*44/12</f>
        <v>1.0110243652554075E-9</v>
      </c>
      <c r="FT129" s="24">
        <f t="shared" si="78"/>
        <v>63.286639348873955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>
        <f>FZ129*VLOOKUP('Données projet'!$B$17,Paramètres!$A$1:$I$89,3,0)*VLOOKUP('Données projet'!$B$17,Paramètres!$A$1:$I$89,5,0)</f>
        <v>0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132.18258156780018</v>
      </c>
      <c r="GF129" s="62">
        <f t="shared" si="104"/>
        <v>315.58133946947294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6.479779799691479</v>
      </c>
      <c r="GM129" s="23">
        <f>EXP(-LN(2)/25)*GM128+(1-EXP(-LN(2)/25))/(LN(2)/25)*Calculateur!GH129*Calculateur!GJ129*VLOOKUP('Données projet'!$B$17,Paramètres!$A$1:$I$89,3,0)*0.475*44/12</f>
        <v>1.2956679101567401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7.7754477098482191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9">
        <f t="shared" si="56"/>
        <v>505.63492080752712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8.0699999999999985</v>
      </c>
      <c r="N130" s="14">
        <f>IF('Données projet'!$A$36&gt;35,N129+M130-V129,IF(A130&lt;'Données projet'!$A$36,$K$205^A130,IF(A130='Données projet'!$A$36,'Données projet'!$B$36,N129+M130-V129)))</f>
        <v>380.1000000000007</v>
      </c>
      <c r="O130" s="14">
        <f>N130*VLOOKUP('Données projet'!$B$9,Paramètres!$A$1:$I$89,3,0)*VLOOKUP('Données projet'!$B$9,Paramètres!$A$1:$I$89,5,0)</f>
        <v>343.91448000000065</v>
      </c>
      <c r="P130" s="14">
        <f t="shared" si="87"/>
        <v>80.308163160675235</v>
      </c>
      <c r="Q130" s="22">
        <f t="shared" si="107"/>
        <v>738.85443683817709</v>
      </c>
      <c r="R130" s="62">
        <f t="shared" si="55"/>
        <v>1032.1877701715105</v>
      </c>
      <c r="S130" s="62">
        <f ca="1">AVERAGE(OFFSET($R$3,0,0,'Données projet'!$E$9+1,1))-AVERAGE(OFFSET($H$3,0,0,'Données projet'!$E$9+1,1))</f>
        <v>401.86262166363821</v>
      </c>
      <c r="T130" s="62">
        <f t="shared" si="88"/>
        <v>208.60314230781432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52.848916879020074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52.848916879020074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6.8212102632969618E-13</v>
      </c>
      <c r="AJ130" s="14">
        <f>AI130*VLOOKUP('Données projet'!$B$10,Paramètres!$A$1:$I$89,3,0)*VLOOKUP('Données projet'!$B$10,Paramètres!$A$1:$I$89,5,0)</f>
        <v>7.3423507274128498E-13</v>
      </c>
      <c r="AK130" s="14">
        <f t="shared" si="89"/>
        <v>8.7458894232577541E-12</v>
      </c>
      <c r="AL130" s="22">
        <f t="shared" si="58"/>
        <v>1.6511216830531657E-11</v>
      </c>
      <c r="AM130" s="62">
        <f t="shared" si="59"/>
        <v>293.3333333333498</v>
      </c>
      <c r="AN130" s="62">
        <f ca="1">AVERAGE(OFFSET($AM$3,0,0,'Données projet'!$E$10+1,1))-AVERAGE(OFFSET($H$3,0,0,'Données projet'!$E$10+1,1))</f>
        <v>407.22515465568205</v>
      </c>
      <c r="AO130" s="62">
        <f t="shared" si="90"/>
        <v>251.6218558398258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182.98788993185178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182.98788993185178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6.8212102632969618E-13</v>
      </c>
      <c r="BE130" s="14">
        <f>BD130*VLOOKUP('Données projet'!$B$11,Paramètres!$A$1:$I$89,3,0)*VLOOKUP('Données projet'!$B$11,Paramètres!$A$1:$I$89,5,0)</f>
        <v>6.5974745666608208E-13</v>
      </c>
      <c r="BF130" s="14">
        <f t="shared" si="91"/>
        <v>7.9570891233345703E-12</v>
      </c>
      <c r="BG130" s="22">
        <f t="shared" si="61"/>
        <v>1.5007657043501137E-11</v>
      </c>
      <c r="BH130" s="62">
        <f t="shared" si="62"/>
        <v>293.33333333334832</v>
      </c>
      <c r="BI130" s="62">
        <f ca="1">AVERAGE(OFFSET($BH$3,0,0,'Données projet'!$E$11+1,1))-AVERAGE(OFFSET($H$3,0,0,'Données projet'!$E$11+1,1))</f>
        <v>357.76044008074308</v>
      </c>
      <c r="BJ130" s="62">
        <f t="shared" si="92"/>
        <v>224.26555772810445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164.42390109818572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164.42390109818572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6.8212102632969618E-13</v>
      </c>
      <c r="BZ130" s="14">
        <f>BY130*VLOOKUP('Données projet'!$B$12,Paramètres!$A$1:$I$89,3,0)*VLOOKUP('Données projet'!$B$12,Paramètres!$A$1:$I$89,5,0)</f>
        <v>4.5756678446196019E-13</v>
      </c>
      <c r="CA130" s="14">
        <f t="shared" si="93"/>
        <v>5.7587689306883675E-12</v>
      </c>
      <c r="CB130" s="22">
        <f t="shared" si="64"/>
        <v>1.0826784703886818E-11</v>
      </c>
      <c r="CC130" s="62">
        <f t="shared" si="65"/>
        <v>293.33333333334411</v>
      </c>
      <c r="CD130" s="62">
        <f ca="1">AVERAGE(OFFSET($CC$3,0,0,'Données projet'!$E$12+1,1))-AVERAGE(OFFSET($H$3,0,0,'Données projet'!$E$12+1,1))</f>
        <v>222.86701323374945</v>
      </c>
      <c r="CE130" s="62">
        <f t="shared" si="94"/>
        <v>149.63671045240511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140.55591545490066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140.55591545490066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8.5265128291212022E-14</v>
      </c>
      <c r="CU130" s="18">
        <f>CT130*VLOOKUP('Données projet'!$B$13,Paramètres!$A$1:$I$89,3,0)*VLOOKUP('Données projet'!$B$13,Paramètres!$A$1:$I$89,5,0)</f>
        <v>5.5865712056402117E-14</v>
      </c>
      <c r="CV130" s="14">
        <f t="shared" si="95"/>
        <v>8.9811031843713517E-13</v>
      </c>
      <c r="CW130" s="22">
        <f t="shared" si="67"/>
        <v>1.6615082531095774E-12</v>
      </c>
      <c r="CX130" s="62">
        <f t="shared" si="68"/>
        <v>293.33333333333496</v>
      </c>
      <c r="CY130" s="62">
        <f ca="1">AVERAGE(OFFSET($CX$3,0,0,'Données projet'!$E$13+1,1))-AVERAGE(OFFSET($H$3,0,0,'Données projet'!$E$13+1,1))</f>
        <v>173.15672762188746</v>
      </c>
      <c r="CZ130" s="62">
        <f t="shared" si="96"/>
        <v>208.54841796921414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39.583168656757124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39.583168656757124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269.18638759204373</v>
      </c>
      <c r="EP130" s="62">
        <f t="shared" si="100"/>
        <v>197.07126167823969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79.584323627745263</v>
      </c>
      <c r="EW130" s="23">
        <f>EXP(-LN(2)/25)*EW129+(1-EXP(-LN(2)/25))/(LN(2)/25)*Calculateur!ER130*Calculateur!ET130*VLOOKUP('Données projet'!$B$15,Paramètres!$A$1:$I$89,3,0)*0.475*44/12</f>
        <v>8.572208394894453</v>
      </c>
      <c r="EX130" s="23">
        <f>EXP(-LN(2)/2)*EX129+(1-EXP(-LN(2)/2))/(LN(2)/2)*ER130*EU130*VLOOKUP('Données projet'!$B$15,Paramètres!$A$1:$I$89,3,0)*0.475*44/12</f>
        <v>2.6822866242092996E-6</v>
      </c>
      <c r="EY130" s="24">
        <f t="shared" si="75"/>
        <v>88.156534704926329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1.1368683772161603E-13</v>
      </c>
      <c r="FF130" s="18">
        <f>FE130*VLOOKUP('Données projet'!$B$16,Paramètres!$A$1:$I$89,3,0)*VLOOKUP('Données projet'!$B$16,Paramètres!$A$1:$I$89,5,0)</f>
        <v>6.7984728957526396E-14</v>
      </c>
      <c r="FG130" s="14">
        <f t="shared" si="101"/>
        <v>1.0682447123141398E-12</v>
      </c>
      <c r="FH130" s="22">
        <f t="shared" si="76"/>
        <v>1.978932943548152E-12</v>
      </c>
      <c r="FI130" s="62">
        <f t="shared" si="77"/>
        <v>293.3333333333353</v>
      </c>
      <c r="FJ130" s="62">
        <f ca="1">AVERAGE(OFFSET($FI$3,0,0,'Données projet'!$E$16+1,1))-AVERAGE(OFFSET($H$3,0,0,'Données projet'!$E$16+1,1))</f>
        <v>330.48891719033065</v>
      </c>
      <c r="FK130" s="62">
        <f t="shared" si="102"/>
        <v>419.35494198427284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56.39462199743307</v>
      </c>
      <c r="FR130" s="23">
        <f>EXP(-LN(2)/25)*FR129+(1-EXP(-LN(2)/25))/(LN(2)/25)*Calculateur!FM130*Calculateur!FO130*VLOOKUP('Données projet'!$B$16,Paramètres!$A$1:$I$89,3,0)*0.475*44/12</f>
        <v>5.6064163308925838</v>
      </c>
      <c r="FS130" s="23">
        <f>EXP(-LN(2)/2)*FS129+(1-EXP(-LN(2)/2))/(LN(2)/2)*FM130*FP130*VLOOKUP('Données projet'!$B$16,Paramètres!$A$1:$I$89,3,0)*0.475*44/12</f>
        <v>7.1490218461692356E-10</v>
      </c>
      <c r="FT130" s="24">
        <f t="shared" si="78"/>
        <v>62.001038329040561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>
        <f>FZ130*VLOOKUP('Données projet'!$B$17,Paramètres!$A$1:$I$89,3,0)*VLOOKUP('Données projet'!$B$17,Paramètres!$A$1:$I$89,5,0)</f>
        <v>0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132.18258156780018</v>
      </c>
      <c r="GF130" s="62">
        <f t="shared" si="104"/>
        <v>315.58133946947294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6.3527152700949525</v>
      </c>
      <c r="GM130" s="23">
        <f>EXP(-LN(2)/25)*GM129+(1-EXP(-LN(2)/25))/(LN(2)/25)*Calculateur!GH130*Calculateur!GJ130*VLOOKUP('Données projet'!$B$17,Paramètres!$A$1:$I$89,3,0)*0.475*44/12</f>
        <v>1.2602378030172898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7.6129530731122426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9">
        <f t="shared" si="56"/>
        <v>507.5472138335092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8.0699999999999985</v>
      </c>
      <c r="N131" s="14">
        <f>IF('Données projet'!$A$36&gt;35,N130+M131-V130,IF(A131&lt;'Données projet'!$A$36,$K$205^A131,IF(A131='Données projet'!$A$36,'Données projet'!$B$36,N130+M131-V130)))</f>
        <v>388.1700000000007</v>
      </c>
      <c r="O131" s="14">
        <f>N131*VLOOKUP('Données projet'!$B$9,Paramètres!$A$1:$I$89,3,0)*VLOOKUP('Données projet'!$B$9,Paramètres!$A$1:$I$89,5,0)</f>
        <v>351.2162160000006</v>
      </c>
      <c r="P131" s="14">
        <f t="shared" si="87"/>
        <v>81.812892161752615</v>
      </c>
      <c r="Q131" s="22">
        <f t="shared" ref="Q131:Q153" si="108">(O131+P131)*0.475*44/12</f>
        <v>754.19236338172016</v>
      </c>
      <c r="R131" s="62">
        <f t="shared" ref="R131:R194" si="109">Q131+(I131+J131)*44/12</f>
        <v>1047.5256967150535</v>
      </c>
      <c r="S131" s="62">
        <f ca="1">AVERAGE(OFFSET($R$3,0,0,'Données projet'!$E$9+1,1))-AVERAGE(OFFSET($H$3,0,0,'Données projet'!$E$9+1,1))</f>
        <v>401.86262166363821</v>
      </c>
      <c r="T131" s="62">
        <f t="shared" si="88"/>
        <v>208.60314230781432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51.812581853678878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51.812581853678878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6.8212102632969618E-13</v>
      </c>
      <c r="AJ131" s="14">
        <f>AI131*VLOOKUP('Données projet'!$B$10,Paramètres!$A$1:$I$89,3,0)*VLOOKUP('Données projet'!$B$10,Paramètres!$A$1:$I$89,5,0)</f>
        <v>7.3423507274128498E-13</v>
      </c>
      <c r="AK131" s="14">
        <f t="shared" si="89"/>
        <v>8.7458894232577541E-12</v>
      </c>
      <c r="AL131" s="22">
        <f t="shared" si="58"/>
        <v>1.6511216830531657E-11</v>
      </c>
      <c r="AM131" s="62">
        <f t="shared" si="59"/>
        <v>293.3333333333498</v>
      </c>
      <c r="AN131" s="62">
        <f ca="1">AVERAGE(OFFSET($AM$3,0,0,'Données projet'!$E$10+1,1))-AVERAGE(OFFSET($H$3,0,0,'Données projet'!$E$10+1,1))</f>
        <v>407.22515465568205</v>
      </c>
      <c r="AO131" s="62">
        <f t="shared" si="90"/>
        <v>251.6218558398258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179.39960902188031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179.39960902188031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6.8212102632969618E-13</v>
      </c>
      <c r="BE131" s="14">
        <f>BD131*VLOOKUP('Données projet'!$B$11,Paramètres!$A$1:$I$89,3,0)*VLOOKUP('Données projet'!$B$11,Paramètres!$A$1:$I$89,5,0)</f>
        <v>6.5974745666608208E-13</v>
      </c>
      <c r="BF131" s="14">
        <f t="shared" si="91"/>
        <v>7.9570891233345703E-12</v>
      </c>
      <c r="BG131" s="22">
        <f t="shared" si="61"/>
        <v>1.5007657043501137E-11</v>
      </c>
      <c r="BH131" s="62">
        <f t="shared" si="62"/>
        <v>293.33333333334832</v>
      </c>
      <c r="BI131" s="62">
        <f ca="1">AVERAGE(OFFSET($BH$3,0,0,'Données projet'!$E$11+1,1))-AVERAGE(OFFSET($H$3,0,0,'Données projet'!$E$11+1,1))</f>
        <v>357.76044008074308</v>
      </c>
      <c r="BJ131" s="62">
        <f t="shared" si="92"/>
        <v>224.26555772810445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161.19964868632729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161.19964868632729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6.8212102632969618E-13</v>
      </c>
      <c r="BZ131" s="14">
        <f>BY131*VLOOKUP('Données projet'!$B$12,Paramètres!$A$1:$I$89,3,0)*VLOOKUP('Données projet'!$B$12,Paramètres!$A$1:$I$89,5,0)</f>
        <v>4.5756678446196019E-13</v>
      </c>
      <c r="CA131" s="14">
        <f t="shared" si="93"/>
        <v>5.7587689306883675E-12</v>
      </c>
      <c r="CB131" s="22">
        <f t="shared" si="64"/>
        <v>1.0826784703886818E-11</v>
      </c>
      <c r="CC131" s="62">
        <f t="shared" si="65"/>
        <v>293.33333333334411</v>
      </c>
      <c r="CD131" s="62">
        <f ca="1">AVERAGE(OFFSET($CC$3,0,0,'Données projet'!$E$12+1,1))-AVERAGE(OFFSET($H$3,0,0,'Données projet'!$E$12+1,1))</f>
        <v>222.86701323374945</v>
      </c>
      <c r="CE131" s="62">
        <f t="shared" si="94"/>
        <v>149.63671045240511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137.79969968347328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137.79969968347328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8.5265128291212022E-14</v>
      </c>
      <c r="CU131" s="18">
        <f>CT131*VLOOKUP('Données projet'!$B$13,Paramètres!$A$1:$I$89,3,0)*VLOOKUP('Données projet'!$B$13,Paramètres!$A$1:$I$89,5,0)</f>
        <v>5.5865712056402117E-14</v>
      </c>
      <c r="CV131" s="14">
        <f t="shared" si="95"/>
        <v>8.9811031843713517E-13</v>
      </c>
      <c r="CW131" s="22">
        <f t="shared" si="67"/>
        <v>1.6615082531095774E-12</v>
      </c>
      <c r="CX131" s="62">
        <f t="shared" si="68"/>
        <v>293.33333333333496</v>
      </c>
      <c r="CY131" s="62">
        <f ca="1">AVERAGE(OFFSET($CX$3,0,0,'Données projet'!$E$13+1,1))-AVERAGE(OFFSET($H$3,0,0,'Données projet'!$E$13+1,1))</f>
        <v>173.15672762188746</v>
      </c>
      <c r="CZ131" s="62">
        <f t="shared" si="96"/>
        <v>208.54841796921414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38.806966862747039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38.806966862747039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269.18638759204373</v>
      </c>
      <c r="EP131" s="62">
        <f t="shared" si="100"/>
        <v>197.07126167823969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78.023723583049502</v>
      </c>
      <c r="EW131" s="23">
        <f>EXP(-LN(2)/25)*EW130+(1-EXP(-LN(2)/25))/(LN(2)/25)*Calculateur!ER131*Calculateur!ET131*VLOOKUP('Données projet'!$B$15,Paramètres!$A$1:$I$89,3,0)*0.475*44/12</f>
        <v>8.337800905543217</v>
      </c>
      <c r="EX131" s="23">
        <f>EXP(-LN(2)/2)*EX130+(1-EXP(-LN(2)/2))/(LN(2)/2)*ER131*EU131*VLOOKUP('Données projet'!$B$15,Paramètres!$A$1:$I$89,3,0)*0.475*44/12</f>
        <v>1.8966630610643685E-6</v>
      </c>
      <c r="EY131" s="24">
        <f t="shared" si="75"/>
        <v>86.361526385255786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1.1368683772161603E-13</v>
      </c>
      <c r="FF131" s="18">
        <f>FE131*VLOOKUP('Données projet'!$B$16,Paramètres!$A$1:$I$89,3,0)*VLOOKUP('Données projet'!$B$16,Paramètres!$A$1:$I$89,5,0)</f>
        <v>6.7984728957526396E-14</v>
      </c>
      <c r="FG131" s="14">
        <f t="shared" si="101"/>
        <v>1.0682447123141398E-12</v>
      </c>
      <c r="FH131" s="22">
        <f t="shared" si="76"/>
        <v>1.978932943548152E-12</v>
      </c>
      <c r="FI131" s="62">
        <f t="shared" si="77"/>
        <v>293.3333333333353</v>
      </c>
      <c r="FJ131" s="62">
        <f ca="1">AVERAGE(OFFSET($FI$3,0,0,'Données projet'!$E$16+1,1))-AVERAGE(OFFSET($H$3,0,0,'Données projet'!$E$16+1,1))</f>
        <v>330.48891719033065</v>
      </c>
      <c r="FK131" s="62">
        <f t="shared" si="102"/>
        <v>419.35494198427284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55.288757857386372</v>
      </c>
      <c r="FR131" s="23">
        <f>EXP(-LN(2)/25)*FR130+(1-EXP(-LN(2)/25))/(LN(2)/25)*Calculateur!FM131*Calculateur!FO131*VLOOKUP('Données projet'!$B$16,Paramètres!$A$1:$I$89,3,0)*0.475*44/12</f>
        <v>5.4531085814957052</v>
      </c>
      <c r="FS131" s="23">
        <f>EXP(-LN(2)/2)*FS130+(1-EXP(-LN(2)/2))/(LN(2)/2)*FM131*FP131*VLOOKUP('Données projet'!$B$16,Paramètres!$A$1:$I$89,3,0)*0.475*44/12</f>
        <v>5.0551218262770376E-10</v>
      </c>
      <c r="FT131" s="24">
        <f t="shared" si="78"/>
        <v>60.741866439387593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>
        <f>FZ131*VLOOKUP('Données projet'!$B$17,Paramètres!$A$1:$I$89,3,0)*VLOOKUP('Données projet'!$B$17,Paramètres!$A$1:$I$89,5,0)</f>
        <v>0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132.18258156780018</v>
      </c>
      <c r="GF131" s="62">
        <f t="shared" si="104"/>
        <v>315.58133946947294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6.2281423984221034</v>
      </c>
      <c r="GM131" s="23">
        <f>EXP(-LN(2)/25)*GM130+(1-EXP(-LN(2)/25))/(LN(2)/25)*Calculateur!GH131*Calculateur!GJ131*VLOOKUP('Données projet'!$B$17,Paramètres!$A$1:$I$89,3,0)*0.475*44/12</f>
        <v>1.2257765340207563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7.4539189324428596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9">
        <f t="shared" ref="H132:H195" si="110">(B132+E132+F132)*44/12+(C132+D132)*0.475*44/12</f>
        <v>509.45917635473086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8.0699999999999985</v>
      </c>
      <c r="N132" s="14">
        <f>IF('Données projet'!$A$36&gt;35,N131+M132-V131,IF(A132&lt;'Données projet'!$A$36,$K$205^A132,IF(A132='Données projet'!$A$36,'Données projet'!$B$36,N131+M132-V131)))</f>
        <v>396.24000000000069</v>
      </c>
      <c r="O132" s="14">
        <f>N132*VLOOKUP('Données projet'!$B$9,Paramètres!$A$1:$I$89,3,0)*VLOOKUP('Données projet'!$B$9,Paramètres!$A$1:$I$89,5,0)</f>
        <v>358.51795200000061</v>
      </c>
      <c r="P132" s="14">
        <f t="shared" si="87"/>
        <v>83.313983934777241</v>
      </c>
      <c r="Q132" s="22">
        <f t="shared" si="108"/>
        <v>769.52395508640473</v>
      </c>
      <c r="R132" s="62">
        <f t="shared" si="109"/>
        <v>1062.8572884197381</v>
      </c>
      <c r="S132" s="62">
        <f ca="1">AVERAGE(OFFSET($R$3,0,0,'Données projet'!$E$9+1,1))-AVERAGE(OFFSET($H$3,0,0,'Données projet'!$E$9+1,1))</f>
        <v>401.86262166363821</v>
      </c>
      <c r="T132" s="62">
        <f t="shared" si="88"/>
        <v>208.60314230781432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50.796568726082675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50.796568726082675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6.8212102632969618E-13</v>
      </c>
      <c r="AJ132" s="14">
        <f>AI132*VLOOKUP('Données projet'!$B$10,Paramètres!$A$1:$I$89,3,0)*VLOOKUP('Données projet'!$B$10,Paramètres!$A$1:$I$89,5,0)</f>
        <v>7.3423507274128498E-13</v>
      </c>
      <c r="AK132" s="14">
        <f t="shared" si="89"/>
        <v>8.7458894232577541E-12</v>
      </c>
      <c r="AL132" s="22">
        <f t="shared" ref="AL132:AL153" si="112">(AJ132+AK132)*0.475*44/12</f>
        <v>1.6511216830531657E-11</v>
      </c>
      <c r="AM132" s="62">
        <f t="shared" ref="AM132:AM195" si="113">AL132+(AD132+AE132)*44/12</f>
        <v>293.3333333333498</v>
      </c>
      <c r="AN132" s="62">
        <f ca="1">AVERAGE(OFFSET($AM$3,0,0,'Données projet'!$E$10+1,1))-AVERAGE(OFFSET($H$3,0,0,'Données projet'!$E$10+1,1))</f>
        <v>407.22515465568205</v>
      </c>
      <c r="AO132" s="62">
        <f t="shared" si="90"/>
        <v>251.6218558398258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175.88169211191811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175.88169211191811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6.8212102632969618E-13</v>
      </c>
      <c r="BE132" s="14">
        <f>BD132*VLOOKUP('Données projet'!$B$11,Paramètres!$A$1:$I$89,3,0)*VLOOKUP('Données projet'!$B$11,Paramètres!$A$1:$I$89,5,0)</f>
        <v>6.5974745666608208E-13</v>
      </c>
      <c r="BF132" s="14">
        <f t="shared" si="91"/>
        <v>7.9570891233345703E-12</v>
      </c>
      <c r="BG132" s="22">
        <f t="shared" ref="BG132:BG153" si="115">(BE132+BF132)*0.475*44/12</f>
        <v>1.5007657043501137E-11</v>
      </c>
      <c r="BH132" s="62">
        <f t="shared" ref="BH132:BH195" si="116">BG132+(AY132+AZ132)*44/12</f>
        <v>293.33333333334832</v>
      </c>
      <c r="BI132" s="62">
        <f ca="1">AVERAGE(OFFSET($BH$3,0,0,'Données projet'!$E$11+1,1))-AVERAGE(OFFSET($H$3,0,0,'Données projet'!$E$11+1,1))</f>
        <v>357.76044008074308</v>
      </c>
      <c r="BJ132" s="62">
        <f t="shared" si="92"/>
        <v>224.26555772810445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158.03862189766562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158.03862189766562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6.8212102632969618E-13</v>
      </c>
      <c r="BZ132" s="14">
        <f>BY132*VLOOKUP('Données projet'!$B$12,Paramètres!$A$1:$I$89,3,0)*VLOOKUP('Données projet'!$B$12,Paramètres!$A$1:$I$89,5,0)</f>
        <v>4.5756678446196019E-13</v>
      </c>
      <c r="CA132" s="14">
        <f t="shared" si="93"/>
        <v>5.7587689306883675E-12</v>
      </c>
      <c r="CB132" s="22">
        <f t="shared" ref="CB132:CB153" si="118">(BZ132+CA132)*0.475*44/12</f>
        <v>1.0826784703886818E-11</v>
      </c>
      <c r="CC132" s="62">
        <f t="shared" ref="CC132:CC195" si="119">CB132+(BT132+BU132)*44/12</f>
        <v>293.33333333334411</v>
      </c>
      <c r="CD132" s="62">
        <f ca="1">AVERAGE(OFFSET($CC$3,0,0,'Données projet'!$E$12+1,1))-AVERAGE(OFFSET($H$3,0,0,'Données projet'!$E$12+1,1))</f>
        <v>222.86701323374945</v>
      </c>
      <c r="CE132" s="62">
        <f t="shared" si="94"/>
        <v>149.63671045240511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135.09753162219798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135.09753162219798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8.5265128291212022E-14</v>
      </c>
      <c r="CU132" s="18">
        <f>CT132*VLOOKUP('Données projet'!$B$13,Paramètres!$A$1:$I$89,3,0)*VLOOKUP('Données projet'!$B$13,Paramètres!$A$1:$I$89,5,0)</f>
        <v>5.5865712056402117E-14</v>
      </c>
      <c r="CV132" s="14">
        <f t="shared" si="95"/>
        <v>8.9811031843713517E-13</v>
      </c>
      <c r="CW132" s="22">
        <f t="shared" ref="CW132:CW153" si="121">(CU132+CV132)*0.475*44/12</f>
        <v>1.6615082531095774E-12</v>
      </c>
      <c r="CX132" s="62">
        <f t="shared" ref="CX132:CX195" si="122">CW132+(CO132+CP132)*44/12</f>
        <v>293.33333333333496</v>
      </c>
      <c r="CY132" s="62">
        <f ca="1">AVERAGE(OFFSET($CX$3,0,0,'Données projet'!$E$13+1,1))-AVERAGE(OFFSET($H$3,0,0,'Données projet'!$E$13+1,1))</f>
        <v>173.15672762188746</v>
      </c>
      <c r="CZ132" s="62">
        <f t="shared" si="96"/>
        <v>208.54841796921414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38.045985912481143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38.045985912481143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269.18638759204373</v>
      </c>
      <c r="EP132" s="62">
        <f t="shared" si="100"/>
        <v>197.07126167823969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76.493725953358194</v>
      </c>
      <c r="EW132" s="23">
        <f>EXP(-LN(2)/25)*EW131+(1-EXP(-LN(2)/25))/(LN(2)/25)*Calculateur!ER132*Calculateur!ET132*VLOOKUP('Données projet'!$B$15,Paramètres!$A$1:$I$89,3,0)*0.475*44/12</f>
        <v>8.1098033013152442</v>
      </c>
      <c r="EX132" s="23">
        <f>EXP(-LN(2)/2)*EX131+(1-EXP(-LN(2)/2))/(LN(2)/2)*ER132*EU132*VLOOKUP('Données projet'!$B$15,Paramètres!$A$1:$I$89,3,0)*0.475*44/12</f>
        <v>1.34114331210465E-6</v>
      </c>
      <c r="EY132" s="24">
        <f t="shared" ref="EY132:EY153" si="129">SUM(EV132:EX132)</f>
        <v>84.60353059581675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1.1368683772161603E-13</v>
      </c>
      <c r="FF132" s="18">
        <f>FE132*VLOOKUP('Données projet'!$B$16,Paramètres!$A$1:$I$89,3,0)*VLOOKUP('Données projet'!$B$16,Paramètres!$A$1:$I$89,5,0)</f>
        <v>6.7984728957526396E-14</v>
      </c>
      <c r="FG132" s="14">
        <f t="shared" si="101"/>
        <v>1.0682447123141398E-12</v>
      </c>
      <c r="FH132" s="22">
        <f t="shared" ref="FH132:FH153" si="130">(FF132+FG132)*0.475*44/12</f>
        <v>1.978932943548152E-12</v>
      </c>
      <c r="FI132" s="62">
        <f t="shared" ref="FI132:FI195" si="131">FH132+(EZ132+FA132)*44/12</f>
        <v>293.3333333333353</v>
      </c>
      <c r="FJ132" s="62">
        <f ca="1">AVERAGE(OFFSET($FI$3,0,0,'Données projet'!$E$16+1,1))-AVERAGE(OFFSET($H$3,0,0,'Données projet'!$E$16+1,1))</f>
        <v>330.48891719033065</v>
      </c>
      <c r="FK132" s="62">
        <f t="shared" si="102"/>
        <v>419.35494198427284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54.204579038615471</v>
      </c>
      <c r="FR132" s="23">
        <f>EXP(-LN(2)/25)*FR131+(1-EXP(-LN(2)/25))/(LN(2)/25)*Calculateur!FM132*Calculateur!FO132*VLOOKUP('Données projet'!$B$16,Paramètres!$A$1:$I$89,3,0)*0.475*44/12</f>
        <v>5.3039930405681881</v>
      </c>
      <c r="FS132" s="23">
        <f>EXP(-LN(2)/2)*FS131+(1-EXP(-LN(2)/2))/(LN(2)/2)*FM132*FP132*VLOOKUP('Données projet'!$B$16,Paramètres!$A$1:$I$89,3,0)*0.475*44/12</f>
        <v>3.5745109230846178E-10</v>
      </c>
      <c r="FT132" s="24">
        <f t="shared" ref="FT132:FT153" si="132">SUM(FQ132:FS132)</f>
        <v>59.508572079541111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>
        <f>FZ132*VLOOKUP('Données projet'!$B$17,Paramètres!$A$1:$I$89,3,0)*VLOOKUP('Données projet'!$B$17,Paramètres!$A$1:$I$89,5,0)</f>
        <v>0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132.18258156780018</v>
      </c>
      <c r="GF132" s="62">
        <f t="shared" si="104"/>
        <v>315.58133946947294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6.1060123247808091</v>
      </c>
      <c r="GM132" s="23">
        <f>EXP(-LN(2)/25)*GM131+(1-EXP(-LN(2)/25))/(LN(2)/25)*Calculateur!GH132*Calculateur!GJ132*VLOOKUP('Données projet'!$B$17,Paramètres!$A$1:$I$89,3,0)*0.475*44/12</f>
        <v>1.1922576102371722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7.2982699350179816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9">
        <f t="shared" si="110"/>
        <v>511.37081123023484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8.0699999999999985</v>
      </c>
      <c r="N133" s="14">
        <f>IF('Données projet'!$A$36&gt;35,N132+M133-V132,IF(A133&lt;'Données projet'!$A$36,$K$205^A133,IF(A133='Données projet'!$A$36,'Données projet'!$B$36,N132+M133-V132)))</f>
        <v>404.31000000000068</v>
      </c>
      <c r="O133" s="14">
        <f>N133*VLOOKUP('Données projet'!$B$9,Paramètres!$A$1:$I$89,3,0)*VLOOKUP('Données projet'!$B$9,Paramètres!$A$1:$I$89,5,0)</f>
        <v>365.81968800000061</v>
      </c>
      <c r="P133" s="14">
        <f t="shared" ref="P133:P196" si="141">EXP(-1.0587+0.8836*LN(O133)+0.284)</f>
        <v>84.811521093342051</v>
      </c>
      <c r="Q133" s="22">
        <f t="shared" si="108"/>
        <v>784.84935583757169</v>
      </c>
      <c r="R133" s="62">
        <f t="shared" si="109"/>
        <v>1078.182689170905</v>
      </c>
      <c r="S133" s="62">
        <f ca="1">AVERAGE(OFFSET($R$3,0,0,'Données projet'!$E$9+1,1))-AVERAGE(OFFSET($H$3,0,0,'Données projet'!$E$9+1,1))</f>
        <v>401.86262166363821</v>
      </c>
      <c r="T133" s="62">
        <f t="shared" ref="T133:T196" si="142">$T$3</f>
        <v>208.60314230781432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49.800478996211815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49.800478996211815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6.8212102632969618E-13</v>
      </c>
      <c r="AJ133" s="14">
        <f>AI133*VLOOKUP('Données projet'!$B$10,Paramètres!$A$1:$I$89,3,0)*VLOOKUP('Données projet'!$B$10,Paramètres!$A$1:$I$89,5,0)</f>
        <v>7.3423507274128498E-13</v>
      </c>
      <c r="AK133" s="14">
        <f t="shared" ref="AK133:AK153" si="143">EXP(-1.0587+0.8836*LN(AJ133)+0.284)</f>
        <v>8.7458894232577541E-12</v>
      </c>
      <c r="AL133" s="22">
        <f t="shared" si="112"/>
        <v>1.6511216830531657E-11</v>
      </c>
      <c r="AM133" s="62">
        <f t="shared" si="113"/>
        <v>293.3333333333498</v>
      </c>
      <c r="AN133" s="62">
        <f ca="1">AVERAGE(OFFSET($AM$3,0,0,'Données projet'!$E$10+1,1))-AVERAGE(OFFSET($H$3,0,0,'Données projet'!$E$10+1,1))</f>
        <v>407.22515465568205</v>
      </c>
      <c r="AO133" s="62">
        <f t="shared" ref="AO133:AO196" si="144">$AO$3</f>
        <v>251.6218558398258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172.43275940684285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172.43275940684285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6.8212102632969618E-13</v>
      </c>
      <c r="BE133" s="14">
        <f>BD133*VLOOKUP('Données projet'!$B$11,Paramètres!$A$1:$I$89,3,0)*VLOOKUP('Données projet'!$B$11,Paramètres!$A$1:$I$89,5,0)</f>
        <v>6.5974745666608208E-13</v>
      </c>
      <c r="BF133" s="14">
        <f t="shared" ref="BF133:BF153" si="145">EXP(-1.0587+0.8836*LN(BE133)+0.284)</f>
        <v>7.9570891233345703E-12</v>
      </c>
      <c r="BG133" s="22">
        <f t="shared" si="115"/>
        <v>1.5007657043501137E-11</v>
      </c>
      <c r="BH133" s="62">
        <f t="shared" si="116"/>
        <v>293.33333333334832</v>
      </c>
      <c r="BI133" s="62">
        <f ca="1">AVERAGE(OFFSET($BH$3,0,0,'Données projet'!$E$11+1,1))-AVERAGE(OFFSET($H$3,0,0,'Données projet'!$E$11+1,1))</f>
        <v>357.76044008074308</v>
      </c>
      <c r="BJ133" s="62">
        <f t="shared" ref="BJ133:BJ196" si="146">$BJ$3</f>
        <v>224.26555772810445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154.93958091629364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154.93958091629364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6.8212102632969618E-13</v>
      </c>
      <c r="BZ133" s="14">
        <f>BY133*VLOOKUP('Données projet'!$B$12,Paramètres!$A$1:$I$89,3,0)*VLOOKUP('Données projet'!$B$12,Paramètres!$A$1:$I$89,5,0)</f>
        <v>4.5756678446196019E-13</v>
      </c>
      <c r="CA133" s="14">
        <f t="shared" ref="CA133:CA153" si="147">EXP(-1.0587+0.8836*LN(BZ133)+0.284)</f>
        <v>5.7587689306883675E-12</v>
      </c>
      <c r="CB133" s="22">
        <f t="shared" si="118"/>
        <v>1.0826784703886818E-11</v>
      </c>
      <c r="CC133" s="62">
        <f t="shared" si="119"/>
        <v>293.33333333334411</v>
      </c>
      <c r="CD133" s="62">
        <f ca="1">AVERAGE(OFFSET($CC$3,0,0,'Données projet'!$E$12+1,1))-AVERAGE(OFFSET($H$3,0,0,'Données projet'!$E$12+1,1))</f>
        <v>222.86701323374945</v>
      </c>
      <c r="CE133" s="62">
        <f t="shared" ref="CE133:CE196" si="148">$CE$3</f>
        <v>149.63671045240511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132.44835142844451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132.44835142844451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8.5265128291212022E-14</v>
      </c>
      <c r="CU133" s="18">
        <f>CT133*VLOOKUP('Données projet'!$B$13,Paramètres!$A$1:$I$89,3,0)*VLOOKUP('Données projet'!$B$13,Paramètres!$A$1:$I$89,5,0)</f>
        <v>5.5865712056402117E-14</v>
      </c>
      <c r="CV133" s="14">
        <f t="shared" ref="CV133:CV153" si="149">EXP(-1.0587+0.8836*LN(CU133)+0.284)</f>
        <v>8.9811031843713517E-13</v>
      </c>
      <c r="CW133" s="22">
        <f t="shared" si="121"/>
        <v>1.6615082531095774E-12</v>
      </c>
      <c r="CX133" s="62">
        <f t="shared" si="122"/>
        <v>293.33333333333496</v>
      </c>
      <c r="CY133" s="62">
        <f ca="1">AVERAGE(OFFSET($CX$3,0,0,'Données projet'!$E$13+1,1))-AVERAGE(OFFSET($H$3,0,0,'Données projet'!$E$13+1,1))</f>
        <v>173.15672762188746</v>
      </c>
      <c r="CZ133" s="62">
        <f t="shared" ref="CZ133:CZ196" si="150">$CZ$3</f>
        <v>208.54841796921414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37.299927334497418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37.299927334497418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269.18638759204373</v>
      </c>
      <c r="EP133" s="62">
        <f t="shared" ref="EP133:EP196" si="154">$EP$3</f>
        <v>197.07126167823969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74.993730643978722</v>
      </c>
      <c r="EW133" s="23">
        <f>EXP(-LN(2)/25)*EW132+(1-EXP(-LN(2)/25))/(LN(2)/25)*Calculateur!ER133*Calculateur!ET133*VLOOKUP('Données projet'!$B$15,Paramètres!$A$1:$I$89,3,0)*0.475*44/12</f>
        <v>7.8880403035647584</v>
      </c>
      <c r="EX133" s="23">
        <f>EXP(-LN(2)/2)*EX132+(1-EXP(-LN(2)/2))/(LN(2)/2)*ER133*EU133*VLOOKUP('Données projet'!$B$15,Paramètres!$A$1:$I$89,3,0)*0.475*44/12</f>
        <v>9.4833153053218446E-7</v>
      </c>
      <c r="EY133" s="24">
        <f t="shared" si="129"/>
        <v>82.881771895875019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1.1368683772161603E-13</v>
      </c>
      <c r="FF133" s="18">
        <f>FE133*VLOOKUP('Données projet'!$B$16,Paramètres!$A$1:$I$89,3,0)*VLOOKUP('Données projet'!$B$16,Paramètres!$A$1:$I$89,5,0)</f>
        <v>6.7984728957526396E-14</v>
      </c>
      <c r="FG133" s="14">
        <f t="shared" ref="FG133:FG153" si="155">EXP(-1.0587+0.8836*LN(FF133)+0.284)</f>
        <v>1.0682447123141398E-12</v>
      </c>
      <c r="FH133" s="22">
        <f t="shared" si="130"/>
        <v>1.978932943548152E-12</v>
      </c>
      <c r="FI133" s="62">
        <f t="shared" si="131"/>
        <v>293.3333333333353</v>
      </c>
      <c r="FJ133" s="62">
        <f ca="1">AVERAGE(OFFSET($FI$3,0,0,'Données projet'!$E$16+1,1))-AVERAGE(OFFSET($H$3,0,0,'Données projet'!$E$16+1,1))</f>
        <v>330.48891719033065</v>
      </c>
      <c r="FK133" s="62">
        <f t="shared" ref="FK133:FK196" si="156">$FK$3</f>
        <v>419.35494198427284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53.141660305196879</v>
      </c>
      <c r="FR133" s="23">
        <f>EXP(-LN(2)/25)*FR132+(1-EXP(-LN(2)/25))/(LN(2)/25)*Calculateur!FM133*Calculateur!FO133*VLOOKUP('Données projet'!$B$16,Paramètres!$A$1:$I$89,3,0)*0.475*44/12</f>
        <v>5.1589550719489798</v>
      </c>
      <c r="FS133" s="23">
        <f>EXP(-LN(2)/2)*FS132+(1-EXP(-LN(2)/2))/(LN(2)/2)*FM133*FP133*VLOOKUP('Données projet'!$B$16,Paramètres!$A$1:$I$89,3,0)*0.475*44/12</f>
        <v>2.5275609131385188E-10</v>
      </c>
      <c r="FT133" s="24">
        <f t="shared" si="132"/>
        <v>58.300615377398614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>
        <f>FZ133*VLOOKUP('Données projet'!$B$17,Paramètres!$A$1:$I$89,3,0)*VLOOKUP('Données projet'!$B$17,Paramètres!$A$1:$I$89,5,0)</f>
        <v>0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132.18258156780018</v>
      </c>
      <c r="GF133" s="62">
        <f t="shared" ref="GF133:GF196" si="158">$GF$3</f>
        <v>315.58133946947294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5.9862771473916316</v>
      </c>
      <c r="GM133" s="23">
        <f>EXP(-LN(2)/25)*GM132+(1-EXP(-LN(2)/25))/(LN(2)/25)*Calculateur!GH133*Calculateur!GJ133*VLOOKUP('Données projet'!$B$17,Paramètres!$A$1:$I$89,3,0)*0.475*44/12</f>
        <v>1.159655263187134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7.1459324105787658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9">
        <f t="shared" si="110"/>
        <v>513.28212127253823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8.0699999999999985</v>
      </c>
      <c r="N134" s="14">
        <f>IF('Données projet'!$A$36&gt;35,N133+M134-V133,IF(A134&lt;'Données projet'!$A$36,$K$205^A134,IF(A134='Données projet'!$A$36,'Données projet'!$B$36,N133+M134-V133)))</f>
        <v>412.38000000000068</v>
      </c>
      <c r="O134" s="14">
        <f>N134*VLOOKUP('Données projet'!$B$9,Paramètres!$A$1:$I$89,3,0)*VLOOKUP('Données projet'!$B$9,Paramètres!$A$1:$I$89,5,0)</f>
        <v>373.12142400000062</v>
      </c>
      <c r="P134" s="14">
        <f t="shared" si="141"/>
        <v>86.305582764533938</v>
      </c>
      <c r="Q134" s="22">
        <f t="shared" si="108"/>
        <v>800.16870344823099</v>
      </c>
      <c r="R134" s="62">
        <f t="shared" si="109"/>
        <v>1093.5020367815644</v>
      </c>
      <c r="S134" s="62">
        <f ca="1">AVERAGE(OFFSET($R$3,0,0,'Données projet'!$E$9+1,1))-AVERAGE(OFFSET($H$3,0,0,'Données projet'!$E$9+1,1))</f>
        <v>401.86262166363821</v>
      </c>
      <c r="T134" s="62">
        <f t="shared" si="142"/>
        <v>208.60314230781432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48.823921978388981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48.823921978388981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6.8212102632969618E-13</v>
      </c>
      <c r="AJ134" s="14">
        <f>AI134*VLOOKUP('Données projet'!$B$10,Paramètres!$A$1:$I$89,3,0)*VLOOKUP('Données projet'!$B$10,Paramètres!$A$1:$I$89,5,0)</f>
        <v>7.3423507274128498E-13</v>
      </c>
      <c r="AK134" s="14">
        <f t="shared" si="143"/>
        <v>8.7458894232577541E-12</v>
      </c>
      <c r="AL134" s="22">
        <f t="shared" si="112"/>
        <v>1.6511216830531657E-11</v>
      </c>
      <c r="AM134" s="62">
        <f t="shared" si="113"/>
        <v>293.3333333333498</v>
      </c>
      <c r="AN134" s="62">
        <f ca="1">AVERAGE(OFFSET($AM$3,0,0,'Données projet'!$E$10+1,1))-AVERAGE(OFFSET($H$3,0,0,'Données projet'!$E$10+1,1))</f>
        <v>407.22515465568205</v>
      </c>
      <c r="AO134" s="62">
        <f t="shared" si="144"/>
        <v>251.6218558398258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169.05145816847286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169.05145816847286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6.8212102632969618E-13</v>
      </c>
      <c r="BE134" s="14">
        <f>BD134*VLOOKUP('Données projet'!$B$11,Paramètres!$A$1:$I$89,3,0)*VLOOKUP('Données projet'!$B$11,Paramètres!$A$1:$I$89,5,0)</f>
        <v>6.5974745666608208E-13</v>
      </c>
      <c r="BF134" s="14">
        <f t="shared" si="145"/>
        <v>7.9570891233345703E-12</v>
      </c>
      <c r="BG134" s="22">
        <f t="shared" si="115"/>
        <v>1.5007657043501137E-11</v>
      </c>
      <c r="BH134" s="62">
        <f t="shared" si="116"/>
        <v>293.33333333334832</v>
      </c>
      <c r="BI134" s="62">
        <f ca="1">AVERAGE(OFFSET($BH$3,0,0,'Données projet'!$E$11+1,1))-AVERAGE(OFFSET($H$3,0,0,'Données projet'!$E$11+1,1))</f>
        <v>357.76044008074308</v>
      </c>
      <c r="BJ134" s="62">
        <f t="shared" si="146"/>
        <v>224.26555772810445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151.901310238338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151.901310238338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6.8212102632969618E-13</v>
      </c>
      <c r="BZ134" s="14">
        <f>BY134*VLOOKUP('Données projet'!$B$12,Paramètres!$A$1:$I$89,3,0)*VLOOKUP('Données projet'!$B$12,Paramètres!$A$1:$I$89,5,0)</f>
        <v>4.5756678446196019E-13</v>
      </c>
      <c r="CA134" s="14">
        <f t="shared" si="147"/>
        <v>5.7587689306883675E-12</v>
      </c>
      <c r="CB134" s="22">
        <f t="shared" si="118"/>
        <v>1.0826784703886818E-11</v>
      </c>
      <c r="CC134" s="62">
        <f t="shared" si="119"/>
        <v>293.33333333334411</v>
      </c>
      <c r="CD134" s="62">
        <f ca="1">AVERAGE(OFFSET($CC$3,0,0,'Données projet'!$E$12+1,1))-AVERAGE(OFFSET($H$3,0,0,'Données projet'!$E$12+1,1))</f>
        <v>222.86701323374945</v>
      </c>
      <c r="CE134" s="62">
        <f t="shared" si="148"/>
        <v>149.63671045240511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129.85112004245019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129.85112004245019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8.5265128291212022E-14</v>
      </c>
      <c r="CU134" s="18">
        <f>CT134*VLOOKUP('Données projet'!$B$13,Paramètres!$A$1:$I$89,3,0)*VLOOKUP('Données projet'!$B$13,Paramètres!$A$1:$I$89,5,0)</f>
        <v>5.5865712056402117E-14</v>
      </c>
      <c r="CV134" s="14">
        <f t="shared" si="149"/>
        <v>8.9811031843713517E-13</v>
      </c>
      <c r="CW134" s="22">
        <f t="shared" si="121"/>
        <v>1.6615082531095774E-12</v>
      </c>
      <c r="CX134" s="62">
        <f t="shared" si="122"/>
        <v>293.33333333333496</v>
      </c>
      <c r="CY134" s="62">
        <f ca="1">AVERAGE(OFFSET($CX$3,0,0,'Données projet'!$E$13+1,1))-AVERAGE(OFFSET($H$3,0,0,'Données projet'!$E$13+1,1))</f>
        <v>173.15672762188746</v>
      </c>
      <c r="CZ134" s="62">
        <f t="shared" si="150"/>
        <v>208.54841796921414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36.56849851017715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36.56849851017715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269.18638759204373</v>
      </c>
      <c r="EP134" s="62">
        <f t="shared" si="154"/>
        <v>197.07126167823969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73.523149327709376</v>
      </c>
      <c r="EW134" s="23">
        <f>EXP(-LN(2)/25)*EW133+(1-EXP(-LN(2)/25))/(LN(2)/25)*Calculateur!ER134*Calculateur!ET134*VLOOKUP('Données projet'!$B$15,Paramètres!$A$1:$I$89,3,0)*0.475*44/12</f>
        <v>7.6723414266497691</v>
      </c>
      <c r="EX134" s="23">
        <f>EXP(-LN(2)/2)*EX133+(1-EXP(-LN(2)/2))/(LN(2)/2)*ER134*EU134*VLOOKUP('Données projet'!$B$15,Paramètres!$A$1:$I$89,3,0)*0.475*44/12</f>
        <v>6.7057165605232512E-7</v>
      </c>
      <c r="EY134" s="24">
        <f t="shared" si="129"/>
        <v>81.195491424930793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1.1368683772161603E-13</v>
      </c>
      <c r="FF134" s="18">
        <f>FE134*VLOOKUP('Données projet'!$B$16,Paramètres!$A$1:$I$89,3,0)*VLOOKUP('Données projet'!$B$16,Paramètres!$A$1:$I$89,5,0)</f>
        <v>6.7984728957526396E-14</v>
      </c>
      <c r="FG134" s="14">
        <f t="shared" si="155"/>
        <v>1.0682447123141398E-12</v>
      </c>
      <c r="FH134" s="22">
        <f t="shared" si="130"/>
        <v>1.978932943548152E-12</v>
      </c>
      <c r="FI134" s="62">
        <f t="shared" si="131"/>
        <v>293.3333333333353</v>
      </c>
      <c r="FJ134" s="62">
        <f ca="1">AVERAGE(OFFSET($FI$3,0,0,'Données projet'!$E$16+1,1))-AVERAGE(OFFSET($H$3,0,0,'Données projet'!$E$16+1,1))</f>
        <v>330.48891719033065</v>
      </c>
      <c r="FK134" s="62">
        <f t="shared" si="156"/>
        <v>419.35494198427284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52.099584759824218</v>
      </c>
      <c r="FR134" s="23">
        <f>EXP(-LN(2)/25)*FR133+(1-EXP(-LN(2)/25))/(LN(2)/25)*Calculateur!FM134*Calculateur!FO134*VLOOKUP('Données projet'!$B$16,Paramètres!$A$1:$I$89,3,0)*0.475*44/12</f>
        <v>5.0178831742088787</v>
      </c>
      <c r="FS134" s="23">
        <f>EXP(-LN(2)/2)*FS133+(1-EXP(-LN(2)/2))/(LN(2)/2)*FM134*FP134*VLOOKUP('Données projet'!$B$16,Paramètres!$A$1:$I$89,3,0)*0.475*44/12</f>
        <v>1.7872554615423089E-10</v>
      </c>
      <c r="FT134" s="24">
        <f t="shared" si="132"/>
        <v>57.117467934211817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>
        <f>FZ134*VLOOKUP('Données projet'!$B$17,Paramètres!$A$1:$I$89,3,0)*VLOOKUP('Données projet'!$B$17,Paramètres!$A$1:$I$89,5,0)</f>
        <v>0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132.18258156780018</v>
      </c>
      <c r="GF134" s="62">
        <f t="shared" si="158"/>
        <v>315.58133946947294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5.8688899037998086</v>
      </c>
      <c r="GM134" s="23">
        <f>EXP(-LN(2)/25)*GM133+(1-EXP(-LN(2)/25))/(LN(2)/25)*Calculateur!GH134*Calculateur!GJ134*VLOOKUP('Données projet'!$B$17,Paramètres!$A$1:$I$89,3,0)*0.475*44/12</f>
        <v>1.127944429031662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6.9968343328314706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9">
        <f t="shared" si="110"/>
        <v>515.19310924873832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8.0699999999999985</v>
      </c>
      <c r="N135" s="14">
        <f>IF('Données projet'!$A$36&gt;35,N134+M135-V134,IF(A135&lt;'Données projet'!$A$36,$K$205^A135,IF(A135='Données projet'!$A$36,'Données projet'!$B$36,N134+M135-V134)))</f>
        <v>420.45000000000067</v>
      </c>
      <c r="O135" s="14">
        <f>N135*VLOOKUP('Données projet'!$B$9,Paramètres!$A$1:$I$89,3,0)*VLOOKUP('Données projet'!$B$9,Paramètres!$A$1:$I$89,5,0)</f>
        <v>380.42316000000056</v>
      </c>
      <c r="P135" s="14">
        <f t="shared" si="141"/>
        <v>87.79624480137376</v>
      </c>
      <c r="Q135" s="22">
        <f t="shared" si="108"/>
        <v>815.48213002906016</v>
      </c>
      <c r="R135" s="62">
        <f t="shared" si="109"/>
        <v>1108.8154633623935</v>
      </c>
      <c r="S135" s="62">
        <f ca="1">AVERAGE(OFFSET($R$3,0,0,'Données projet'!$E$9+1,1))-AVERAGE(OFFSET($H$3,0,0,'Données projet'!$E$9+1,1))</f>
        <v>401.86262166363821</v>
      </c>
      <c r="T135" s="62">
        <f t="shared" si="142"/>
        <v>208.60314230781432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47.866514648044685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47.866514648044685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6.8212102632969618E-13</v>
      </c>
      <c r="AJ135" s="14">
        <f>AI135*VLOOKUP('Données projet'!$B$10,Paramètres!$A$1:$I$89,3,0)*VLOOKUP('Données projet'!$B$10,Paramètres!$A$1:$I$89,5,0)</f>
        <v>7.3423507274128498E-13</v>
      </c>
      <c r="AK135" s="14">
        <f t="shared" si="143"/>
        <v>8.7458894232577541E-12</v>
      </c>
      <c r="AL135" s="22">
        <f t="shared" si="112"/>
        <v>1.6511216830531657E-11</v>
      </c>
      <c r="AM135" s="62">
        <f t="shared" si="113"/>
        <v>293.3333333333498</v>
      </c>
      <c r="AN135" s="62">
        <f ca="1">AVERAGE(OFFSET($AM$3,0,0,'Données projet'!$E$10+1,1))-AVERAGE(OFFSET($H$3,0,0,'Données projet'!$E$10+1,1))</f>
        <v>407.22515465568205</v>
      </c>
      <c r="AO135" s="62">
        <f t="shared" si="144"/>
        <v>251.6218558398258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165.73646218499721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165.73646218499721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6.8212102632969618E-13</v>
      </c>
      <c r="BE135" s="14">
        <f>BD135*VLOOKUP('Données projet'!$B$11,Paramètres!$A$1:$I$89,3,0)*VLOOKUP('Données projet'!$B$11,Paramètres!$A$1:$I$89,5,0)</f>
        <v>6.5974745666608208E-13</v>
      </c>
      <c r="BF135" s="14">
        <f t="shared" si="145"/>
        <v>7.9570891233345703E-12</v>
      </c>
      <c r="BG135" s="22">
        <f t="shared" si="115"/>
        <v>1.5007657043501137E-11</v>
      </c>
      <c r="BH135" s="62">
        <f t="shared" si="116"/>
        <v>293.33333333334832</v>
      </c>
      <c r="BI135" s="62">
        <f ca="1">AVERAGE(OFFSET($BH$3,0,0,'Données projet'!$E$11+1,1))-AVERAGE(OFFSET($H$3,0,0,'Données projet'!$E$11+1,1))</f>
        <v>357.76044008074308</v>
      </c>
      <c r="BJ135" s="62">
        <f t="shared" si="146"/>
        <v>224.26555772810445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148.92261819521494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148.92261819521494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6.8212102632969618E-13</v>
      </c>
      <c r="BZ135" s="14">
        <f>BY135*VLOOKUP('Données projet'!$B$12,Paramètres!$A$1:$I$89,3,0)*VLOOKUP('Données projet'!$B$12,Paramètres!$A$1:$I$89,5,0)</f>
        <v>4.5756678446196019E-13</v>
      </c>
      <c r="CA135" s="14">
        <f t="shared" si="147"/>
        <v>5.7587689306883675E-12</v>
      </c>
      <c r="CB135" s="22">
        <f t="shared" si="118"/>
        <v>1.0826784703886818E-11</v>
      </c>
      <c r="CC135" s="62">
        <f t="shared" si="119"/>
        <v>293.33333333334411</v>
      </c>
      <c r="CD135" s="62">
        <f ca="1">AVERAGE(OFFSET($CC$3,0,0,'Données projet'!$E$12+1,1))-AVERAGE(OFFSET($H$3,0,0,'Données projet'!$E$12+1,1))</f>
        <v>222.86701323374945</v>
      </c>
      <c r="CE135" s="62">
        <f t="shared" si="148"/>
        <v>149.63671045240511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127.30481877978049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127.30481877978049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8.5265128291212022E-14</v>
      </c>
      <c r="CU135" s="18">
        <f>CT135*VLOOKUP('Données projet'!$B$13,Paramètres!$A$1:$I$89,3,0)*VLOOKUP('Données projet'!$B$13,Paramètres!$A$1:$I$89,5,0)</f>
        <v>5.5865712056402117E-14</v>
      </c>
      <c r="CV135" s="14">
        <f t="shared" si="149"/>
        <v>8.9811031843713517E-13</v>
      </c>
      <c r="CW135" s="22">
        <f t="shared" si="121"/>
        <v>1.6615082531095774E-12</v>
      </c>
      <c r="CX135" s="62">
        <f t="shared" si="122"/>
        <v>293.33333333333496</v>
      </c>
      <c r="CY135" s="62">
        <f ca="1">AVERAGE(OFFSET($CX$3,0,0,'Données projet'!$E$13+1,1))-AVERAGE(OFFSET($H$3,0,0,'Données projet'!$E$13+1,1))</f>
        <v>173.15672762188746</v>
      </c>
      <c r="CZ135" s="62">
        <f t="shared" si="150"/>
        <v>208.54841796921414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35.851412558974275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35.851412558974275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269.18638759204373</v>
      </c>
      <c r="EP135" s="62">
        <f t="shared" si="154"/>
        <v>197.07126167823969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72.081405214086033</v>
      </c>
      <c r="EW135" s="23">
        <f>EXP(-LN(2)/25)*EW134+(1-EXP(-LN(2)/25))/(LN(2)/25)*Calculateur!ER135*Calculateur!ET135*VLOOKUP('Données projet'!$B$15,Paramètres!$A$1:$I$89,3,0)*0.475*44/12</f>
        <v>7.4625408468671308</v>
      </c>
      <c r="EX135" s="23">
        <f>EXP(-LN(2)/2)*EX134+(1-EXP(-LN(2)/2))/(LN(2)/2)*ER135*EU135*VLOOKUP('Données projet'!$B$15,Paramètres!$A$1:$I$89,3,0)*0.475*44/12</f>
        <v>4.7416576526609228E-7</v>
      </c>
      <c r="EY135" s="24">
        <f t="shared" si="129"/>
        <v>79.54394653511892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1.1368683772161603E-13</v>
      </c>
      <c r="FF135" s="18">
        <f>FE135*VLOOKUP('Données projet'!$B$16,Paramètres!$A$1:$I$89,3,0)*VLOOKUP('Données projet'!$B$16,Paramètres!$A$1:$I$89,5,0)</f>
        <v>6.7984728957526396E-14</v>
      </c>
      <c r="FG135" s="14">
        <f t="shared" si="155"/>
        <v>1.0682447123141398E-12</v>
      </c>
      <c r="FH135" s="22">
        <f t="shared" si="130"/>
        <v>1.978932943548152E-12</v>
      </c>
      <c r="FI135" s="62">
        <f t="shared" si="131"/>
        <v>293.3333333333353</v>
      </c>
      <c r="FJ135" s="62">
        <f ca="1">AVERAGE(OFFSET($FI$3,0,0,'Données projet'!$E$16+1,1))-AVERAGE(OFFSET($H$3,0,0,'Données projet'!$E$16+1,1))</f>
        <v>330.48891719033065</v>
      </c>
      <c r="FK135" s="62">
        <f t="shared" si="156"/>
        <v>419.35494198427284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51.077943680292989</v>
      </c>
      <c r="FR135" s="23">
        <f>EXP(-LN(2)/25)*FR134+(1-EXP(-LN(2)/25))/(LN(2)/25)*Calculateur!FM135*Calculateur!FO135*VLOOKUP('Données projet'!$B$16,Paramètres!$A$1:$I$89,3,0)*0.475*44/12</f>
        <v>4.8806688949311292</v>
      </c>
      <c r="FS135" s="23">
        <f>EXP(-LN(2)/2)*FS134+(1-EXP(-LN(2)/2))/(LN(2)/2)*FM135*FP135*VLOOKUP('Données projet'!$B$16,Paramètres!$A$1:$I$89,3,0)*0.475*44/12</f>
        <v>1.2637804565692594E-10</v>
      </c>
      <c r="FT135" s="24">
        <f t="shared" si="132"/>
        <v>55.958612575350493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>
        <f>FZ135*VLOOKUP('Données projet'!$B$17,Paramètres!$A$1:$I$89,3,0)*VLOOKUP('Données projet'!$B$17,Paramètres!$A$1:$I$89,5,0)</f>
        <v>0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132.18258156780018</v>
      </c>
      <c r="GF135" s="62">
        <f t="shared" si="158"/>
        <v>315.58133946947294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5.7538045524556729</v>
      </c>
      <c r="GM135" s="23">
        <f>EXP(-LN(2)/25)*GM134+(1-EXP(-LN(2)/25))/(LN(2)/25)*Calculateur!GH135*Calculateur!GJ135*VLOOKUP('Données projet'!$B$17,Paramètres!$A$1:$I$89,3,0)*0.475*44/12</f>
        <v>1.0971007293037716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6.8509052817594442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9">
        <f t="shared" si="110"/>
        <v>517.10377788158553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8.0699999999999985</v>
      </c>
      <c r="N136" s="14">
        <f>IF('Données projet'!$A$36&gt;35,N135+M136-V135,IF(A136&lt;'Données projet'!$A$36,$K$205^A136,IF(A136='Données projet'!$A$36,'Données projet'!$B$36,N135+M136-V135)))</f>
        <v>428.52000000000066</v>
      </c>
      <c r="O136" s="14">
        <f>N136*VLOOKUP('Données projet'!$B$9,Paramètres!$A$1:$I$89,3,0)*VLOOKUP('Données projet'!$B$9,Paramètres!$A$1:$I$89,5,0)</f>
        <v>387.72489600000057</v>
      </c>
      <c r="P136" s="14">
        <f t="shared" si="141"/>
        <v>89.283579978484866</v>
      </c>
      <c r="Q136" s="22">
        <f t="shared" si="108"/>
        <v>830.78976232919547</v>
      </c>
      <c r="R136" s="62">
        <f t="shared" si="109"/>
        <v>1124.1230956625288</v>
      </c>
      <c r="S136" s="62">
        <f ca="1">AVERAGE(OFFSET($R$3,0,0,'Données projet'!$E$9+1,1))-AVERAGE(OFFSET($H$3,0,0,'Données projet'!$E$9+1,1))</f>
        <v>401.86262166363821</v>
      </c>
      <c r="T136" s="62">
        <f t="shared" si="142"/>
        <v>208.60314230781432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46.927881491487632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46.927881491487632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6.8212102632969618E-13</v>
      </c>
      <c r="AJ136" s="14">
        <f>AI136*VLOOKUP('Données projet'!$B$10,Paramètres!$A$1:$I$89,3,0)*VLOOKUP('Données projet'!$B$10,Paramètres!$A$1:$I$89,5,0)</f>
        <v>7.3423507274128498E-13</v>
      </c>
      <c r="AK136" s="14">
        <f t="shared" si="143"/>
        <v>8.7458894232577541E-12</v>
      </c>
      <c r="AL136" s="22">
        <f t="shared" si="112"/>
        <v>1.6511216830531657E-11</v>
      </c>
      <c r="AM136" s="62">
        <f t="shared" si="113"/>
        <v>293.3333333333498</v>
      </c>
      <c r="AN136" s="62">
        <f ca="1">AVERAGE(OFFSET($AM$3,0,0,'Données projet'!$E$10+1,1))-AVERAGE(OFFSET($H$3,0,0,'Données projet'!$E$10+1,1))</f>
        <v>407.22515465568205</v>
      </c>
      <c r="AO136" s="62">
        <f t="shared" si="144"/>
        <v>251.6218558398258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162.48647125080961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162.48647125080961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6.8212102632969618E-13</v>
      </c>
      <c r="BE136" s="14">
        <f>BD136*VLOOKUP('Données projet'!$B$11,Paramètres!$A$1:$I$89,3,0)*VLOOKUP('Données projet'!$B$11,Paramètres!$A$1:$I$89,5,0)</f>
        <v>6.5974745666608208E-13</v>
      </c>
      <c r="BF136" s="14">
        <f t="shared" si="145"/>
        <v>7.9570891233345703E-12</v>
      </c>
      <c r="BG136" s="22">
        <f t="shared" si="115"/>
        <v>1.5007657043501137E-11</v>
      </c>
      <c r="BH136" s="62">
        <f t="shared" si="116"/>
        <v>293.33333333334832</v>
      </c>
      <c r="BI136" s="62">
        <f ca="1">AVERAGE(OFFSET($BH$3,0,0,'Données projet'!$E$11+1,1))-AVERAGE(OFFSET($H$3,0,0,'Données projet'!$E$11+1,1))</f>
        <v>357.76044008074308</v>
      </c>
      <c r="BJ136" s="62">
        <f t="shared" si="146"/>
        <v>224.26555772810445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146.00233648623478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146.00233648623478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6.8212102632969618E-13</v>
      </c>
      <c r="BZ136" s="14">
        <f>BY136*VLOOKUP('Données projet'!$B$12,Paramètres!$A$1:$I$89,3,0)*VLOOKUP('Données projet'!$B$12,Paramètres!$A$1:$I$89,5,0)</f>
        <v>4.5756678446196019E-13</v>
      </c>
      <c r="CA136" s="14">
        <f t="shared" si="147"/>
        <v>5.7587689306883675E-12</v>
      </c>
      <c r="CB136" s="22">
        <f t="shared" si="118"/>
        <v>1.0826784703886818E-11</v>
      </c>
      <c r="CC136" s="62">
        <f t="shared" si="119"/>
        <v>293.33333333334411</v>
      </c>
      <c r="CD136" s="62">
        <f ca="1">AVERAGE(OFFSET($CC$3,0,0,'Données projet'!$E$12+1,1))-AVERAGE(OFFSET($H$3,0,0,'Données projet'!$E$12+1,1))</f>
        <v>222.86701323374945</v>
      </c>
      <c r="CE136" s="62">
        <f t="shared" si="148"/>
        <v>149.63671045240511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124.80844893178131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124.80844893178131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8.5265128291212022E-14</v>
      </c>
      <c r="CU136" s="18">
        <f>CT136*VLOOKUP('Données projet'!$B$13,Paramètres!$A$1:$I$89,3,0)*VLOOKUP('Données projet'!$B$13,Paramètres!$A$1:$I$89,5,0)</f>
        <v>5.5865712056402117E-14</v>
      </c>
      <c r="CV136" s="14">
        <f t="shared" si="149"/>
        <v>8.9811031843713517E-13</v>
      </c>
      <c r="CW136" s="22">
        <f t="shared" si="121"/>
        <v>1.6615082531095774E-12</v>
      </c>
      <c r="CX136" s="62">
        <f t="shared" si="122"/>
        <v>293.33333333333496</v>
      </c>
      <c r="CY136" s="62">
        <f ca="1">AVERAGE(OFFSET($CX$3,0,0,'Données projet'!$E$13+1,1))-AVERAGE(OFFSET($H$3,0,0,'Données projet'!$E$13+1,1))</f>
        <v>173.15672762188746</v>
      </c>
      <c r="CZ136" s="62">
        <f t="shared" si="150"/>
        <v>208.54841796921414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35.148388225895246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35.148388225895246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269.18638759204373</v>
      </c>
      <c r="EP136" s="62">
        <f t="shared" si="154"/>
        <v>197.07126167823969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70.667932823153777</v>
      </c>
      <c r="EW136" s="23">
        <f>EXP(-LN(2)/25)*EW135+(1-EXP(-LN(2)/25))/(LN(2)/25)*Calculateur!ER136*Calculateur!ET136*VLOOKUP('Données projet'!$B$15,Paramètres!$A$1:$I$89,3,0)*0.475*44/12</f>
        <v>7.2584772749715816</v>
      </c>
      <c r="EX136" s="23">
        <f>EXP(-LN(2)/2)*EX135+(1-EXP(-LN(2)/2))/(LN(2)/2)*ER136*EU136*VLOOKUP('Données projet'!$B$15,Paramètres!$A$1:$I$89,3,0)*0.475*44/12</f>
        <v>3.3528582802616261E-7</v>
      </c>
      <c r="EY136" s="24">
        <f t="shared" si="129"/>
        <v>77.926410433411192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1.1368683772161603E-13</v>
      </c>
      <c r="FF136" s="18">
        <f>FE136*VLOOKUP('Données projet'!$B$16,Paramètres!$A$1:$I$89,3,0)*VLOOKUP('Données projet'!$B$16,Paramètres!$A$1:$I$89,5,0)</f>
        <v>6.7984728957526396E-14</v>
      </c>
      <c r="FG136" s="14">
        <f t="shared" si="155"/>
        <v>1.0682447123141398E-12</v>
      </c>
      <c r="FH136" s="22">
        <f t="shared" si="130"/>
        <v>1.978932943548152E-12</v>
      </c>
      <c r="FI136" s="62">
        <f t="shared" si="131"/>
        <v>293.3333333333353</v>
      </c>
      <c r="FJ136" s="62">
        <f ca="1">AVERAGE(OFFSET($FI$3,0,0,'Données projet'!$E$16+1,1))-AVERAGE(OFFSET($H$3,0,0,'Données projet'!$E$16+1,1))</f>
        <v>330.48891719033065</v>
      </c>
      <c r="FK136" s="62">
        <f t="shared" si="156"/>
        <v>419.35494198427284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50.076336359191842</v>
      </c>
      <c r="FR136" s="23">
        <f>EXP(-LN(2)/25)*FR135+(1-EXP(-LN(2)/25))/(LN(2)/25)*Calculateur!FM136*Calculateur!FO136*VLOOKUP('Données projet'!$B$16,Paramètres!$A$1:$I$89,3,0)*0.475*44/12</f>
        <v>4.7472067473360156</v>
      </c>
      <c r="FS136" s="23">
        <f>EXP(-LN(2)/2)*FS135+(1-EXP(-LN(2)/2))/(LN(2)/2)*FM136*FP136*VLOOKUP('Données projet'!$B$16,Paramètres!$A$1:$I$89,3,0)*0.475*44/12</f>
        <v>8.9362773077115444E-11</v>
      </c>
      <c r="FT136" s="24">
        <f t="shared" si="132"/>
        <v>54.823543106617223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>
        <f>FZ136*VLOOKUP('Données projet'!$B$17,Paramètres!$A$1:$I$89,3,0)*VLOOKUP('Données projet'!$B$17,Paramètres!$A$1:$I$89,5,0)</f>
        <v>0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132.18258156780018</v>
      </c>
      <c r="GF136" s="62">
        <f t="shared" si="158"/>
        <v>315.58133946947294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5.6409759546562626</v>
      </c>
      <c r="GM136" s="23">
        <f>EXP(-LN(2)/25)*GM135+(1-EXP(-LN(2)/25))/(LN(2)/25)*Calculateur!GH136*Calculateur!GJ136*VLOOKUP('Données projet'!$B$17,Paramètres!$A$1:$I$89,3,0)*0.475*44/12</f>
        <v>1.06710045216694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6.7080764068232028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9">
        <f t="shared" si="110"/>
        <v>519.01412985052093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>
        <f>VLOOKUP(A137,'Données projet'!$A$35:$I$55,2,0)</f>
        <v>436.59</v>
      </c>
      <c r="L137" s="13">
        <f>VLOOKUP(A137,'Données projet'!$A$35:$I$55,9,0)</f>
        <v>8.0699999999999985</v>
      </c>
      <c r="M137" s="13">
        <f t="array" ref="M137">INDEX(L:L,MIN(IF(ISNUMBER(L137:L333),ROW(L137:L333),"")))</f>
        <v>8.0699999999999985</v>
      </c>
      <c r="N137" s="14">
        <f>IF('Données projet'!$A$36&gt;35,N136+M137-V136,IF(A137&lt;'Données projet'!$A$36,$K$205^A137,IF(A137='Données projet'!$A$36,'Données projet'!$B$36,N136+M137-V136)))</f>
        <v>436.59000000000066</v>
      </c>
      <c r="O137" s="14">
        <f>N137*VLOOKUP('Données projet'!$B$9,Paramètres!$A$1:$I$89,3,0)*VLOOKUP('Données projet'!$B$9,Paramètres!$A$1:$I$89,5,0)</f>
        <v>395.02663200000057</v>
      </c>
      <c r="P137" s="14">
        <f t="shared" si="141"/>
        <v>90.767658172605465</v>
      </c>
      <c r="Q137" s="22">
        <f t="shared" si="108"/>
        <v>846.09172205062214</v>
      </c>
      <c r="R137" s="62">
        <f t="shared" si="109"/>
        <v>1139.4250553839554</v>
      </c>
      <c r="S137" s="62">
        <f ca="1">AVERAGE(OFFSET($R$3,0,0,'Données projet'!$E$9+1,1))-AVERAGE(OFFSET($H$3,0,0,'Données projet'!$E$9+1,1))</f>
        <v>401.86262166363821</v>
      </c>
      <c r="T137" s="62">
        <f t="shared" si="142"/>
        <v>208.60314230781432</v>
      </c>
      <c r="U137" s="16">
        <f>IF(ISNA(VLOOKUP(A137,'Données projet'!$A$35:$I$55,3,0)),0,VLOOKUP(A137,'Données projet'!$A$35:$I$55,3,0))</f>
        <v>11</v>
      </c>
      <c r="V137" s="16">
        <f>IF(ISNA(VLOOKUP(A137,'Données projet'!$A$35:$I$55,4,0)),0,VLOOKUP(A137,'Données projet'!$A$35:$I$55,4,0))</f>
        <v>54.95</v>
      </c>
      <c r="W137" s="17">
        <f>IF(ISNA(VLOOKUP(A137,'Données projet'!$A$35:$I$55,5,0)),0%,VLOOKUP(A137,'Données projet'!$A$35:$I$55,5,0)*VLOOKUP('Données projet'!$B$9,Paramètres!$A$1:$I$89,7,0))</f>
        <v>0.30099999999999999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62.55140192124037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62.55140192124037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6.8212102632969618E-13</v>
      </c>
      <c r="AJ137" s="14">
        <f>AI137*VLOOKUP('Données projet'!$B$10,Paramètres!$A$1:$I$89,3,0)*VLOOKUP('Données projet'!$B$10,Paramètres!$A$1:$I$89,5,0)</f>
        <v>7.3423507274128498E-13</v>
      </c>
      <c r="AK137" s="14">
        <f t="shared" si="143"/>
        <v>8.7458894232577541E-12</v>
      </c>
      <c r="AL137" s="22">
        <f t="shared" si="112"/>
        <v>1.6511216830531657E-11</v>
      </c>
      <c r="AM137" s="62">
        <f t="shared" si="113"/>
        <v>293.3333333333498</v>
      </c>
      <c r="AN137" s="62">
        <f ca="1">AVERAGE(OFFSET($AM$3,0,0,'Données projet'!$E$10+1,1))-AVERAGE(OFFSET($H$3,0,0,'Données projet'!$E$10+1,1))</f>
        <v>407.22515465568205</v>
      </c>
      <c r="AO137" s="62">
        <f t="shared" si="144"/>
        <v>251.6218558398258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159.3002106565427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159.3002106565427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6.8212102632969618E-13</v>
      </c>
      <c r="BE137" s="14">
        <f>BD137*VLOOKUP('Données projet'!$B$11,Paramètres!$A$1:$I$89,3,0)*VLOOKUP('Données projet'!$B$11,Paramètres!$A$1:$I$89,5,0)</f>
        <v>6.5974745666608208E-13</v>
      </c>
      <c r="BF137" s="14">
        <f t="shared" si="145"/>
        <v>7.9570891233345703E-12</v>
      </c>
      <c r="BG137" s="22">
        <f t="shared" si="115"/>
        <v>1.5007657043501137E-11</v>
      </c>
      <c r="BH137" s="62">
        <f t="shared" si="116"/>
        <v>293.33333333334832</v>
      </c>
      <c r="BI137" s="62">
        <f ca="1">AVERAGE(OFFSET($BH$3,0,0,'Données projet'!$E$11+1,1))-AVERAGE(OFFSET($H$3,0,0,'Données projet'!$E$11+1,1))</f>
        <v>357.76044008074308</v>
      </c>
      <c r="BJ137" s="62">
        <f t="shared" si="146"/>
        <v>224.26555772810445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143.13931972037176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143.13931972037176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6.8212102632969618E-13</v>
      </c>
      <c r="BZ137" s="14">
        <f>BY137*VLOOKUP('Données projet'!$B$12,Paramètres!$A$1:$I$89,3,0)*VLOOKUP('Données projet'!$B$12,Paramètres!$A$1:$I$89,5,0)</f>
        <v>4.5756678446196019E-13</v>
      </c>
      <c r="CA137" s="14">
        <f t="shared" si="147"/>
        <v>5.7587689306883675E-12</v>
      </c>
      <c r="CB137" s="22">
        <f t="shared" si="118"/>
        <v>1.0826784703886818E-11</v>
      </c>
      <c r="CC137" s="62">
        <f t="shared" si="119"/>
        <v>293.33333333334411</v>
      </c>
      <c r="CD137" s="62">
        <f ca="1">AVERAGE(OFFSET($CC$3,0,0,'Données projet'!$E$12+1,1))-AVERAGE(OFFSET($H$3,0,0,'Données projet'!$E$12+1,1))</f>
        <v>222.86701323374945</v>
      </c>
      <c r="CE137" s="62">
        <f t="shared" si="148"/>
        <v>149.63671045240511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122.36103137386615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122.36103137386615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8.5265128291212022E-14</v>
      </c>
      <c r="CU137" s="18">
        <f>CT137*VLOOKUP('Données projet'!$B$13,Paramètres!$A$1:$I$89,3,0)*VLOOKUP('Données projet'!$B$13,Paramètres!$A$1:$I$89,5,0)</f>
        <v>5.5865712056402117E-14</v>
      </c>
      <c r="CV137" s="14">
        <f t="shared" si="149"/>
        <v>8.9811031843713517E-13</v>
      </c>
      <c r="CW137" s="22">
        <f t="shared" si="121"/>
        <v>1.6615082531095774E-12</v>
      </c>
      <c r="CX137" s="62">
        <f t="shared" si="122"/>
        <v>293.33333333333496</v>
      </c>
      <c r="CY137" s="62">
        <f ca="1">AVERAGE(OFFSET($CX$3,0,0,'Données projet'!$E$13+1,1))-AVERAGE(OFFSET($H$3,0,0,'Données projet'!$E$13+1,1))</f>
        <v>173.15672762188746</v>
      </c>
      <c r="CZ137" s="62">
        <f t="shared" si="150"/>
        <v>208.54841796921414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34.459149771185395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34.459149771185395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269.18638759204373</v>
      </c>
      <c r="EP137" s="62">
        <f t="shared" si="154"/>
        <v>197.07126167823969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69.282177763674667</v>
      </c>
      <c r="EW137" s="23">
        <f>EXP(-LN(2)/25)*EW136+(1-EXP(-LN(2)/25))/(LN(2)/25)*Calculateur!ER137*Calculateur!ET137*VLOOKUP('Données projet'!$B$15,Paramètres!$A$1:$I$89,3,0)*0.475*44/12</f>
        <v>7.0599938321807532</v>
      </c>
      <c r="EX137" s="23">
        <f>EXP(-LN(2)/2)*EX136+(1-EXP(-LN(2)/2))/(LN(2)/2)*ER137*EU137*VLOOKUP('Données projet'!$B$15,Paramètres!$A$1:$I$89,3,0)*0.475*44/12</f>
        <v>2.3708288263304619E-7</v>
      </c>
      <c r="EY137" s="24">
        <f t="shared" si="129"/>
        <v>76.342171832938305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1.1368683772161603E-13</v>
      </c>
      <c r="FF137" s="18">
        <f>FE137*VLOOKUP('Données projet'!$B$16,Paramètres!$A$1:$I$89,3,0)*VLOOKUP('Données projet'!$B$16,Paramètres!$A$1:$I$89,5,0)</f>
        <v>6.7984728957526396E-14</v>
      </c>
      <c r="FG137" s="14">
        <f t="shared" si="155"/>
        <v>1.0682447123141398E-12</v>
      </c>
      <c r="FH137" s="22">
        <f t="shared" si="130"/>
        <v>1.978932943548152E-12</v>
      </c>
      <c r="FI137" s="62">
        <f t="shared" si="131"/>
        <v>293.3333333333353</v>
      </c>
      <c r="FJ137" s="62">
        <f ca="1">AVERAGE(OFFSET($FI$3,0,0,'Données projet'!$E$16+1,1))-AVERAGE(OFFSET($H$3,0,0,'Données projet'!$E$16+1,1))</f>
        <v>330.48891719033065</v>
      </c>
      <c r="FK137" s="62">
        <f t="shared" si="156"/>
        <v>419.35494198427284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49.094369946737345</v>
      </c>
      <c r="FR137" s="23">
        <f>EXP(-LN(2)/25)*FR136+(1-EXP(-LN(2)/25))/(LN(2)/25)*Calculateur!FM137*Calculateur!FO137*VLOOKUP('Données projet'!$B$16,Paramètres!$A$1:$I$89,3,0)*0.475*44/12</f>
        <v>4.6173941291853593</v>
      </c>
      <c r="FS137" s="23">
        <f>EXP(-LN(2)/2)*FS136+(1-EXP(-LN(2)/2))/(LN(2)/2)*FM137*FP137*VLOOKUP('Données projet'!$B$16,Paramètres!$A$1:$I$89,3,0)*0.475*44/12</f>
        <v>6.318902282846297E-11</v>
      </c>
      <c r="FT137" s="24">
        <f t="shared" si="132"/>
        <v>53.71176407598589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>
        <f>FZ137*VLOOKUP('Données projet'!$B$17,Paramètres!$A$1:$I$89,3,0)*VLOOKUP('Données projet'!$B$17,Paramètres!$A$1:$I$89,5,0)</f>
        <v>0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132.18258156780018</v>
      </c>
      <c r="GF137" s="62">
        <f t="shared" si="158"/>
        <v>315.58133946947294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5.5303598568410495</v>
      </c>
      <c r="GM137" s="23">
        <f>EXP(-LN(2)/25)*GM136+(1-EXP(-LN(2)/25))/(LN(2)/25)*Calculateur!GH137*Calculateur!GJ137*VLOOKUP('Données projet'!$B$17,Paramètres!$A$1:$I$89,3,0)*0.475*44/12</f>
        <v>1.0379205341860611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6.5682803910271108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9">
        <f t="shared" si="110"/>
        <v>520.9241677926841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8.1590000000000025</v>
      </c>
      <c r="N138" s="14">
        <f>IF('Données projet'!$A$36&gt;35,N137+M138-V137,IF(A138&lt;'Données projet'!$A$36,$K$205^A138,IF(A138='Données projet'!$A$36,'Données projet'!$B$36,N137+M138-V137)))</f>
        <v>389.79900000000066</v>
      </c>
      <c r="O138" s="14">
        <f>N138*VLOOKUP('Données projet'!$B$9,Paramètres!$A$1:$I$89,3,0)*VLOOKUP('Données projet'!$B$9,Paramètres!$A$1:$I$89,5,0)</f>
        <v>352.69013520000055</v>
      </c>
      <c r="P138" s="14">
        <f t="shared" si="141"/>
        <v>82.116190931394016</v>
      </c>
      <c r="Q138" s="22">
        <f t="shared" si="108"/>
        <v>757.28768467884549</v>
      </c>
      <c r="R138" s="62">
        <f t="shared" si="109"/>
        <v>1050.6210180121789</v>
      </c>
      <c r="S138" s="62">
        <f ca="1">AVERAGE(OFFSET($R$3,0,0,'Données projet'!$E$9+1,1))-AVERAGE(OFFSET($H$3,0,0,'Données projet'!$E$9+1,1))</f>
        <v>401.86262166363821</v>
      </c>
      <c r="T138" s="62">
        <f t="shared" si="142"/>
        <v>208.60314230781432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61.324807082152766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61.324807082152766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6.8212102632969618E-13</v>
      </c>
      <c r="AJ138" s="14">
        <f>AI138*VLOOKUP('Données projet'!$B$10,Paramètres!$A$1:$I$89,3,0)*VLOOKUP('Données projet'!$B$10,Paramètres!$A$1:$I$89,5,0)</f>
        <v>7.3423507274128498E-13</v>
      </c>
      <c r="AK138" s="14">
        <f t="shared" si="143"/>
        <v>8.7458894232577541E-12</v>
      </c>
      <c r="AL138" s="22">
        <f t="shared" si="112"/>
        <v>1.6511216830531657E-11</v>
      </c>
      <c r="AM138" s="62">
        <f t="shared" si="113"/>
        <v>293.3333333333498</v>
      </c>
      <c r="AN138" s="62">
        <f ca="1">AVERAGE(OFFSET($AM$3,0,0,'Données projet'!$E$10+1,1))-AVERAGE(OFFSET($H$3,0,0,'Données projet'!$E$10+1,1))</f>
        <v>407.22515465568205</v>
      </c>
      <c r="AO138" s="62">
        <f t="shared" si="144"/>
        <v>251.6218558398258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156.17643068910229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156.17643068910229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6.8212102632969618E-13</v>
      </c>
      <c r="BE138" s="14">
        <f>BD138*VLOOKUP('Données projet'!$B$11,Paramètres!$A$1:$I$89,3,0)*VLOOKUP('Données projet'!$B$11,Paramètres!$A$1:$I$89,5,0)</f>
        <v>6.5974745666608208E-13</v>
      </c>
      <c r="BF138" s="14">
        <f t="shared" si="145"/>
        <v>7.9570891233345703E-12</v>
      </c>
      <c r="BG138" s="22">
        <f t="shared" si="115"/>
        <v>1.5007657043501137E-11</v>
      </c>
      <c r="BH138" s="62">
        <f t="shared" si="116"/>
        <v>293.33333333334832</v>
      </c>
      <c r="BI138" s="62">
        <f ca="1">AVERAGE(OFFSET($BH$3,0,0,'Données projet'!$E$11+1,1))-AVERAGE(OFFSET($H$3,0,0,'Données projet'!$E$11+1,1))</f>
        <v>357.76044008074308</v>
      </c>
      <c r="BJ138" s="62">
        <f t="shared" si="146"/>
        <v>224.26555772810445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140.33244496701951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140.33244496701951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6.8212102632969618E-13</v>
      </c>
      <c r="BZ138" s="14">
        <f>BY138*VLOOKUP('Données projet'!$B$12,Paramètres!$A$1:$I$89,3,0)*VLOOKUP('Données projet'!$B$12,Paramètres!$A$1:$I$89,5,0)</f>
        <v>4.5756678446196019E-13</v>
      </c>
      <c r="CA138" s="14">
        <f t="shared" si="147"/>
        <v>5.7587689306883675E-12</v>
      </c>
      <c r="CB138" s="22">
        <f t="shared" si="118"/>
        <v>1.0826784703886818E-11</v>
      </c>
      <c r="CC138" s="62">
        <f t="shared" si="119"/>
        <v>293.33333333334411</v>
      </c>
      <c r="CD138" s="62">
        <f ca="1">AVERAGE(OFFSET($CC$3,0,0,'Données projet'!$E$12+1,1))-AVERAGE(OFFSET($H$3,0,0,'Données projet'!$E$12+1,1))</f>
        <v>222.86701323374945</v>
      </c>
      <c r="CE138" s="62">
        <f t="shared" si="148"/>
        <v>149.63671045240511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119.9616061814844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119.9616061814844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8.5265128291212022E-14</v>
      </c>
      <c r="CU138" s="18">
        <f>CT138*VLOOKUP('Données projet'!$B$13,Paramètres!$A$1:$I$89,3,0)*VLOOKUP('Données projet'!$B$13,Paramètres!$A$1:$I$89,5,0)</f>
        <v>5.5865712056402117E-14</v>
      </c>
      <c r="CV138" s="14">
        <f t="shared" si="149"/>
        <v>8.9811031843713517E-13</v>
      </c>
      <c r="CW138" s="22">
        <f t="shared" si="121"/>
        <v>1.6615082531095774E-12</v>
      </c>
      <c r="CX138" s="62">
        <f t="shared" si="122"/>
        <v>293.33333333333496</v>
      </c>
      <c r="CY138" s="62">
        <f ca="1">AVERAGE(OFFSET($CX$3,0,0,'Données projet'!$E$13+1,1))-AVERAGE(OFFSET($H$3,0,0,'Données projet'!$E$13+1,1))</f>
        <v>173.15672762188746</v>
      </c>
      <c r="CZ138" s="62">
        <f t="shared" si="150"/>
        <v>208.54841796921414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33.783426862178452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33.783426862178452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269.18638759204373</v>
      </c>
      <c r="EP138" s="62">
        <f t="shared" si="154"/>
        <v>197.07126167823969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67.923596515684821</v>
      </c>
      <c r="EW138" s="23">
        <f>EXP(-LN(2)/25)*EW137+(1-EXP(-LN(2)/25))/(LN(2)/25)*Calculateur!ER138*Calculateur!ET138*VLOOKUP('Données projet'!$B$15,Paramètres!$A$1:$I$89,3,0)*0.475*44/12</f>
        <v>6.866937929570831</v>
      </c>
      <c r="EX138" s="23">
        <f>EXP(-LN(2)/2)*EX137+(1-EXP(-LN(2)/2))/(LN(2)/2)*ER138*EU138*VLOOKUP('Données projet'!$B$15,Paramètres!$A$1:$I$89,3,0)*0.475*44/12</f>
        <v>1.6764291401308133E-7</v>
      </c>
      <c r="EY138" s="24">
        <f t="shared" si="129"/>
        <v>74.790534612898554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1.1368683772161603E-13</v>
      </c>
      <c r="FF138" s="18">
        <f>FE138*VLOOKUP('Données projet'!$B$16,Paramètres!$A$1:$I$89,3,0)*VLOOKUP('Données projet'!$B$16,Paramètres!$A$1:$I$89,5,0)</f>
        <v>6.7984728957526396E-14</v>
      </c>
      <c r="FG138" s="14">
        <f t="shared" si="155"/>
        <v>1.0682447123141398E-12</v>
      </c>
      <c r="FH138" s="22">
        <f t="shared" si="130"/>
        <v>1.978932943548152E-12</v>
      </c>
      <c r="FI138" s="62">
        <f t="shared" si="131"/>
        <v>293.3333333333353</v>
      </c>
      <c r="FJ138" s="62">
        <f ca="1">AVERAGE(OFFSET($FI$3,0,0,'Données projet'!$E$16+1,1))-AVERAGE(OFFSET($H$3,0,0,'Données projet'!$E$16+1,1))</f>
        <v>330.48891719033065</v>
      </c>
      <c r="FK138" s="62">
        <f t="shared" si="156"/>
        <v>419.35494198427284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48.131659296690707</v>
      </c>
      <c r="FR138" s="23">
        <f>EXP(-LN(2)/25)*FR137+(1-EXP(-LN(2)/25))/(LN(2)/25)*Calculateur!FM138*Calculateur!FO138*VLOOKUP('Données projet'!$B$16,Paramètres!$A$1:$I$89,3,0)*0.475*44/12</f>
        <v>4.4911312439045812</v>
      </c>
      <c r="FS138" s="23">
        <f>EXP(-LN(2)/2)*FS137+(1-EXP(-LN(2)/2))/(LN(2)/2)*FM138*FP138*VLOOKUP('Données projet'!$B$16,Paramètres!$A$1:$I$89,3,0)*0.475*44/12</f>
        <v>4.4681386538557722E-11</v>
      </c>
      <c r="FT138" s="24">
        <f t="shared" si="132"/>
        <v>52.622790540639969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>
        <f>FZ138*VLOOKUP('Données projet'!$B$17,Paramètres!$A$1:$I$89,3,0)*VLOOKUP('Données projet'!$B$17,Paramètres!$A$1:$I$89,5,0)</f>
        <v>0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132.18258156780018</v>
      </c>
      <c r="GF138" s="62">
        <f t="shared" si="158"/>
        <v>315.58133946947294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5.4219128732348345</v>
      </c>
      <c r="GM138" s="23">
        <f>EXP(-LN(2)/25)*GM137+(1-EXP(-LN(2)/25))/(LN(2)/25)*Calculateur!GH138*Calculateur!GJ138*VLOOKUP('Données projet'!$B$17,Paramètres!$A$1:$I$89,3,0)*0.475*44/12</f>
        <v>1.0095385425968746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6.4314514158317095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9">
        <f t="shared" si="110"/>
        <v>522.83389430388831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8.1590000000000025</v>
      </c>
      <c r="N139" s="14">
        <f>IF('Données projet'!$A$36&gt;35,N138+M139-V138,IF(A139&lt;'Données projet'!$A$36,$K$205^A139,IF(A139='Données projet'!$A$36,'Données projet'!$B$36,N138+M139-V138)))</f>
        <v>397.95800000000065</v>
      </c>
      <c r="O139" s="14">
        <f>N139*VLOOKUP('Données projet'!$B$9,Paramètres!$A$1:$I$89,3,0)*VLOOKUP('Données projet'!$B$9,Paramètres!$A$1:$I$89,5,0)</f>
        <v>360.07239840000057</v>
      </c>
      <c r="P139" s="14">
        <f t="shared" si="141"/>
        <v>83.633085567444908</v>
      </c>
      <c r="Q139" s="22">
        <f t="shared" si="108"/>
        <v>772.78705124330099</v>
      </c>
      <c r="R139" s="62">
        <f t="shared" si="109"/>
        <v>1066.1203845766343</v>
      </c>
      <c r="S139" s="62">
        <f ca="1">AVERAGE(OFFSET($R$3,0,0,'Données projet'!$E$9+1,1))-AVERAGE(OFFSET($H$3,0,0,'Données projet'!$E$9+1,1))</f>
        <v>401.86262166363821</v>
      </c>
      <c r="T139" s="62">
        <f t="shared" si="142"/>
        <v>208.60314230781432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60.122265019710689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60.122265019710689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6.8212102632969618E-13</v>
      </c>
      <c r="AJ139" s="14">
        <f>AI139*VLOOKUP('Données projet'!$B$10,Paramètres!$A$1:$I$89,3,0)*VLOOKUP('Données projet'!$B$10,Paramètres!$A$1:$I$89,5,0)</f>
        <v>7.3423507274128498E-13</v>
      </c>
      <c r="AK139" s="14">
        <f t="shared" si="143"/>
        <v>8.7458894232577541E-12</v>
      </c>
      <c r="AL139" s="22">
        <f t="shared" si="112"/>
        <v>1.6511216830531657E-11</v>
      </c>
      <c r="AM139" s="62">
        <f t="shared" si="113"/>
        <v>293.3333333333498</v>
      </c>
      <c r="AN139" s="62">
        <f ca="1">AVERAGE(OFFSET($AM$3,0,0,'Données projet'!$E$10+1,1))-AVERAGE(OFFSET($H$3,0,0,'Données projet'!$E$10+1,1))</f>
        <v>407.22515465568205</v>
      </c>
      <c r="AO139" s="62">
        <f t="shared" si="144"/>
        <v>251.6218558398258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153.11390614150574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153.11390614150574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6.8212102632969618E-13</v>
      </c>
      <c r="BE139" s="14">
        <f>BD139*VLOOKUP('Données projet'!$B$11,Paramètres!$A$1:$I$89,3,0)*VLOOKUP('Données projet'!$B$11,Paramètres!$A$1:$I$89,5,0)</f>
        <v>6.5974745666608208E-13</v>
      </c>
      <c r="BF139" s="14">
        <f t="shared" si="145"/>
        <v>7.9570891233345703E-12</v>
      </c>
      <c r="BG139" s="22">
        <f t="shared" si="115"/>
        <v>1.5007657043501137E-11</v>
      </c>
      <c r="BH139" s="62">
        <f t="shared" si="116"/>
        <v>293.33333333334832</v>
      </c>
      <c r="BI139" s="62">
        <f ca="1">AVERAGE(OFFSET($BH$3,0,0,'Données projet'!$E$11+1,1))-AVERAGE(OFFSET($H$3,0,0,'Données projet'!$E$11+1,1))</f>
        <v>357.76044008074308</v>
      </c>
      <c r="BJ139" s="62">
        <f t="shared" si="146"/>
        <v>224.26555772810445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137.58061131555596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137.58061131555596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6.8212102632969618E-13</v>
      </c>
      <c r="BZ139" s="14">
        <f>BY139*VLOOKUP('Données projet'!$B$12,Paramètres!$A$1:$I$89,3,0)*VLOOKUP('Données projet'!$B$12,Paramètres!$A$1:$I$89,5,0)</f>
        <v>4.5756678446196019E-13</v>
      </c>
      <c r="CA139" s="14">
        <f t="shared" si="147"/>
        <v>5.7587689306883675E-12</v>
      </c>
      <c r="CB139" s="22">
        <f t="shared" si="118"/>
        <v>1.0826784703886818E-11</v>
      </c>
      <c r="CC139" s="62">
        <f t="shared" si="119"/>
        <v>293.33333333334411</v>
      </c>
      <c r="CD139" s="62">
        <f ca="1">AVERAGE(OFFSET($CC$3,0,0,'Données projet'!$E$12+1,1))-AVERAGE(OFFSET($H$3,0,0,'Données projet'!$E$12+1,1))</f>
        <v>222.86701323374945</v>
      </c>
      <c r="CE139" s="62">
        <f t="shared" si="148"/>
        <v>149.63671045240511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117.60923225362039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117.60923225362039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8.5265128291212022E-14</v>
      </c>
      <c r="CU139" s="18">
        <f>CT139*VLOOKUP('Données projet'!$B$13,Paramètres!$A$1:$I$89,3,0)*VLOOKUP('Données projet'!$B$13,Paramètres!$A$1:$I$89,5,0)</f>
        <v>5.5865712056402117E-14</v>
      </c>
      <c r="CV139" s="14">
        <f t="shared" si="149"/>
        <v>8.9811031843713517E-13</v>
      </c>
      <c r="CW139" s="22">
        <f t="shared" si="121"/>
        <v>1.6615082531095774E-12</v>
      </c>
      <c r="CX139" s="62">
        <f t="shared" si="122"/>
        <v>293.33333333333496</v>
      </c>
      <c r="CY139" s="62">
        <f ca="1">AVERAGE(OFFSET($CX$3,0,0,'Données projet'!$E$13+1,1))-AVERAGE(OFFSET($H$3,0,0,'Données projet'!$E$13+1,1))</f>
        <v>173.15672762188746</v>
      </c>
      <c r="CZ139" s="62">
        <f t="shared" si="150"/>
        <v>208.54841796921414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33.120954467266856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33.120954467266856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269.18638759204373</v>
      </c>
      <c r="EP139" s="62">
        <f t="shared" si="154"/>
        <v>197.07126167823969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66.591656217315318</v>
      </c>
      <c r="EW139" s="23">
        <f>EXP(-LN(2)/25)*EW138+(1-EXP(-LN(2)/25))/(LN(2)/25)*Calculateur!ER139*Calculateur!ET139*VLOOKUP('Données projet'!$B$15,Paramètres!$A$1:$I$89,3,0)*0.475*44/12</f>
        <v>6.6791611507701454</v>
      </c>
      <c r="EX139" s="23">
        <f>EXP(-LN(2)/2)*EX138+(1-EXP(-LN(2)/2))/(LN(2)/2)*ER139*EU139*VLOOKUP('Données projet'!$B$15,Paramètres!$A$1:$I$89,3,0)*0.475*44/12</f>
        <v>1.1854144131652311E-7</v>
      </c>
      <c r="EY139" s="24">
        <f t="shared" si="129"/>
        <v>73.270817486626896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1.1368683772161603E-13</v>
      </c>
      <c r="FF139" s="18">
        <f>FE139*VLOOKUP('Données projet'!$B$16,Paramètres!$A$1:$I$89,3,0)*VLOOKUP('Données projet'!$B$16,Paramètres!$A$1:$I$89,5,0)</f>
        <v>6.7984728957526396E-14</v>
      </c>
      <c r="FG139" s="14">
        <f t="shared" si="155"/>
        <v>1.0682447123141398E-12</v>
      </c>
      <c r="FH139" s="22">
        <f t="shared" si="130"/>
        <v>1.978932943548152E-12</v>
      </c>
      <c r="FI139" s="62">
        <f t="shared" si="131"/>
        <v>293.3333333333353</v>
      </c>
      <c r="FJ139" s="62">
        <f ca="1">AVERAGE(OFFSET($FI$3,0,0,'Données projet'!$E$16+1,1))-AVERAGE(OFFSET($H$3,0,0,'Données projet'!$E$16+1,1))</f>
        <v>330.48891719033065</v>
      </c>
      <c r="FK139" s="62">
        <f t="shared" si="156"/>
        <v>419.35494198427284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47.187826815295971</v>
      </c>
      <c r="FR139" s="23">
        <f>EXP(-LN(2)/25)*FR138+(1-EXP(-LN(2)/25))/(LN(2)/25)*Calculateur!FM139*Calculateur!FO139*VLOOKUP('Données projet'!$B$16,Paramètres!$A$1:$I$89,3,0)*0.475*44/12</f>
        <v>4.3683210238616832</v>
      </c>
      <c r="FS139" s="23">
        <f>EXP(-LN(2)/2)*FS138+(1-EXP(-LN(2)/2))/(LN(2)/2)*FM139*FP139*VLOOKUP('Données projet'!$B$16,Paramètres!$A$1:$I$89,3,0)*0.475*44/12</f>
        <v>3.1594511414231485E-11</v>
      </c>
      <c r="FT139" s="24">
        <f t="shared" si="132"/>
        <v>51.556147839189251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>
        <f>FZ139*VLOOKUP('Données projet'!$B$17,Paramètres!$A$1:$I$89,3,0)*VLOOKUP('Données projet'!$B$17,Paramètres!$A$1:$I$89,5,0)</f>
        <v>0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132.18258156780018</v>
      </c>
      <c r="GF139" s="62">
        <f t="shared" si="158"/>
        <v>315.58133946947294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5.3155924688310092</v>
      </c>
      <c r="GM139" s="23">
        <f>EXP(-LN(2)/25)*GM138+(1-EXP(-LN(2)/25))/(LN(2)/25)*Calculateur!GH139*Calculateur!GJ139*VLOOKUP('Données projet'!$B$17,Paramètres!$A$1:$I$89,3,0)*0.475*44/12</f>
        <v>0.98193265806023844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6.297525126891248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9">
        <f t="shared" si="110"/>
        <v>524.74331193956789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8.1590000000000025</v>
      </c>
      <c r="N140" s="14">
        <f>IF('Données projet'!$A$36&gt;35,N139+M140-V139,IF(A140&lt;'Données projet'!$A$36,$K$205^A140,IF(A140='Données projet'!$A$36,'Données projet'!$B$36,N139+M140-V139)))</f>
        <v>406.11700000000064</v>
      </c>
      <c r="O140" s="14">
        <f>N140*VLOOKUP('Données projet'!$B$9,Paramètres!$A$1:$I$89,3,0)*VLOOKUP('Données projet'!$B$9,Paramètres!$A$1:$I$89,5,0)</f>
        <v>367.45466160000058</v>
      </c>
      <c r="P140" s="14">
        <f t="shared" si="141"/>
        <v>85.146364255773364</v>
      </c>
      <c r="Q140" s="22">
        <f t="shared" si="108"/>
        <v>788.28012003213962</v>
      </c>
      <c r="R140" s="62">
        <f t="shared" si="109"/>
        <v>1081.6134533654729</v>
      </c>
      <c r="S140" s="62">
        <f ca="1">AVERAGE(OFFSET($R$3,0,0,'Données projet'!$E$9+1,1))-AVERAGE(OFFSET($H$3,0,0,'Données projet'!$E$9+1,1))</f>
        <v>401.86262166363821</v>
      </c>
      <c r="T140" s="62">
        <f t="shared" si="142"/>
        <v>208.60314230781432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58.94330407363487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58.94330407363487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6.8212102632969618E-13</v>
      </c>
      <c r="AJ140" s="14">
        <f>AI140*VLOOKUP('Données projet'!$B$10,Paramètres!$A$1:$I$89,3,0)*VLOOKUP('Données projet'!$B$10,Paramètres!$A$1:$I$89,5,0)</f>
        <v>7.3423507274128498E-13</v>
      </c>
      <c r="AK140" s="14">
        <f t="shared" si="143"/>
        <v>8.7458894232577541E-12</v>
      </c>
      <c r="AL140" s="22">
        <f t="shared" si="112"/>
        <v>1.6511216830531657E-11</v>
      </c>
      <c r="AM140" s="62">
        <f t="shared" si="113"/>
        <v>293.3333333333498</v>
      </c>
      <c r="AN140" s="62">
        <f ca="1">AVERAGE(OFFSET($AM$3,0,0,'Données projet'!$E$10+1,1))-AVERAGE(OFFSET($H$3,0,0,'Données projet'!$E$10+1,1))</f>
        <v>407.22515465568205</v>
      </c>
      <c r="AO140" s="62">
        <f t="shared" si="144"/>
        <v>251.6218558398258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150.11143583233203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150.11143583233203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6.8212102632969618E-13</v>
      </c>
      <c r="BE140" s="14">
        <f>BD140*VLOOKUP('Données projet'!$B$11,Paramètres!$A$1:$I$89,3,0)*VLOOKUP('Données projet'!$B$11,Paramètres!$A$1:$I$89,5,0)</f>
        <v>6.5974745666608208E-13</v>
      </c>
      <c r="BF140" s="14">
        <f t="shared" si="145"/>
        <v>7.9570891233345703E-12</v>
      </c>
      <c r="BG140" s="22">
        <f t="shared" si="115"/>
        <v>1.5007657043501137E-11</v>
      </c>
      <c r="BH140" s="62">
        <f t="shared" si="116"/>
        <v>293.33333333334832</v>
      </c>
      <c r="BI140" s="62">
        <f ca="1">AVERAGE(OFFSET($BH$3,0,0,'Données projet'!$E$11+1,1))-AVERAGE(OFFSET($H$3,0,0,'Données projet'!$E$11+1,1))</f>
        <v>357.76044008074308</v>
      </c>
      <c r="BJ140" s="62">
        <f t="shared" si="146"/>
        <v>224.26555772810445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134.88273944354481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134.88273944354481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6.8212102632969618E-13</v>
      </c>
      <c r="BZ140" s="14">
        <f>BY140*VLOOKUP('Données projet'!$B$12,Paramètres!$A$1:$I$89,3,0)*VLOOKUP('Données projet'!$B$12,Paramètres!$A$1:$I$89,5,0)</f>
        <v>4.5756678446196019E-13</v>
      </c>
      <c r="CA140" s="14">
        <f t="shared" si="147"/>
        <v>5.7587689306883675E-12</v>
      </c>
      <c r="CB140" s="22">
        <f t="shared" si="118"/>
        <v>1.0826784703886818E-11</v>
      </c>
      <c r="CC140" s="62">
        <f t="shared" si="119"/>
        <v>293.33333333334411</v>
      </c>
      <c r="CD140" s="62">
        <f ca="1">AVERAGE(OFFSET($CC$3,0,0,'Données projet'!$E$12+1,1))-AVERAGE(OFFSET($H$3,0,0,'Données projet'!$E$12+1,1))</f>
        <v>222.86701323374945</v>
      </c>
      <c r="CE140" s="62">
        <f t="shared" si="148"/>
        <v>149.63671045240511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115.30298694367538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115.30298694367538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8.5265128291212022E-14</v>
      </c>
      <c r="CU140" s="18">
        <f>CT140*VLOOKUP('Données projet'!$B$13,Paramètres!$A$1:$I$89,3,0)*VLOOKUP('Données projet'!$B$13,Paramètres!$A$1:$I$89,5,0)</f>
        <v>5.5865712056402117E-14</v>
      </c>
      <c r="CV140" s="14">
        <f t="shared" si="149"/>
        <v>8.9811031843713517E-13</v>
      </c>
      <c r="CW140" s="22">
        <f t="shared" si="121"/>
        <v>1.6615082531095774E-12</v>
      </c>
      <c r="CX140" s="62">
        <f t="shared" si="122"/>
        <v>293.33333333333496</v>
      </c>
      <c r="CY140" s="62">
        <f ca="1">AVERAGE(OFFSET($CX$3,0,0,'Données projet'!$E$13+1,1))-AVERAGE(OFFSET($H$3,0,0,'Données projet'!$E$13+1,1))</f>
        <v>173.15672762188746</v>
      </c>
      <c r="CZ140" s="62">
        <f t="shared" si="150"/>
        <v>208.54841796921414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32.471472751951218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32.471472751951218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269.18638759204373</v>
      </c>
      <c r="EP140" s="62">
        <f t="shared" si="154"/>
        <v>197.07126167823969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65.285834455793477</v>
      </c>
      <c r="EW140" s="23">
        <f>EXP(-LN(2)/25)*EW139+(1-EXP(-LN(2)/25))/(LN(2)/25)*Calculateur!ER140*Calculateur!ET140*VLOOKUP('Données projet'!$B$15,Paramètres!$A$1:$I$89,3,0)*0.475*44/12</f>
        <v>6.496519137860516</v>
      </c>
      <c r="EX140" s="23">
        <f>EXP(-LN(2)/2)*EX139+(1-EXP(-LN(2)/2))/(LN(2)/2)*ER140*EU140*VLOOKUP('Données projet'!$B$15,Paramètres!$A$1:$I$89,3,0)*0.475*44/12</f>
        <v>8.3821457006540679E-8</v>
      </c>
      <c r="EY140" s="24">
        <f t="shared" si="129"/>
        <v>71.782353677475456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1.1368683772161603E-13</v>
      </c>
      <c r="FF140" s="18">
        <f>FE140*VLOOKUP('Données projet'!$B$16,Paramètres!$A$1:$I$89,3,0)*VLOOKUP('Données projet'!$B$16,Paramètres!$A$1:$I$89,5,0)</f>
        <v>6.7984728957526396E-14</v>
      </c>
      <c r="FG140" s="14">
        <f t="shared" si="155"/>
        <v>1.0682447123141398E-12</v>
      </c>
      <c r="FH140" s="22">
        <f t="shared" si="130"/>
        <v>1.978932943548152E-12</v>
      </c>
      <c r="FI140" s="62">
        <f t="shared" si="131"/>
        <v>293.3333333333353</v>
      </c>
      <c r="FJ140" s="62">
        <f ca="1">AVERAGE(OFFSET($FI$3,0,0,'Données projet'!$E$16+1,1))-AVERAGE(OFFSET($H$3,0,0,'Données projet'!$E$16+1,1))</f>
        <v>330.48891719033065</v>
      </c>
      <c r="FK140" s="62">
        <f t="shared" si="156"/>
        <v>419.35494198427284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46.262502313180413</v>
      </c>
      <c r="FR140" s="23">
        <f>EXP(-LN(2)/25)*FR139+(1-EXP(-LN(2)/25))/(LN(2)/25)*Calculateur!FM140*Calculateur!FO140*VLOOKUP('Données projet'!$B$16,Paramètres!$A$1:$I$89,3,0)*0.475*44/12</f>
        <v>4.2488690557441666</v>
      </c>
      <c r="FS140" s="23">
        <f>EXP(-LN(2)/2)*FS139+(1-EXP(-LN(2)/2))/(LN(2)/2)*FM140*FP140*VLOOKUP('Données projet'!$B$16,Paramètres!$A$1:$I$89,3,0)*0.475*44/12</f>
        <v>2.2340693269278861E-11</v>
      </c>
      <c r="FT140" s="24">
        <f t="shared" si="132"/>
        <v>50.511371368946918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>
        <f>FZ140*VLOOKUP('Données projet'!$B$17,Paramètres!$A$1:$I$89,3,0)*VLOOKUP('Données projet'!$B$17,Paramètres!$A$1:$I$89,5,0)</f>
        <v>0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132.18258156780018</v>
      </c>
      <c r="GF140" s="62">
        <f t="shared" si="158"/>
        <v>315.58133946947294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5.2113569427084991</v>
      </c>
      <c r="GM140" s="23">
        <f>EXP(-LN(2)/25)*GM139+(1-EXP(-LN(2)/25))/(LN(2)/25)*Calculateur!GH140*Calculateur!GJ140*VLOOKUP('Données projet'!$B$17,Paramètres!$A$1:$I$89,3,0)*0.475*44/12</f>
        <v>0.95508165788798693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6.1664386005964857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9">
        <f t="shared" si="110"/>
        <v>526.65242321569622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8.1590000000000025</v>
      </c>
      <c r="N141" s="14">
        <f>IF('Données projet'!$A$36&gt;35,N140+M141-V140,IF(A141&lt;'Données projet'!$A$36,$K$205^A141,IF(A141='Données projet'!$A$36,'Données projet'!$B$36,N140+M141-V140)))</f>
        <v>414.27600000000064</v>
      </c>
      <c r="O141" s="14">
        <f>N141*VLOOKUP('Données projet'!$B$9,Paramètres!$A$1:$I$89,3,0)*VLOOKUP('Données projet'!$B$9,Paramètres!$A$1:$I$89,5,0)</f>
        <v>374.83692480000053</v>
      </c>
      <c r="P141" s="14">
        <f t="shared" si="141"/>
        <v>86.656108013910185</v>
      </c>
      <c r="Q141" s="22">
        <f t="shared" si="108"/>
        <v>803.76703215089447</v>
      </c>
      <c r="R141" s="62">
        <f t="shared" si="109"/>
        <v>1097.1003654842277</v>
      </c>
      <c r="S141" s="62">
        <f ca="1">AVERAGE(OFFSET($R$3,0,0,'Données projet'!$E$9+1,1))-AVERAGE(OFFSET($H$3,0,0,'Données projet'!$E$9+1,1))</f>
        <v>401.86262166363821</v>
      </c>
      <c r="T141" s="62">
        <f t="shared" si="142"/>
        <v>208.60314230781432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57.787461832616422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57.787461832616422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6.8212102632969618E-13</v>
      </c>
      <c r="AJ141" s="14">
        <f>AI141*VLOOKUP('Données projet'!$B$10,Paramètres!$A$1:$I$89,3,0)*VLOOKUP('Données projet'!$B$10,Paramètres!$A$1:$I$89,5,0)</f>
        <v>7.3423507274128498E-13</v>
      </c>
      <c r="AK141" s="14">
        <f t="shared" si="143"/>
        <v>8.7458894232577541E-12</v>
      </c>
      <c r="AL141" s="22">
        <f t="shared" si="112"/>
        <v>1.6511216830531657E-11</v>
      </c>
      <c r="AM141" s="62">
        <f t="shared" si="113"/>
        <v>293.3333333333498</v>
      </c>
      <c r="AN141" s="62">
        <f ca="1">AVERAGE(OFFSET($AM$3,0,0,'Données projet'!$E$10+1,1))-AVERAGE(OFFSET($H$3,0,0,'Données projet'!$E$10+1,1))</f>
        <v>407.22515465568205</v>
      </c>
      <c r="AO141" s="62">
        <f t="shared" si="144"/>
        <v>251.6218558398258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147.16784213459516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147.16784213459516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6.8212102632969618E-13</v>
      </c>
      <c r="BE141" s="14">
        <f>BD141*VLOOKUP('Données projet'!$B$11,Paramètres!$A$1:$I$89,3,0)*VLOOKUP('Données projet'!$B$11,Paramètres!$A$1:$I$89,5,0)</f>
        <v>6.5974745666608208E-13</v>
      </c>
      <c r="BF141" s="14">
        <f t="shared" si="145"/>
        <v>7.9570891233345703E-12</v>
      </c>
      <c r="BG141" s="22">
        <f t="shared" si="115"/>
        <v>1.5007657043501137E-11</v>
      </c>
      <c r="BH141" s="62">
        <f t="shared" si="116"/>
        <v>293.33333333334832</v>
      </c>
      <c r="BI141" s="62">
        <f ca="1">AVERAGE(OFFSET($BH$3,0,0,'Données projet'!$E$11+1,1))-AVERAGE(OFFSET($H$3,0,0,'Données projet'!$E$11+1,1))</f>
        <v>357.76044008074308</v>
      </c>
      <c r="BJ141" s="62">
        <f t="shared" si="146"/>
        <v>224.26555772810445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132.23777119340443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132.23777119340443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6.8212102632969618E-13</v>
      </c>
      <c r="BZ141" s="14">
        <f>BY141*VLOOKUP('Données projet'!$B$12,Paramètres!$A$1:$I$89,3,0)*VLOOKUP('Données projet'!$B$12,Paramètres!$A$1:$I$89,5,0)</f>
        <v>4.5756678446196019E-13</v>
      </c>
      <c r="CA141" s="14">
        <f t="shared" si="147"/>
        <v>5.7587689306883675E-12</v>
      </c>
      <c r="CB141" s="22">
        <f t="shared" si="118"/>
        <v>1.0826784703886818E-11</v>
      </c>
      <c r="CC141" s="62">
        <f t="shared" si="119"/>
        <v>293.33333333334411</v>
      </c>
      <c r="CD141" s="62">
        <f ca="1">AVERAGE(OFFSET($CC$3,0,0,'Données projet'!$E$12+1,1))-AVERAGE(OFFSET($H$3,0,0,'Données projet'!$E$12+1,1))</f>
        <v>222.86701323374945</v>
      </c>
      <c r="CE141" s="62">
        <f t="shared" si="148"/>
        <v>149.63671045240511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113.04196569758764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113.04196569758764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8.5265128291212022E-14</v>
      </c>
      <c r="CU141" s="18">
        <f>CT141*VLOOKUP('Données projet'!$B$13,Paramètres!$A$1:$I$89,3,0)*VLOOKUP('Données projet'!$B$13,Paramètres!$A$1:$I$89,5,0)</f>
        <v>5.5865712056402117E-14</v>
      </c>
      <c r="CV141" s="14">
        <f t="shared" si="149"/>
        <v>8.9811031843713517E-13</v>
      </c>
      <c r="CW141" s="22">
        <f t="shared" si="121"/>
        <v>1.6615082531095774E-12</v>
      </c>
      <c r="CX141" s="62">
        <f t="shared" si="122"/>
        <v>293.33333333333496</v>
      </c>
      <c r="CY141" s="62">
        <f ca="1">AVERAGE(OFFSET($CX$3,0,0,'Données projet'!$E$13+1,1))-AVERAGE(OFFSET($H$3,0,0,'Données projet'!$E$13+1,1))</f>
        <v>173.15672762188746</v>
      </c>
      <c r="CZ141" s="62">
        <f t="shared" si="150"/>
        <v>208.54841796921414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31.834726976928188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31.834726976928188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269.18638759204373</v>
      </c>
      <c r="EP141" s="62">
        <f t="shared" si="154"/>
        <v>197.07126167823969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64.005619062542451</v>
      </c>
      <c r="EW141" s="23">
        <f>EXP(-LN(2)/25)*EW140+(1-EXP(-LN(2)/25))/(LN(2)/25)*Calculateur!ER141*Calculateur!ET141*VLOOKUP('Données projet'!$B$15,Paramètres!$A$1:$I$89,3,0)*0.475*44/12</f>
        <v>6.3188714803986263</v>
      </c>
      <c r="EX141" s="23">
        <f>EXP(-LN(2)/2)*EX140+(1-EXP(-LN(2)/2))/(LN(2)/2)*ER141*EU141*VLOOKUP('Données projet'!$B$15,Paramètres!$A$1:$I$89,3,0)*0.475*44/12</f>
        <v>5.9270720658261562E-8</v>
      </c>
      <c r="EY141" s="24">
        <f t="shared" si="129"/>
        <v>70.324490602211796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1.1368683772161603E-13</v>
      </c>
      <c r="FF141" s="18">
        <f>FE141*VLOOKUP('Données projet'!$B$16,Paramètres!$A$1:$I$89,3,0)*VLOOKUP('Données projet'!$B$16,Paramètres!$A$1:$I$89,5,0)</f>
        <v>6.7984728957526396E-14</v>
      </c>
      <c r="FG141" s="14">
        <f t="shared" si="155"/>
        <v>1.0682447123141398E-12</v>
      </c>
      <c r="FH141" s="22">
        <f t="shared" si="130"/>
        <v>1.978932943548152E-12</v>
      </c>
      <c r="FI141" s="62">
        <f t="shared" si="131"/>
        <v>293.3333333333353</v>
      </c>
      <c r="FJ141" s="62">
        <f ca="1">AVERAGE(OFFSET($FI$3,0,0,'Données projet'!$E$16+1,1))-AVERAGE(OFFSET($H$3,0,0,'Données projet'!$E$16+1,1))</f>
        <v>330.48891719033065</v>
      </c>
      <c r="FK141" s="62">
        <f t="shared" si="156"/>
        <v>419.35494198427284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45.355322860159127</v>
      </c>
      <c r="FR141" s="23">
        <f>EXP(-LN(2)/25)*FR140+(1-EXP(-LN(2)/25))/(LN(2)/25)*Calculateur!FM141*Calculateur!FO141*VLOOKUP('Données projet'!$B$16,Paramètres!$A$1:$I$89,3,0)*0.475*44/12</f>
        <v>4.1326835079765294</v>
      </c>
      <c r="FS141" s="23">
        <f>EXP(-LN(2)/2)*FS140+(1-EXP(-LN(2)/2))/(LN(2)/2)*FM141*FP141*VLOOKUP('Données projet'!$B$16,Paramètres!$A$1:$I$89,3,0)*0.475*44/12</f>
        <v>1.5797255707115742E-11</v>
      </c>
      <c r="FT141" s="24">
        <f t="shared" si="132"/>
        <v>49.488006368151453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>
        <f>FZ141*VLOOKUP('Données projet'!$B$17,Paramètres!$A$1:$I$89,3,0)*VLOOKUP('Données projet'!$B$17,Paramètres!$A$1:$I$89,5,0)</f>
        <v>0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132.18258156780018</v>
      </c>
      <c r="GF141" s="62">
        <f t="shared" si="158"/>
        <v>315.58133946947294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5.1091654116758587</v>
      </c>
      <c r="GM141" s="23">
        <f>EXP(-LN(2)/25)*GM140+(1-EXP(-LN(2)/25))/(LN(2)/25)*Calculateur!GH141*Calculateur!GJ141*VLOOKUP('Données projet'!$B$17,Paramètres!$A$1:$I$89,3,0)*0.475*44/12</f>
        <v>0.92896489972747842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6.0381303114033376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9">
        <f t="shared" si="110"/>
        <v>528.56123060967593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8.1590000000000025</v>
      </c>
      <c r="N142" s="14">
        <f>IF('Données projet'!$A$36&gt;35,N141+M142-V141,IF(A142&lt;'Données projet'!$A$36,$K$205^A142,IF(A142='Données projet'!$A$36,'Données projet'!$B$36,N141+M142-V141)))</f>
        <v>422.43500000000063</v>
      </c>
      <c r="O142" s="14">
        <f>N142*VLOOKUP('Données projet'!$B$9,Paramètres!$A$1:$I$89,3,0)*VLOOKUP('Données projet'!$B$9,Paramètres!$A$1:$I$89,5,0)</f>
        <v>382.21918800000054</v>
      </c>
      <c r="P142" s="14">
        <f t="shared" si="141"/>
        <v>88.162394485655341</v>
      </c>
      <c r="Q142" s="22">
        <f t="shared" si="108"/>
        <v>819.24792282918395</v>
      </c>
      <c r="R142" s="62">
        <f t="shared" si="109"/>
        <v>1112.5812561625173</v>
      </c>
      <c r="S142" s="62">
        <f ca="1">AVERAGE(OFFSET($R$3,0,0,'Données projet'!$E$9+1,1))-AVERAGE(OFFSET($H$3,0,0,'Données projet'!$E$9+1,1))</f>
        <v>401.86262166363821</v>
      </c>
      <c r="T142" s="62">
        <f t="shared" si="142"/>
        <v>208.60314230781432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56.654284952950192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56.654284952950192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6.8212102632969618E-13</v>
      </c>
      <c r="AJ142" s="14">
        <f>AI142*VLOOKUP('Données projet'!$B$10,Paramètres!$A$1:$I$89,3,0)*VLOOKUP('Données projet'!$B$10,Paramètres!$A$1:$I$89,5,0)</f>
        <v>7.3423507274128498E-13</v>
      </c>
      <c r="AK142" s="14">
        <f t="shared" si="143"/>
        <v>8.7458894232577541E-12</v>
      </c>
      <c r="AL142" s="22">
        <f t="shared" si="112"/>
        <v>1.6511216830531657E-11</v>
      </c>
      <c r="AM142" s="62">
        <f t="shared" si="113"/>
        <v>293.3333333333498</v>
      </c>
      <c r="AN142" s="62">
        <f ca="1">AVERAGE(OFFSET($AM$3,0,0,'Données projet'!$E$10+1,1))-AVERAGE(OFFSET($H$3,0,0,'Données projet'!$E$10+1,1))</f>
        <v>407.22515465568205</v>
      </c>
      <c r="AO142" s="62">
        <f t="shared" si="144"/>
        <v>251.6218558398258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144.28197051385604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144.28197051385604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6.8212102632969618E-13</v>
      </c>
      <c r="BE142" s="14">
        <f>BD142*VLOOKUP('Données projet'!$B$11,Paramètres!$A$1:$I$89,3,0)*VLOOKUP('Données projet'!$B$11,Paramètres!$A$1:$I$89,5,0)</f>
        <v>6.5974745666608208E-13</v>
      </c>
      <c r="BF142" s="14">
        <f t="shared" si="145"/>
        <v>7.9570891233345703E-12</v>
      </c>
      <c r="BG142" s="22">
        <f t="shared" si="115"/>
        <v>1.5007657043501137E-11</v>
      </c>
      <c r="BH142" s="62">
        <f t="shared" si="116"/>
        <v>293.33333333334832</v>
      </c>
      <c r="BI142" s="62">
        <f ca="1">AVERAGE(OFFSET($BH$3,0,0,'Données projet'!$E$11+1,1))-AVERAGE(OFFSET($H$3,0,0,'Données projet'!$E$11+1,1))</f>
        <v>357.76044008074308</v>
      </c>
      <c r="BJ142" s="62">
        <f t="shared" si="146"/>
        <v>224.26555772810445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129.64466915737796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129.64466915737796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6.8212102632969618E-13</v>
      </c>
      <c r="BZ142" s="14">
        <f>BY142*VLOOKUP('Données projet'!$B$12,Paramètres!$A$1:$I$89,3,0)*VLOOKUP('Données projet'!$B$12,Paramètres!$A$1:$I$89,5,0)</f>
        <v>4.5756678446196019E-13</v>
      </c>
      <c r="CA142" s="14">
        <f t="shared" si="147"/>
        <v>5.7587689306883675E-12</v>
      </c>
      <c r="CB142" s="22">
        <f t="shared" si="118"/>
        <v>1.0826784703886818E-11</v>
      </c>
      <c r="CC142" s="62">
        <f t="shared" si="119"/>
        <v>293.33333333334411</v>
      </c>
      <c r="CD142" s="62">
        <f ca="1">AVERAGE(OFFSET($CC$3,0,0,'Données projet'!$E$12+1,1))-AVERAGE(OFFSET($H$3,0,0,'Données projet'!$E$12+1,1))</f>
        <v>222.86701323374945</v>
      </c>
      <c r="CE142" s="62">
        <f t="shared" si="148"/>
        <v>149.63671045240511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110.8252816990489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110.8252816990489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8.5265128291212022E-14</v>
      </c>
      <c r="CU142" s="18">
        <f>CT142*VLOOKUP('Données projet'!$B$13,Paramètres!$A$1:$I$89,3,0)*VLOOKUP('Données projet'!$B$13,Paramètres!$A$1:$I$89,5,0)</f>
        <v>5.5865712056402117E-14</v>
      </c>
      <c r="CV142" s="14">
        <f t="shared" si="149"/>
        <v>8.9811031843713517E-13</v>
      </c>
      <c r="CW142" s="22">
        <f t="shared" si="121"/>
        <v>1.6615082531095774E-12</v>
      </c>
      <c r="CX142" s="62">
        <f t="shared" si="122"/>
        <v>293.33333333333496</v>
      </c>
      <c r="CY142" s="62">
        <f ca="1">AVERAGE(OFFSET($CX$3,0,0,'Données projet'!$E$13+1,1))-AVERAGE(OFFSET($H$3,0,0,'Données projet'!$E$13+1,1))</f>
        <v>173.15672762188746</v>
      </c>
      <c r="CZ142" s="62">
        <f t="shared" si="150"/>
        <v>208.54841796921414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31.210467398176785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31.210467398176785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269.18638759204373</v>
      </c>
      <c r="EP142" s="62">
        <f t="shared" si="154"/>
        <v>197.07126167823969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62.750507912298787</v>
      </c>
      <c r="EW142" s="23">
        <f>EXP(-LN(2)/25)*EW141+(1-EXP(-LN(2)/25))/(LN(2)/25)*Calculateur!ER142*Calculateur!ET142*VLOOKUP('Données projet'!$B$15,Paramètres!$A$1:$I$89,3,0)*0.475*44/12</f>
        <v>6.1460816074721167</v>
      </c>
      <c r="EX142" s="23">
        <f>EXP(-LN(2)/2)*EX141+(1-EXP(-LN(2)/2))/(LN(2)/2)*ER142*EU142*VLOOKUP('Données projet'!$B$15,Paramètres!$A$1:$I$89,3,0)*0.475*44/12</f>
        <v>4.1910728503270346E-8</v>
      </c>
      <c r="EY142" s="24">
        <f t="shared" si="129"/>
        <v>68.896589561681623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1.1368683772161603E-13</v>
      </c>
      <c r="FF142" s="18">
        <f>FE142*VLOOKUP('Données projet'!$B$16,Paramètres!$A$1:$I$89,3,0)*VLOOKUP('Données projet'!$B$16,Paramètres!$A$1:$I$89,5,0)</f>
        <v>6.7984728957526396E-14</v>
      </c>
      <c r="FG142" s="14">
        <f t="shared" si="155"/>
        <v>1.0682447123141398E-12</v>
      </c>
      <c r="FH142" s="22">
        <f t="shared" si="130"/>
        <v>1.978932943548152E-12</v>
      </c>
      <c r="FI142" s="62">
        <f t="shared" si="131"/>
        <v>293.3333333333353</v>
      </c>
      <c r="FJ142" s="62">
        <f ca="1">AVERAGE(OFFSET($FI$3,0,0,'Données projet'!$E$16+1,1))-AVERAGE(OFFSET($H$3,0,0,'Données projet'!$E$16+1,1))</f>
        <v>330.48891719033065</v>
      </c>
      <c r="FK142" s="62">
        <f t="shared" si="156"/>
        <v>419.35494198427284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44.465932642886756</v>
      </c>
      <c r="FR142" s="23">
        <f>EXP(-LN(2)/25)*FR141+(1-EXP(-LN(2)/25))/(LN(2)/25)*Calculateur!FM142*Calculateur!FO142*VLOOKUP('Données projet'!$B$16,Paramètres!$A$1:$I$89,3,0)*0.475*44/12</f>
        <v>4.0196750601225313</v>
      </c>
      <c r="FS142" s="23">
        <f>EXP(-LN(2)/2)*FS141+(1-EXP(-LN(2)/2))/(LN(2)/2)*FM142*FP142*VLOOKUP('Données projet'!$B$16,Paramètres!$A$1:$I$89,3,0)*0.475*44/12</f>
        <v>1.1170346634639431E-11</v>
      </c>
      <c r="FT142" s="24">
        <f t="shared" si="132"/>
        <v>48.485607703020456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>
        <f>FZ142*VLOOKUP('Données projet'!$B$17,Paramètres!$A$1:$I$89,3,0)*VLOOKUP('Données projet'!$B$17,Paramètres!$A$1:$I$89,5,0)</f>
        <v>0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132.18258156780018</v>
      </c>
      <c r="GF142" s="62">
        <f t="shared" si="158"/>
        <v>315.58133946947294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5.0089777942360891</v>
      </c>
      <c r="GM142" s="23">
        <f>EXP(-LN(2)/25)*GM141+(1-EXP(-LN(2)/25))/(LN(2)/25)*Calculateur!GH142*Calculateur!GJ142*VLOOKUP('Données projet'!$B$17,Paramètres!$A$1:$I$89,3,0)*0.475*44/12</f>
        <v>0.90356230569228968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5.9125400999283784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9">
        <f t="shared" si="110"/>
        <v>530.4697365612044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8.1590000000000025</v>
      </c>
      <c r="N143" s="14">
        <f>IF('Données projet'!$A$36&gt;35,N142+M143-V142,IF(A143&lt;'Données projet'!$A$36,$K$205^A143,IF(A143='Données projet'!$A$36,'Données projet'!$B$36,N142+M143-V142)))</f>
        <v>430.59400000000062</v>
      </c>
      <c r="O143" s="14">
        <f>N143*VLOOKUP('Données projet'!$B$9,Paramètres!$A$1:$I$89,3,0)*VLOOKUP('Données projet'!$B$9,Paramètres!$A$1:$I$89,5,0)</f>
        <v>389.60145120000055</v>
      </c>
      <c r="P143" s="14">
        <f t="shared" si="141"/>
        <v>89.665298143968485</v>
      </c>
      <c r="Q143" s="22">
        <f t="shared" si="108"/>
        <v>834.72292177407928</v>
      </c>
      <c r="R143" s="62">
        <f t="shared" si="109"/>
        <v>1128.0562551074127</v>
      </c>
      <c r="S143" s="62">
        <f ca="1">AVERAGE(OFFSET($R$3,0,0,'Données projet'!$E$9+1,1))-AVERAGE(OFFSET($H$3,0,0,'Données projet'!$E$9+1,1))</f>
        <v>401.86262166363821</v>
      </c>
      <c r="T143" s="62">
        <f t="shared" si="142"/>
        <v>208.60314230781432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55.543328980724567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55.543328980724567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6.8212102632969618E-13</v>
      </c>
      <c r="AJ143" s="14">
        <f>AI143*VLOOKUP('Données projet'!$B$10,Paramètres!$A$1:$I$89,3,0)*VLOOKUP('Données projet'!$B$10,Paramètres!$A$1:$I$89,5,0)</f>
        <v>7.3423507274128498E-13</v>
      </c>
      <c r="AK143" s="14">
        <f t="shared" si="143"/>
        <v>8.7458894232577541E-12</v>
      </c>
      <c r="AL143" s="22">
        <f t="shared" si="112"/>
        <v>1.6511216830531657E-11</v>
      </c>
      <c r="AM143" s="62">
        <f t="shared" si="113"/>
        <v>293.3333333333498</v>
      </c>
      <c r="AN143" s="62">
        <f ca="1">AVERAGE(OFFSET($AM$3,0,0,'Données projet'!$E$10+1,1))-AVERAGE(OFFSET($H$3,0,0,'Données projet'!$E$10+1,1))</f>
        <v>407.22515465568205</v>
      </c>
      <c r="AO143" s="62">
        <f t="shared" si="144"/>
        <v>251.6218558398258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141.45268907539173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141.45268907539173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6.8212102632969618E-13</v>
      </c>
      <c r="BE143" s="14">
        <f>BD143*VLOOKUP('Données projet'!$B$11,Paramètres!$A$1:$I$89,3,0)*VLOOKUP('Données projet'!$B$11,Paramètres!$A$1:$I$89,5,0)</f>
        <v>6.5974745666608208E-13</v>
      </c>
      <c r="BF143" s="14">
        <f t="shared" si="145"/>
        <v>7.9570891233345703E-12</v>
      </c>
      <c r="BG143" s="22">
        <f t="shared" si="115"/>
        <v>1.5007657043501137E-11</v>
      </c>
      <c r="BH143" s="62">
        <f t="shared" si="116"/>
        <v>293.33333333334832</v>
      </c>
      <c r="BI143" s="62">
        <f ca="1">AVERAGE(OFFSET($BH$3,0,0,'Données projet'!$E$11+1,1))-AVERAGE(OFFSET($H$3,0,0,'Données projet'!$E$11+1,1))</f>
        <v>357.76044008074308</v>
      </c>
      <c r="BJ143" s="62">
        <f t="shared" si="146"/>
        <v>224.26555772810445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127.10241627064191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127.10241627064191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6.8212102632969618E-13</v>
      </c>
      <c r="BZ143" s="14">
        <f>BY143*VLOOKUP('Données projet'!$B$12,Paramètres!$A$1:$I$89,3,0)*VLOOKUP('Données projet'!$B$12,Paramètres!$A$1:$I$89,5,0)</f>
        <v>4.5756678446196019E-13</v>
      </c>
      <c r="CA143" s="14">
        <f t="shared" si="147"/>
        <v>5.7587689306883675E-12</v>
      </c>
      <c r="CB143" s="22">
        <f t="shared" si="118"/>
        <v>1.0826784703886818E-11</v>
      </c>
      <c r="CC143" s="62">
        <f t="shared" si="119"/>
        <v>293.33333333334411</v>
      </c>
      <c r="CD143" s="62">
        <f ca="1">AVERAGE(OFFSET($CC$3,0,0,'Données projet'!$E$12+1,1))-AVERAGE(OFFSET($H$3,0,0,'Données projet'!$E$12+1,1))</f>
        <v>222.86701323374945</v>
      </c>
      <c r="CE143" s="62">
        <f t="shared" si="148"/>
        <v>149.63671045240511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108.65206552167777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108.65206552167777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8.5265128291212022E-14</v>
      </c>
      <c r="CU143" s="18">
        <f>CT143*VLOOKUP('Données projet'!$B$13,Paramètres!$A$1:$I$89,3,0)*VLOOKUP('Données projet'!$B$13,Paramètres!$A$1:$I$89,5,0)</f>
        <v>5.5865712056402117E-14</v>
      </c>
      <c r="CV143" s="14">
        <f t="shared" si="149"/>
        <v>8.9811031843713517E-13</v>
      </c>
      <c r="CW143" s="22">
        <f t="shared" si="121"/>
        <v>1.6615082531095774E-12</v>
      </c>
      <c r="CX143" s="62">
        <f t="shared" si="122"/>
        <v>293.33333333333496</v>
      </c>
      <c r="CY143" s="62">
        <f ca="1">AVERAGE(OFFSET($CX$3,0,0,'Données projet'!$E$13+1,1))-AVERAGE(OFFSET($H$3,0,0,'Données projet'!$E$13+1,1))</f>
        <v>173.15672762188746</v>
      </c>
      <c r="CZ143" s="62">
        <f t="shared" si="150"/>
        <v>208.54841796921414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30.598449169003953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30.598449169003953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269.18638759204373</v>
      </c>
      <c r="EP143" s="62">
        <f t="shared" si="154"/>
        <v>197.07126167823969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61.520008726169188</v>
      </c>
      <c r="EW143" s="23">
        <f>EXP(-LN(2)/25)*EW142+(1-EXP(-LN(2)/25))/(LN(2)/25)*Calculateur!ER143*Calculateur!ET143*VLOOKUP('Données projet'!$B$15,Paramètres!$A$1:$I$89,3,0)*0.475*44/12</f>
        <v>5.9780166827074073</v>
      </c>
      <c r="EX143" s="23">
        <f>EXP(-LN(2)/2)*EX142+(1-EXP(-LN(2)/2))/(LN(2)/2)*ER143*EU143*VLOOKUP('Données projet'!$B$15,Paramètres!$A$1:$I$89,3,0)*0.475*44/12</f>
        <v>2.9635360329130788E-8</v>
      </c>
      <c r="EY143" s="24">
        <f t="shared" si="129"/>
        <v>67.498025438511959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1.1368683772161603E-13</v>
      </c>
      <c r="FF143" s="18">
        <f>FE143*VLOOKUP('Données projet'!$B$16,Paramètres!$A$1:$I$89,3,0)*VLOOKUP('Données projet'!$B$16,Paramètres!$A$1:$I$89,5,0)</f>
        <v>6.7984728957526396E-14</v>
      </c>
      <c r="FG143" s="14">
        <f t="shared" si="155"/>
        <v>1.0682447123141398E-12</v>
      </c>
      <c r="FH143" s="22">
        <f t="shared" si="130"/>
        <v>1.978932943548152E-12</v>
      </c>
      <c r="FI143" s="62">
        <f t="shared" si="131"/>
        <v>293.3333333333353</v>
      </c>
      <c r="FJ143" s="62">
        <f ca="1">AVERAGE(OFFSET($FI$3,0,0,'Données projet'!$E$16+1,1))-AVERAGE(OFFSET($H$3,0,0,'Données projet'!$E$16+1,1))</f>
        <v>330.48891719033065</v>
      </c>
      <c r="FK143" s="62">
        <f t="shared" si="156"/>
        <v>419.35494198427284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43.593982825300628</v>
      </c>
      <c r="FR143" s="23">
        <f>EXP(-LN(2)/25)*FR142+(1-EXP(-LN(2)/25))/(LN(2)/25)*Calculateur!FM143*Calculateur!FO143*VLOOKUP('Données projet'!$B$16,Paramètres!$A$1:$I$89,3,0)*0.475*44/12</f>
        <v>3.9097568342179563</v>
      </c>
      <c r="FS143" s="23">
        <f>EXP(-LN(2)/2)*FS142+(1-EXP(-LN(2)/2))/(LN(2)/2)*FM143*FP143*VLOOKUP('Données projet'!$B$16,Paramètres!$A$1:$I$89,3,0)*0.475*44/12</f>
        <v>7.8986278535578712E-12</v>
      </c>
      <c r="FT143" s="24">
        <f t="shared" si="132"/>
        <v>47.503739659526488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>
        <f>FZ143*VLOOKUP('Données projet'!$B$17,Paramètres!$A$1:$I$89,3,0)*VLOOKUP('Données projet'!$B$17,Paramètres!$A$1:$I$89,5,0)</f>
        <v>0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132.18258156780018</v>
      </c>
      <c r="GF143" s="62">
        <f t="shared" si="158"/>
        <v>315.58133946947294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4.9107547948659001</v>
      </c>
      <c r="GM143" s="23">
        <f>EXP(-LN(2)/25)*GM142+(1-EXP(-LN(2)/25))/(LN(2)/25)*Calculateur!GH143*Calculateur!GJ143*VLOOKUP('Données projet'!$B$17,Paramètres!$A$1:$I$89,3,0)*0.475*44/12</f>
        <v>0.87885434692685749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5.7896091417927575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9">
        <f t="shared" si="110"/>
        <v>532.3779434731116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8.1590000000000025</v>
      </c>
      <c r="N144" s="14">
        <f>IF('Données projet'!$A$36&gt;35,N143+M144-V143,IF(A144&lt;'Données projet'!$A$36,$K$205^A144,IF(A144='Données projet'!$A$36,'Données projet'!$B$36,N143+M144-V143)))</f>
        <v>438.75300000000061</v>
      </c>
      <c r="O144" s="14">
        <f>N144*VLOOKUP('Données projet'!$B$9,Paramètres!$A$1:$I$89,3,0)*VLOOKUP('Données projet'!$B$9,Paramètres!$A$1:$I$89,5,0)</f>
        <v>396.98371440000057</v>
      </c>
      <c r="P144" s="14">
        <f t="shared" si="141"/>
        <v>91.164890478045521</v>
      </c>
      <c r="Q144" s="22">
        <f t="shared" si="108"/>
        <v>850.19215349593026</v>
      </c>
      <c r="R144" s="62">
        <f t="shared" si="109"/>
        <v>1143.5254868292636</v>
      </c>
      <c r="S144" s="62">
        <f ca="1">AVERAGE(OFFSET($R$3,0,0,'Données projet'!$E$9+1,1))-AVERAGE(OFFSET($H$3,0,0,'Données projet'!$E$9+1,1))</f>
        <v>401.86262166363821</v>
      </c>
      <c r="T144" s="62">
        <f t="shared" si="142"/>
        <v>208.60314230781432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54.454158177498051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54.454158177498051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6.8212102632969618E-13</v>
      </c>
      <c r="AJ144" s="14">
        <f>AI144*VLOOKUP('Données projet'!$B$10,Paramètres!$A$1:$I$89,3,0)*VLOOKUP('Données projet'!$B$10,Paramètres!$A$1:$I$89,5,0)</f>
        <v>7.3423507274128498E-13</v>
      </c>
      <c r="AK144" s="14">
        <f t="shared" si="143"/>
        <v>8.7458894232577541E-12</v>
      </c>
      <c r="AL144" s="22">
        <f t="shared" si="112"/>
        <v>1.6511216830531657E-11</v>
      </c>
      <c r="AM144" s="62">
        <f t="shared" si="113"/>
        <v>293.3333333333498</v>
      </c>
      <c r="AN144" s="62">
        <f ca="1">AVERAGE(OFFSET($AM$3,0,0,'Données projet'!$E$10+1,1))-AVERAGE(OFFSET($H$3,0,0,'Données projet'!$E$10+1,1))</f>
        <v>407.22515465568205</v>
      </c>
      <c r="AO144" s="62">
        <f t="shared" si="144"/>
        <v>251.6218558398258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138.67888812024444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138.67888812024444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6.8212102632969618E-13</v>
      </c>
      <c r="BE144" s="14">
        <f>BD144*VLOOKUP('Données projet'!$B$11,Paramètres!$A$1:$I$89,3,0)*VLOOKUP('Données projet'!$B$11,Paramètres!$A$1:$I$89,5,0)</f>
        <v>6.5974745666608208E-13</v>
      </c>
      <c r="BF144" s="14">
        <f t="shared" si="145"/>
        <v>7.9570891233345703E-12</v>
      </c>
      <c r="BG144" s="22">
        <f t="shared" si="115"/>
        <v>1.5007657043501137E-11</v>
      </c>
      <c r="BH144" s="62">
        <f t="shared" si="116"/>
        <v>293.33333333334832</v>
      </c>
      <c r="BI144" s="62">
        <f ca="1">AVERAGE(OFFSET($BH$3,0,0,'Données projet'!$E$11+1,1))-AVERAGE(OFFSET($H$3,0,0,'Données projet'!$E$11+1,1))</f>
        <v>357.76044008074308</v>
      </c>
      <c r="BJ144" s="62">
        <f t="shared" si="146"/>
        <v>224.26555772810445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124.61001541239361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124.61001541239361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6.8212102632969618E-13</v>
      </c>
      <c r="BZ144" s="14">
        <f>BY144*VLOOKUP('Données projet'!$B$12,Paramètres!$A$1:$I$89,3,0)*VLOOKUP('Données projet'!$B$12,Paramètres!$A$1:$I$89,5,0)</f>
        <v>4.5756678446196019E-13</v>
      </c>
      <c r="CA144" s="14">
        <f t="shared" si="147"/>
        <v>5.7587689306883675E-12</v>
      </c>
      <c r="CB144" s="22">
        <f t="shared" si="118"/>
        <v>1.0826784703886818E-11</v>
      </c>
      <c r="CC144" s="62">
        <f t="shared" si="119"/>
        <v>293.33333333334411</v>
      </c>
      <c r="CD144" s="62">
        <f ca="1">AVERAGE(OFFSET($CC$3,0,0,'Données projet'!$E$12+1,1))-AVERAGE(OFFSET($H$3,0,0,'Données projet'!$E$12+1,1))</f>
        <v>222.86701323374945</v>
      </c>
      <c r="CE144" s="62">
        <f t="shared" si="148"/>
        <v>149.63671045240511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106.5214647880139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106.5214647880139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8.5265128291212022E-14</v>
      </c>
      <c r="CU144" s="18">
        <f>CT144*VLOOKUP('Données projet'!$B$13,Paramètres!$A$1:$I$89,3,0)*VLOOKUP('Données projet'!$B$13,Paramètres!$A$1:$I$89,5,0)</f>
        <v>5.5865712056402117E-14</v>
      </c>
      <c r="CV144" s="14">
        <f t="shared" si="149"/>
        <v>8.9811031843713517E-13</v>
      </c>
      <c r="CW144" s="22">
        <f t="shared" si="121"/>
        <v>1.6615082531095774E-12</v>
      </c>
      <c r="CX144" s="62">
        <f t="shared" si="122"/>
        <v>293.33333333333496</v>
      </c>
      <c r="CY144" s="62">
        <f ca="1">AVERAGE(OFFSET($CX$3,0,0,'Données projet'!$E$13+1,1))-AVERAGE(OFFSET($H$3,0,0,'Données projet'!$E$13+1,1))</f>
        <v>173.15672762188746</v>
      </c>
      <c r="CZ144" s="62">
        <f t="shared" si="150"/>
        <v>208.54841796921414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29.998432244010939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29.998432244010939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269.18638759204373</v>
      </c>
      <c r="EP144" s="62">
        <f t="shared" si="154"/>
        <v>197.07126167823969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60.313638878549192</v>
      </c>
      <c r="EW144" s="23">
        <f>EXP(-LN(2)/25)*EW143+(1-EXP(-LN(2)/25))/(LN(2)/25)*Calculateur!ER144*Calculateur!ET144*VLOOKUP('Données projet'!$B$15,Paramètres!$A$1:$I$89,3,0)*0.475*44/12</f>
        <v>5.8145475021485389</v>
      </c>
      <c r="EX144" s="23">
        <f>EXP(-LN(2)/2)*EX143+(1-EXP(-LN(2)/2))/(LN(2)/2)*ER144*EU144*VLOOKUP('Données projet'!$B$15,Paramètres!$A$1:$I$89,3,0)*0.475*44/12</f>
        <v>2.0955364251635176E-8</v>
      </c>
      <c r="EY144" s="24">
        <f t="shared" si="129"/>
        <v>66.128186401653096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1.1368683772161603E-13</v>
      </c>
      <c r="FF144" s="18">
        <f>FE144*VLOOKUP('Données projet'!$B$16,Paramètres!$A$1:$I$89,3,0)*VLOOKUP('Données projet'!$B$16,Paramètres!$A$1:$I$89,5,0)</f>
        <v>6.7984728957526396E-14</v>
      </c>
      <c r="FG144" s="14">
        <f t="shared" si="155"/>
        <v>1.0682447123141398E-12</v>
      </c>
      <c r="FH144" s="22">
        <f t="shared" si="130"/>
        <v>1.978932943548152E-12</v>
      </c>
      <c r="FI144" s="62">
        <f t="shared" si="131"/>
        <v>293.3333333333353</v>
      </c>
      <c r="FJ144" s="62">
        <f ca="1">AVERAGE(OFFSET($FI$3,0,0,'Données projet'!$E$16+1,1))-AVERAGE(OFFSET($H$3,0,0,'Données projet'!$E$16+1,1))</f>
        <v>330.48891719033065</v>
      </c>
      <c r="FK144" s="62">
        <f t="shared" si="156"/>
        <v>419.35494198427284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42.739131411800493</v>
      </c>
      <c r="FR144" s="23">
        <f>EXP(-LN(2)/25)*FR143+(1-EXP(-LN(2)/25))/(LN(2)/25)*Calculateur!FM144*Calculateur!FO144*VLOOKUP('Données projet'!$B$16,Paramètres!$A$1:$I$89,3,0)*0.475*44/12</f>
        <v>3.8028443279810902</v>
      </c>
      <c r="FS144" s="23">
        <f>EXP(-LN(2)/2)*FS143+(1-EXP(-LN(2)/2))/(LN(2)/2)*FM144*FP144*VLOOKUP('Données projet'!$B$16,Paramètres!$A$1:$I$89,3,0)*0.475*44/12</f>
        <v>5.5851733173197153E-12</v>
      </c>
      <c r="FT144" s="24">
        <f t="shared" si="132"/>
        <v>46.541975739787169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>
        <f>FZ144*VLOOKUP('Données projet'!$B$17,Paramètres!$A$1:$I$89,3,0)*VLOOKUP('Données projet'!$B$17,Paramètres!$A$1:$I$89,5,0)</f>
        <v>0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132.18258156780018</v>
      </c>
      <c r="GF144" s="62">
        <f t="shared" si="158"/>
        <v>315.58133946947294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4.814457888603247</v>
      </c>
      <c r="GM144" s="23">
        <f>EXP(-LN(2)/25)*GM143+(1-EXP(-LN(2)/25))/(LN(2)/25)*Calculateur!GH144*Calculateur!GJ144*VLOOKUP('Données projet'!$B$17,Paramètres!$A$1:$I$89,3,0)*0.475*44/12</f>
        <v>0.85482202859320111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5.6692799171964481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9">
        <f t="shared" si="110"/>
        <v>534.28585371217559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8.1590000000000025</v>
      </c>
      <c r="N145" s="14">
        <f>IF('Données projet'!$A$36&gt;35,N144+M145-V144,IF(A145&lt;'Données projet'!$A$36,$K$205^A145,IF(A145='Données projet'!$A$36,'Données projet'!$B$36,N144+M145-V144)))</f>
        <v>446.9120000000006</v>
      </c>
      <c r="O145" s="14">
        <f>N145*VLOOKUP('Données projet'!$B$9,Paramètres!$A$1:$I$89,3,0)*VLOOKUP('Données projet'!$B$9,Paramètres!$A$1:$I$89,5,0)</f>
        <v>404.36597760000052</v>
      </c>
      <c r="P145" s="14">
        <f t="shared" si="141"/>
        <v>92.66124016608812</v>
      </c>
      <c r="Q145" s="22">
        <f t="shared" si="108"/>
        <v>865.655737609271</v>
      </c>
      <c r="R145" s="62">
        <f t="shared" si="109"/>
        <v>1158.9890709426043</v>
      </c>
      <c r="S145" s="62">
        <f ca="1">AVERAGE(OFFSET($R$3,0,0,'Données projet'!$E$9+1,1))-AVERAGE(OFFSET($H$3,0,0,'Données projet'!$E$9+1,1))</f>
        <v>401.86262166363821</v>
      </c>
      <c r="T145" s="62">
        <f t="shared" si="142"/>
        <v>208.60314230781432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53.386345349394219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53.386345349394219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6.8212102632969618E-13</v>
      </c>
      <c r="AJ145" s="14">
        <f>AI145*VLOOKUP('Données projet'!$B$10,Paramètres!$A$1:$I$89,3,0)*VLOOKUP('Données projet'!$B$10,Paramètres!$A$1:$I$89,5,0)</f>
        <v>7.3423507274128498E-13</v>
      </c>
      <c r="AK145" s="14">
        <f t="shared" si="143"/>
        <v>8.7458894232577541E-12</v>
      </c>
      <c r="AL145" s="22">
        <f t="shared" si="112"/>
        <v>1.6511216830531657E-11</v>
      </c>
      <c r="AM145" s="62">
        <f t="shared" si="113"/>
        <v>293.3333333333498</v>
      </c>
      <c r="AN145" s="62">
        <f ca="1">AVERAGE(OFFSET($AM$3,0,0,'Données projet'!$E$10+1,1))-AVERAGE(OFFSET($H$3,0,0,'Données projet'!$E$10+1,1))</f>
        <v>407.22515465568205</v>
      </c>
      <c r="AO145" s="62">
        <f t="shared" si="144"/>
        <v>251.6218558398258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135.95947970997605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135.95947970997605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6.8212102632969618E-13</v>
      </c>
      <c r="BE145" s="14">
        <f>BD145*VLOOKUP('Données projet'!$B$11,Paramètres!$A$1:$I$89,3,0)*VLOOKUP('Données projet'!$B$11,Paramètres!$A$1:$I$89,5,0)</f>
        <v>6.5974745666608208E-13</v>
      </c>
      <c r="BF145" s="14">
        <f t="shared" si="145"/>
        <v>7.9570891233345703E-12</v>
      </c>
      <c r="BG145" s="22">
        <f t="shared" si="115"/>
        <v>1.5007657043501137E-11</v>
      </c>
      <c r="BH145" s="62">
        <f t="shared" si="116"/>
        <v>293.33333333334832</v>
      </c>
      <c r="BI145" s="62">
        <f ca="1">AVERAGE(OFFSET($BH$3,0,0,'Données projet'!$E$11+1,1))-AVERAGE(OFFSET($H$3,0,0,'Données projet'!$E$11+1,1))</f>
        <v>357.76044008074308</v>
      </c>
      <c r="BJ145" s="62">
        <f t="shared" si="146"/>
        <v>224.26555772810445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122.16648901476114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122.16648901476114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6.8212102632969618E-13</v>
      </c>
      <c r="BZ145" s="14">
        <f>BY145*VLOOKUP('Données projet'!$B$12,Paramètres!$A$1:$I$89,3,0)*VLOOKUP('Données projet'!$B$12,Paramètres!$A$1:$I$89,5,0)</f>
        <v>4.5756678446196019E-13</v>
      </c>
      <c r="CA145" s="14">
        <f t="shared" si="147"/>
        <v>5.7587689306883675E-12</v>
      </c>
      <c r="CB145" s="22">
        <f t="shared" si="118"/>
        <v>1.0826784703886818E-11</v>
      </c>
      <c r="CC145" s="62">
        <f t="shared" si="119"/>
        <v>293.33333333334411</v>
      </c>
      <c r="CD145" s="62">
        <f ca="1">AVERAGE(OFFSET($CC$3,0,0,'Données projet'!$E$12+1,1))-AVERAGE(OFFSET($H$3,0,0,'Données projet'!$E$12+1,1))</f>
        <v>222.86701323374945</v>
      </c>
      <c r="CE145" s="62">
        <f t="shared" si="148"/>
        <v>149.63671045240511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104.43264383519904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104.43264383519904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8.5265128291212022E-14</v>
      </c>
      <c r="CU145" s="18">
        <f>CT145*VLOOKUP('Données projet'!$B$13,Paramètres!$A$1:$I$89,3,0)*VLOOKUP('Données projet'!$B$13,Paramètres!$A$1:$I$89,5,0)</f>
        <v>5.5865712056402117E-14</v>
      </c>
      <c r="CV145" s="14">
        <f t="shared" si="149"/>
        <v>8.9811031843713517E-13</v>
      </c>
      <c r="CW145" s="22">
        <f t="shared" si="121"/>
        <v>1.6615082531095774E-12</v>
      </c>
      <c r="CX145" s="62">
        <f t="shared" si="122"/>
        <v>293.33333333333496</v>
      </c>
      <c r="CY145" s="62">
        <f ca="1">AVERAGE(OFFSET($CX$3,0,0,'Données projet'!$E$13+1,1))-AVERAGE(OFFSET($H$3,0,0,'Données projet'!$E$13+1,1))</f>
        <v>173.15672762188746</v>
      </c>
      <c r="CZ145" s="62">
        <f t="shared" si="150"/>
        <v>208.54841796921414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29.410181284942851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29.410181284942851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269.18638759204373</v>
      </c>
      <c r="EP145" s="62">
        <f t="shared" si="154"/>
        <v>197.07126167823969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59.130925207828078</v>
      </c>
      <c r="EW145" s="23">
        <f>EXP(-LN(2)/25)*EW144+(1-EXP(-LN(2)/25))/(LN(2)/25)*Calculateur!ER145*Calculateur!ET145*VLOOKUP('Données projet'!$B$15,Paramètres!$A$1:$I$89,3,0)*0.475*44/12</f>
        <v>5.6555483949285232</v>
      </c>
      <c r="EX145" s="23">
        <f>EXP(-LN(2)/2)*EX144+(1-EXP(-LN(2)/2))/(LN(2)/2)*ER145*EU145*VLOOKUP('Données projet'!$B$15,Paramètres!$A$1:$I$89,3,0)*0.475*44/12</f>
        <v>1.4817680164565395E-8</v>
      </c>
      <c r="EY145" s="24">
        <f t="shared" si="129"/>
        <v>64.786473617574288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1.1368683772161603E-13</v>
      </c>
      <c r="FF145" s="18">
        <f>FE145*VLOOKUP('Données projet'!$B$16,Paramètres!$A$1:$I$89,3,0)*VLOOKUP('Données projet'!$B$16,Paramètres!$A$1:$I$89,5,0)</f>
        <v>6.7984728957526396E-14</v>
      </c>
      <c r="FG145" s="14">
        <f t="shared" si="155"/>
        <v>1.0682447123141398E-12</v>
      </c>
      <c r="FH145" s="22">
        <f t="shared" si="130"/>
        <v>1.978932943548152E-12</v>
      </c>
      <c r="FI145" s="62">
        <f t="shared" si="131"/>
        <v>293.3333333333353</v>
      </c>
      <c r="FJ145" s="62">
        <f ca="1">AVERAGE(OFFSET($FI$3,0,0,'Données projet'!$E$16+1,1))-AVERAGE(OFFSET($H$3,0,0,'Données projet'!$E$16+1,1))</f>
        <v>330.48891719033065</v>
      </c>
      <c r="FK145" s="62">
        <f t="shared" si="156"/>
        <v>419.35494198427284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41.901043113111214</v>
      </c>
      <c r="FR145" s="23">
        <f>EXP(-LN(2)/25)*FR144+(1-EXP(-LN(2)/25))/(LN(2)/25)*Calculateur!FM145*Calculateur!FO145*VLOOKUP('Données projet'!$B$16,Paramètres!$A$1:$I$89,3,0)*0.475*44/12</f>
        <v>3.6988553498495556</v>
      </c>
      <c r="FS145" s="23">
        <f>EXP(-LN(2)/2)*FS144+(1-EXP(-LN(2)/2))/(LN(2)/2)*FM145*FP145*VLOOKUP('Données projet'!$B$16,Paramètres!$A$1:$I$89,3,0)*0.475*44/12</f>
        <v>3.9493139267789356E-12</v>
      </c>
      <c r="FT145" s="24">
        <f t="shared" si="132"/>
        <v>45.599898462964717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>
        <f>FZ145*VLOOKUP('Données projet'!$B$17,Paramètres!$A$1:$I$89,3,0)*VLOOKUP('Données projet'!$B$17,Paramètres!$A$1:$I$89,5,0)</f>
        <v>0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132.18258156780018</v>
      </c>
      <c r="GF145" s="62">
        <f t="shared" si="158"/>
        <v>315.58133946947294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4.7200493059370912</v>
      </c>
      <c r="GM145" s="23">
        <f>EXP(-LN(2)/25)*GM144+(1-EXP(-LN(2)/25))/(LN(2)/25)*Calculateur!GH145*Calculateur!GJ145*VLOOKUP('Données projet'!$B$17,Paramètres!$A$1:$I$89,3,0)*0.475*44/12</f>
        <v>0.83144687526818328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5.5514961812052741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9">
        <f t="shared" si="110"/>
        <v>536.19346960991265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8.1590000000000025</v>
      </c>
      <c r="N146" s="14">
        <f>IF('Données projet'!$A$36&gt;35,N145+M146-V145,IF(A146&lt;'Données projet'!$A$36,$K$205^A146,IF(A146='Données projet'!$A$36,'Données projet'!$B$36,N145+M146-V145)))</f>
        <v>455.07100000000059</v>
      </c>
      <c r="O146" s="14">
        <f>N146*VLOOKUP('Données projet'!$B$9,Paramètres!$A$1:$I$89,3,0)*VLOOKUP('Données projet'!$B$9,Paramètres!$A$1:$I$89,5,0)</f>
        <v>411.74824080000053</v>
      </c>
      <c r="P146" s="14">
        <f t="shared" si="141"/>
        <v>94.15441323509782</v>
      </c>
      <c r="Q146" s="22">
        <f t="shared" si="108"/>
        <v>881.11378911112968</v>
      </c>
      <c r="R146" s="62">
        <f t="shared" si="109"/>
        <v>1174.447122444463</v>
      </c>
      <c r="S146" s="62">
        <f ca="1">AVERAGE(OFFSET($R$3,0,0,'Données projet'!$E$9+1,1))-AVERAGE(OFFSET($H$3,0,0,'Données projet'!$E$9+1,1))</f>
        <v>401.86262166363821</v>
      </c>
      <c r="T146" s="62">
        <f t="shared" si="142"/>
        <v>208.60314230781432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52.339471679547984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52.339471679547984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6.8212102632969618E-13</v>
      </c>
      <c r="AJ146" s="14">
        <f>AI146*VLOOKUP('Données projet'!$B$10,Paramètres!$A$1:$I$89,3,0)*VLOOKUP('Données projet'!$B$10,Paramètres!$A$1:$I$89,5,0)</f>
        <v>7.3423507274128498E-13</v>
      </c>
      <c r="AK146" s="14">
        <f t="shared" si="143"/>
        <v>8.7458894232577541E-12</v>
      </c>
      <c r="AL146" s="22">
        <f t="shared" si="112"/>
        <v>1.6511216830531657E-11</v>
      </c>
      <c r="AM146" s="62">
        <f t="shared" si="113"/>
        <v>293.3333333333498</v>
      </c>
      <c r="AN146" s="62">
        <f ca="1">AVERAGE(OFFSET($AM$3,0,0,'Données projet'!$E$10+1,1))-AVERAGE(OFFSET($H$3,0,0,'Données projet'!$E$10+1,1))</f>
        <v>407.22515465568205</v>
      </c>
      <c r="AO146" s="62">
        <f t="shared" si="144"/>
        <v>251.6218558398258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133.29339723995767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133.29339723995767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6.8212102632969618E-13</v>
      </c>
      <c r="BE146" s="14">
        <f>BD146*VLOOKUP('Données projet'!$B$11,Paramètres!$A$1:$I$89,3,0)*VLOOKUP('Données projet'!$B$11,Paramètres!$A$1:$I$89,5,0)</f>
        <v>6.5974745666608208E-13</v>
      </c>
      <c r="BF146" s="14">
        <f t="shared" si="145"/>
        <v>7.9570891233345703E-12</v>
      </c>
      <c r="BG146" s="22">
        <f t="shared" si="115"/>
        <v>1.5007657043501137E-11</v>
      </c>
      <c r="BH146" s="62">
        <f t="shared" si="116"/>
        <v>293.33333333334832</v>
      </c>
      <c r="BI146" s="62">
        <f ca="1">AVERAGE(OFFSET($BH$3,0,0,'Données projet'!$E$11+1,1))-AVERAGE(OFFSET($H$3,0,0,'Données projet'!$E$11+1,1))</f>
        <v>357.76044008074308</v>
      </c>
      <c r="BJ146" s="62">
        <f t="shared" si="146"/>
        <v>224.26555772810445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119.77087867938231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119.77087867938231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6.8212102632969618E-13</v>
      </c>
      <c r="BZ146" s="14">
        <f>BY146*VLOOKUP('Données projet'!$B$12,Paramètres!$A$1:$I$89,3,0)*VLOOKUP('Données projet'!$B$12,Paramètres!$A$1:$I$89,5,0)</f>
        <v>4.5756678446196019E-13</v>
      </c>
      <c r="CA146" s="14">
        <f t="shared" si="147"/>
        <v>5.7587689306883675E-12</v>
      </c>
      <c r="CB146" s="22">
        <f t="shared" si="118"/>
        <v>1.0826784703886818E-11</v>
      </c>
      <c r="CC146" s="62">
        <f t="shared" si="119"/>
        <v>293.33333333334411</v>
      </c>
      <c r="CD146" s="62">
        <f ca="1">AVERAGE(OFFSET($CC$3,0,0,'Données projet'!$E$12+1,1))-AVERAGE(OFFSET($H$3,0,0,'Données projet'!$E$12+1,1))</f>
        <v>222.86701323374945</v>
      </c>
      <c r="CE146" s="62">
        <f t="shared" si="148"/>
        <v>149.63671045240511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102.38478338721391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102.38478338721391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8.5265128291212022E-14</v>
      </c>
      <c r="CU146" s="18">
        <f>CT146*VLOOKUP('Données projet'!$B$13,Paramètres!$A$1:$I$89,3,0)*VLOOKUP('Données projet'!$B$13,Paramètres!$A$1:$I$89,5,0)</f>
        <v>5.5865712056402117E-14</v>
      </c>
      <c r="CV146" s="14">
        <f t="shared" si="149"/>
        <v>8.9811031843713517E-13</v>
      </c>
      <c r="CW146" s="22">
        <f t="shared" si="121"/>
        <v>1.6615082531095774E-12</v>
      </c>
      <c r="CX146" s="62">
        <f t="shared" si="122"/>
        <v>293.33333333333496</v>
      </c>
      <c r="CY146" s="62">
        <f ca="1">AVERAGE(OFFSET($CX$3,0,0,'Données projet'!$E$13+1,1))-AVERAGE(OFFSET($H$3,0,0,'Données projet'!$E$13+1,1))</f>
        <v>173.15672762188746</v>
      </c>
      <c r="CZ146" s="62">
        <f t="shared" si="150"/>
        <v>208.54841796921414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28.833465568384433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28.833465568384433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269.18638759204373</v>
      </c>
      <c r="EP146" s="62">
        <f t="shared" si="154"/>
        <v>197.07126167823969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57.971403830805691</v>
      </c>
      <c r="EW146" s="23">
        <f>EXP(-LN(2)/25)*EW145+(1-EXP(-LN(2)/25))/(LN(2)/25)*Calculateur!ER146*Calculateur!ET146*VLOOKUP('Données projet'!$B$15,Paramètres!$A$1:$I$89,3,0)*0.475*44/12</f>
        <v>5.5008971266568389</v>
      </c>
      <c r="EX146" s="23">
        <f>EXP(-LN(2)/2)*EX145+(1-EXP(-LN(2)/2))/(LN(2)/2)*ER146*EU146*VLOOKUP('Données projet'!$B$15,Paramètres!$A$1:$I$89,3,0)*0.475*44/12</f>
        <v>1.047768212581759E-8</v>
      </c>
      <c r="EY146" s="24">
        <f t="shared" si="129"/>
        <v>63.472300967940214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1.1368683772161603E-13</v>
      </c>
      <c r="FF146" s="18">
        <f>FE146*VLOOKUP('Données projet'!$B$16,Paramètres!$A$1:$I$89,3,0)*VLOOKUP('Données projet'!$B$16,Paramètres!$A$1:$I$89,5,0)</f>
        <v>6.7984728957526396E-14</v>
      </c>
      <c r="FG146" s="14">
        <f t="shared" si="155"/>
        <v>1.0682447123141398E-12</v>
      </c>
      <c r="FH146" s="22">
        <f t="shared" si="130"/>
        <v>1.978932943548152E-12</v>
      </c>
      <c r="FI146" s="62">
        <f t="shared" si="131"/>
        <v>293.3333333333353</v>
      </c>
      <c r="FJ146" s="62">
        <f ca="1">AVERAGE(OFFSET($FI$3,0,0,'Données projet'!$E$16+1,1))-AVERAGE(OFFSET($H$3,0,0,'Données projet'!$E$16+1,1))</f>
        <v>330.48891719033065</v>
      </c>
      <c r="FK146" s="62">
        <f t="shared" si="156"/>
        <v>419.35494198427284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41.079389214775844</v>
      </c>
      <c r="FR146" s="23">
        <f>EXP(-LN(2)/25)*FR145+(1-EXP(-LN(2)/25))/(LN(2)/25)*Calculateur!FM146*Calculateur!FO146*VLOOKUP('Données projet'!$B$16,Paramètres!$A$1:$I$89,3,0)*0.475*44/12</f>
        <v>3.5977099557935706</v>
      </c>
      <c r="FS146" s="23">
        <f>EXP(-LN(2)/2)*FS145+(1-EXP(-LN(2)/2))/(LN(2)/2)*FM146*FP146*VLOOKUP('Données projet'!$B$16,Paramètres!$A$1:$I$89,3,0)*0.475*44/12</f>
        <v>2.7925866586598576E-12</v>
      </c>
      <c r="FT146" s="24">
        <f t="shared" si="132"/>
        <v>44.677099170572205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>
        <f>FZ146*VLOOKUP('Données projet'!$B$17,Paramètres!$A$1:$I$89,3,0)*VLOOKUP('Données projet'!$B$17,Paramètres!$A$1:$I$89,5,0)</f>
        <v>0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132.18258156780018</v>
      </c>
      <c r="GF146" s="62">
        <f t="shared" si="158"/>
        <v>315.58133946947294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4.6274920179934691</v>
      </c>
      <c r="GM146" s="23">
        <f>EXP(-LN(2)/25)*GM145+(1-EXP(-LN(2)/25))/(LN(2)/25)*Calculateur!GH146*Calculateur!GJ146*VLOOKUP('Données projet'!$B$17,Paramètres!$A$1:$I$89,3,0)*0.475*44/12</f>
        <v>0.80871091674008388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5.4362029347335525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9">
        <f t="shared" si="110"/>
        <v>538.10079346334646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>
        <f>VLOOKUP(A147,'Données projet'!$A$35:$I$55,2,0)</f>
        <v>463.23</v>
      </c>
      <c r="L147" s="13">
        <f>VLOOKUP(A147,'Données projet'!$A$35:$I$55,9,0)</f>
        <v>8.1590000000000025</v>
      </c>
      <c r="M147" s="13">
        <f t="array" ref="M147">INDEX(L:L,MIN(IF(ISNUMBER(L147:L343),ROW(L147:L343),"")))</f>
        <v>8.1590000000000025</v>
      </c>
      <c r="N147" s="14">
        <f>IF('Données projet'!$A$36&gt;35,N146+M147-V146,IF(A147&lt;'Données projet'!$A$36,$K$205^A147,IF(A147='Données projet'!$A$36,'Données projet'!$B$36,N146+M147-V146)))</f>
        <v>463.23000000000059</v>
      </c>
      <c r="O147" s="14">
        <f>N147*VLOOKUP('Données projet'!$B$9,Paramètres!$A$1:$I$89,3,0)*VLOOKUP('Données projet'!$B$9,Paramètres!$A$1:$I$89,5,0)</f>
        <v>419.13050400000049</v>
      </c>
      <c r="P147" s="14">
        <f t="shared" si="141"/>
        <v>95.644473208887277</v>
      </c>
      <c r="Q147" s="22">
        <f t="shared" si="108"/>
        <v>896.56641863881293</v>
      </c>
      <c r="R147" s="62">
        <f t="shared" si="109"/>
        <v>1189.8997519721463</v>
      </c>
      <c r="S147" s="62">
        <f ca="1">AVERAGE(OFFSET($R$3,0,0,'Données projet'!$E$9+1,1))-AVERAGE(OFFSET($H$3,0,0,'Données projet'!$E$9+1,1))</f>
        <v>401.86262166363821</v>
      </c>
      <c r="T147" s="62">
        <f t="shared" si="142"/>
        <v>208.60314230781432</v>
      </c>
      <c r="U147" s="16">
        <f>IF(ISNA(VLOOKUP(A147,'Données projet'!$A$35:$I$55,3,0)),0,VLOOKUP(A147,'Données projet'!$A$35:$I$55,3,0))</f>
        <v>12</v>
      </c>
      <c r="V147" s="16">
        <f>IF(ISNA(VLOOKUP(A147,'Données projet'!$A$35:$I$55,4,0)),0,VLOOKUP(A147,'Données projet'!$A$35:$I$55,4,0))</f>
        <v>56.01</v>
      </c>
      <c r="W147" s="17">
        <f>IF(ISNA(VLOOKUP(A147,'Données projet'!$A$35:$I$55,5,0)),0%,VLOOKUP(A147,'Données projet'!$A$35:$I$55,5,0)*VLOOKUP('Données projet'!$B$9,Paramètres!$A$1:$I$89,7,0))</f>
        <v>0.30099999999999999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68.176007382441966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68.176007382441966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6.8212102632969618E-13</v>
      </c>
      <c r="AJ147" s="14">
        <f>AI147*VLOOKUP('Données projet'!$B$10,Paramètres!$A$1:$I$89,3,0)*VLOOKUP('Données projet'!$B$10,Paramètres!$A$1:$I$89,5,0)</f>
        <v>7.3423507274128498E-13</v>
      </c>
      <c r="AK147" s="14">
        <f t="shared" si="143"/>
        <v>8.7458894232577541E-12</v>
      </c>
      <c r="AL147" s="22">
        <f t="shared" si="112"/>
        <v>1.6511216830531657E-11</v>
      </c>
      <c r="AM147" s="62">
        <f t="shared" si="113"/>
        <v>293.3333333333498</v>
      </c>
      <c r="AN147" s="62">
        <f ca="1">AVERAGE(OFFSET($AM$3,0,0,'Données projet'!$E$10+1,1))-AVERAGE(OFFSET($H$3,0,0,'Données projet'!$E$10+1,1))</f>
        <v>407.22515465568205</v>
      </c>
      <c r="AO147" s="62">
        <f t="shared" si="144"/>
        <v>251.6218558398258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130.67959502102661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130.67959502102661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6.8212102632969618E-13</v>
      </c>
      <c r="BE147" s="14">
        <f>BD147*VLOOKUP('Données projet'!$B$11,Paramètres!$A$1:$I$89,3,0)*VLOOKUP('Données projet'!$B$11,Paramètres!$A$1:$I$89,5,0)</f>
        <v>6.5974745666608208E-13</v>
      </c>
      <c r="BF147" s="14">
        <f t="shared" si="145"/>
        <v>7.9570891233345703E-12</v>
      </c>
      <c r="BG147" s="22">
        <f t="shared" si="115"/>
        <v>1.5007657043501137E-11</v>
      </c>
      <c r="BH147" s="62">
        <f t="shared" si="116"/>
        <v>293.33333333334832</v>
      </c>
      <c r="BI147" s="62">
        <f ca="1">AVERAGE(OFFSET($BH$3,0,0,'Données projet'!$E$11+1,1))-AVERAGE(OFFSET($H$3,0,0,'Données projet'!$E$11+1,1))</f>
        <v>357.76044008074308</v>
      </c>
      <c r="BJ147" s="62">
        <f t="shared" si="146"/>
        <v>224.26555772810445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117.42224480150223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117.42224480150223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6.8212102632969618E-13</v>
      </c>
      <c r="BZ147" s="14">
        <f>BY147*VLOOKUP('Données projet'!$B$12,Paramètres!$A$1:$I$89,3,0)*VLOOKUP('Données projet'!$B$12,Paramètres!$A$1:$I$89,5,0)</f>
        <v>4.5756678446196019E-13</v>
      </c>
      <c r="CA147" s="14">
        <f t="shared" si="147"/>
        <v>5.7587689306883675E-12</v>
      </c>
      <c r="CB147" s="22">
        <f t="shared" si="118"/>
        <v>1.0826784703886818E-11</v>
      </c>
      <c r="CC147" s="62">
        <f t="shared" si="119"/>
        <v>293.33333333334411</v>
      </c>
      <c r="CD147" s="62">
        <f ca="1">AVERAGE(OFFSET($CC$3,0,0,'Données projet'!$E$12+1,1))-AVERAGE(OFFSET($H$3,0,0,'Données projet'!$E$12+1,1))</f>
        <v>222.86701323374945</v>
      </c>
      <c r="CE147" s="62">
        <f t="shared" si="148"/>
        <v>149.63671045240511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100.37708023354223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100.37708023354223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8.5265128291212022E-14</v>
      </c>
      <c r="CU147" s="18">
        <f>CT147*VLOOKUP('Données projet'!$B$13,Paramètres!$A$1:$I$89,3,0)*VLOOKUP('Données projet'!$B$13,Paramètres!$A$1:$I$89,5,0)</f>
        <v>5.5865712056402117E-14</v>
      </c>
      <c r="CV147" s="14">
        <f t="shared" si="149"/>
        <v>8.9811031843713517E-13</v>
      </c>
      <c r="CW147" s="22">
        <f t="shared" si="121"/>
        <v>1.6615082531095774E-12</v>
      </c>
      <c r="CX147" s="62">
        <f t="shared" si="122"/>
        <v>293.33333333333496</v>
      </c>
      <c r="CY147" s="62">
        <f ca="1">AVERAGE(OFFSET($CX$3,0,0,'Données projet'!$E$13+1,1))-AVERAGE(OFFSET($H$3,0,0,'Données projet'!$E$13+1,1))</f>
        <v>173.15672762188746</v>
      </c>
      <c r="CZ147" s="62">
        <f t="shared" si="150"/>
        <v>208.54841796921414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28.26805889526587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28.26805889526587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269.18638759204373</v>
      </c>
      <c r="EP147" s="62">
        <f t="shared" si="154"/>
        <v>197.07126167823969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56.834619960748512</v>
      </c>
      <c r="EW147" s="23">
        <f>EXP(-LN(2)/25)*EW146+(1-EXP(-LN(2)/25))/(LN(2)/25)*Calculateur!ER147*Calculateur!ET147*VLOOKUP('Données projet'!$B$15,Paramètres!$A$1:$I$89,3,0)*0.475*44/12</f>
        <v>5.3504748054488003</v>
      </c>
      <c r="EX147" s="23">
        <f>EXP(-LN(2)/2)*EX146+(1-EXP(-LN(2)/2))/(LN(2)/2)*ER147*EU147*VLOOKUP('Données projet'!$B$15,Paramètres!$A$1:$I$89,3,0)*0.475*44/12</f>
        <v>7.4088400822826994E-9</v>
      </c>
      <c r="EY147" s="24">
        <f t="shared" si="129"/>
        <v>62.185094773606153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1.1368683772161603E-13</v>
      </c>
      <c r="FF147" s="18">
        <f>FE147*VLOOKUP('Données projet'!$B$16,Paramètres!$A$1:$I$89,3,0)*VLOOKUP('Données projet'!$B$16,Paramètres!$A$1:$I$89,5,0)</f>
        <v>6.7984728957526396E-14</v>
      </c>
      <c r="FG147" s="14">
        <f t="shared" si="155"/>
        <v>1.0682447123141398E-12</v>
      </c>
      <c r="FH147" s="22">
        <f t="shared" si="130"/>
        <v>1.978932943548152E-12</v>
      </c>
      <c r="FI147" s="62">
        <f t="shared" si="131"/>
        <v>293.3333333333353</v>
      </c>
      <c r="FJ147" s="62">
        <f ca="1">AVERAGE(OFFSET($FI$3,0,0,'Données projet'!$E$16+1,1))-AVERAGE(OFFSET($H$3,0,0,'Données projet'!$E$16+1,1))</f>
        <v>330.48891719033065</v>
      </c>
      <c r="FK147" s="62">
        <f t="shared" si="156"/>
        <v>419.35494198427284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40.273847448227443</v>
      </c>
      <c r="FR147" s="23">
        <f>EXP(-LN(2)/25)*FR146+(1-EXP(-LN(2)/25))/(LN(2)/25)*Calculateur!FM147*Calculateur!FO147*VLOOKUP('Données projet'!$B$16,Paramètres!$A$1:$I$89,3,0)*0.475*44/12</f>
        <v>3.4993303878570514</v>
      </c>
      <c r="FS147" s="23">
        <f>EXP(-LN(2)/2)*FS146+(1-EXP(-LN(2)/2))/(LN(2)/2)*FM147*FP147*VLOOKUP('Données projet'!$B$16,Paramètres!$A$1:$I$89,3,0)*0.475*44/12</f>
        <v>1.9746569633894678E-12</v>
      </c>
      <c r="FT147" s="24">
        <f t="shared" si="132"/>
        <v>43.773177836086468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>
        <f>FZ147*VLOOKUP('Données projet'!$B$17,Paramètres!$A$1:$I$89,3,0)*VLOOKUP('Données projet'!$B$17,Paramètres!$A$1:$I$89,5,0)</f>
        <v>0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132.18258156780018</v>
      </c>
      <c r="GF147" s="62">
        <f t="shared" si="158"/>
        <v>315.58133946947294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4.5367497220120505</v>
      </c>
      <c r="GM147" s="23">
        <f>EXP(-LN(2)/25)*GM146+(1-EXP(-LN(2)/25))/(LN(2)/25)*Calculateur!GH147*Calculateur!GJ147*VLOOKUP('Données projet'!$B$17,Paramètres!$A$1:$I$89,3,0)*0.475*44/12</f>
        <v>0.78659667419356749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5.3233463962056184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9">
        <f t="shared" si="110"/>
        <v>540.00782753575277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8.3249999999999993</v>
      </c>
      <c r="N148" s="14">
        <f>IF('Données projet'!$A$36&gt;35,N147+M148-V147,IF(A148&lt;'Données projet'!$A$36,$K$205^A148,IF(A148='Données projet'!$A$36,'Données projet'!$B$36,N147+M148-V147)))</f>
        <v>415.54500000000058</v>
      </c>
      <c r="O148" s="14">
        <f>N148*VLOOKUP('Données projet'!$B$9,Paramètres!$A$1:$I$89,3,0)*VLOOKUP('Données projet'!$B$9,Paramètres!$A$1:$I$89,5,0)</f>
        <v>375.98511600000052</v>
      </c>
      <c r="P148" s="14">
        <f t="shared" si="141"/>
        <v>86.890611547517153</v>
      </c>
      <c r="Q148" s="22">
        <f t="shared" si="108"/>
        <v>806.17522547859323</v>
      </c>
      <c r="R148" s="62">
        <f t="shared" si="109"/>
        <v>1099.5085588119266</v>
      </c>
      <c r="S148" s="62">
        <f ca="1">AVERAGE(OFFSET($R$3,0,0,'Données projet'!$E$9+1,1))-AVERAGE(OFFSET($H$3,0,0,'Données projet'!$E$9+1,1))</f>
        <v>401.86262166363821</v>
      </c>
      <c r="T148" s="62">
        <f t="shared" si="142"/>
        <v>208.60314230781432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66.83911746093078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66.83911746093078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6.8212102632969618E-13</v>
      </c>
      <c r="AJ148" s="14">
        <f>AI148*VLOOKUP('Données projet'!$B$10,Paramètres!$A$1:$I$89,3,0)*VLOOKUP('Données projet'!$B$10,Paramètres!$A$1:$I$89,5,0)</f>
        <v>7.3423507274128498E-13</v>
      </c>
      <c r="AK148" s="14">
        <f t="shared" si="143"/>
        <v>8.7458894232577541E-12</v>
      </c>
      <c r="AL148" s="22">
        <f t="shared" si="112"/>
        <v>1.6511216830531657E-11</v>
      </c>
      <c r="AM148" s="62">
        <f t="shared" si="113"/>
        <v>293.3333333333498</v>
      </c>
      <c r="AN148" s="62">
        <f ca="1">AVERAGE(OFFSET($AM$3,0,0,'Données projet'!$E$10+1,1))-AVERAGE(OFFSET($H$3,0,0,'Données projet'!$E$10+1,1))</f>
        <v>407.22515465568205</v>
      </c>
      <c r="AO148" s="62">
        <f t="shared" si="144"/>
        <v>251.6218558398258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128.11704786934686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128.11704786934686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6.8212102632969618E-13</v>
      </c>
      <c r="BE148" s="14">
        <f>BD148*VLOOKUP('Données projet'!$B$11,Paramètres!$A$1:$I$89,3,0)*VLOOKUP('Données projet'!$B$11,Paramètres!$A$1:$I$89,5,0)</f>
        <v>6.5974745666608208E-13</v>
      </c>
      <c r="BF148" s="14">
        <f t="shared" si="145"/>
        <v>7.9570891233345703E-12</v>
      </c>
      <c r="BG148" s="22">
        <f t="shared" si="115"/>
        <v>1.5007657043501137E-11</v>
      </c>
      <c r="BH148" s="62">
        <f t="shared" si="116"/>
        <v>293.33333333334832</v>
      </c>
      <c r="BI148" s="62">
        <f ca="1">AVERAGE(OFFSET($BH$3,0,0,'Données projet'!$E$11+1,1))-AVERAGE(OFFSET($H$3,0,0,'Données projet'!$E$11+1,1))</f>
        <v>357.76044008074308</v>
      </c>
      <c r="BJ148" s="62">
        <f t="shared" si="146"/>
        <v>224.26555772810445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115.11966620144216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115.11966620144216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6.8212102632969618E-13</v>
      </c>
      <c r="BZ148" s="14">
        <f>BY148*VLOOKUP('Données projet'!$B$12,Paramètres!$A$1:$I$89,3,0)*VLOOKUP('Données projet'!$B$12,Paramètres!$A$1:$I$89,5,0)</f>
        <v>4.5756678446196019E-13</v>
      </c>
      <c r="CA148" s="14">
        <f t="shared" si="147"/>
        <v>5.7587689306883675E-12</v>
      </c>
      <c r="CB148" s="22">
        <f t="shared" si="118"/>
        <v>1.0826784703886818E-11</v>
      </c>
      <c r="CC148" s="62">
        <f t="shared" si="119"/>
        <v>293.33333333334411</v>
      </c>
      <c r="CD148" s="62">
        <f ca="1">AVERAGE(OFFSET($CC$3,0,0,'Données projet'!$E$12+1,1))-AVERAGE(OFFSET($H$3,0,0,'Données projet'!$E$12+1,1))</f>
        <v>222.86701323374945</v>
      </c>
      <c r="CE148" s="62">
        <f t="shared" si="148"/>
        <v>149.63671045240511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98.408746914136046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98.408746914136046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8.5265128291212022E-14</v>
      </c>
      <c r="CU148" s="18">
        <f>CT148*VLOOKUP('Données projet'!$B$13,Paramètres!$A$1:$I$89,3,0)*VLOOKUP('Données projet'!$B$13,Paramètres!$A$1:$I$89,5,0)</f>
        <v>5.5865712056402117E-14</v>
      </c>
      <c r="CV148" s="14">
        <f t="shared" si="149"/>
        <v>8.9811031843713517E-13</v>
      </c>
      <c r="CW148" s="22">
        <f t="shared" si="121"/>
        <v>1.6615082531095774E-12</v>
      </c>
      <c r="CX148" s="62">
        <f t="shared" si="122"/>
        <v>293.33333333333496</v>
      </c>
      <c r="CY148" s="62">
        <f ca="1">AVERAGE(OFFSET($CX$3,0,0,'Données projet'!$E$13+1,1))-AVERAGE(OFFSET($H$3,0,0,'Données projet'!$E$13+1,1))</f>
        <v>173.15672762188746</v>
      </c>
      <c r="CZ148" s="62">
        <f t="shared" si="150"/>
        <v>208.54841796921414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27.713739502143145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27.713739502143145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269.18638759204373</v>
      </c>
      <c r="EP148" s="62">
        <f t="shared" si="154"/>
        <v>197.07126167823969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55.720127729013456</v>
      </c>
      <c r="EW148" s="23">
        <f>EXP(-LN(2)/25)*EW147+(1-EXP(-LN(2)/25))/(LN(2)/25)*Calculateur!ER148*Calculateur!ET148*VLOOKUP('Données projet'!$B$15,Paramètres!$A$1:$I$89,3,0)*0.475*44/12</f>
        <v>5.2041657905245611</v>
      </c>
      <c r="EX148" s="23">
        <f>EXP(-LN(2)/2)*EX147+(1-EXP(-LN(2)/2))/(LN(2)/2)*ER148*EU148*VLOOKUP('Données projet'!$B$15,Paramètres!$A$1:$I$89,3,0)*0.475*44/12</f>
        <v>5.2388410629087958E-9</v>
      </c>
      <c r="EY148" s="24">
        <f t="shared" si="129"/>
        <v>60.924293524776857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1.1368683772161603E-13</v>
      </c>
      <c r="FF148" s="18">
        <f>FE148*VLOOKUP('Données projet'!$B$16,Paramètres!$A$1:$I$89,3,0)*VLOOKUP('Données projet'!$B$16,Paramètres!$A$1:$I$89,5,0)</f>
        <v>6.7984728957526396E-14</v>
      </c>
      <c r="FG148" s="14">
        <f t="shared" si="155"/>
        <v>1.0682447123141398E-12</v>
      </c>
      <c r="FH148" s="22">
        <f t="shared" si="130"/>
        <v>1.978932943548152E-12</v>
      </c>
      <c r="FI148" s="62">
        <f t="shared" si="131"/>
        <v>293.3333333333353</v>
      </c>
      <c r="FJ148" s="62">
        <f ca="1">AVERAGE(OFFSET($FI$3,0,0,'Données projet'!$E$16+1,1))-AVERAGE(OFFSET($H$3,0,0,'Données projet'!$E$16+1,1))</f>
        <v>330.48891719033065</v>
      </c>
      <c r="FK148" s="62">
        <f t="shared" si="156"/>
        <v>419.35494198427284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39.484101864389089</v>
      </c>
      <c r="FR148" s="23">
        <f>EXP(-LN(2)/25)*FR147+(1-EXP(-LN(2)/25))/(LN(2)/25)*Calculateur!FM148*Calculateur!FO148*VLOOKUP('Données projet'!$B$16,Paramètres!$A$1:$I$89,3,0)*0.475*44/12</f>
        <v>3.4036410143793132</v>
      </c>
      <c r="FS148" s="23">
        <f>EXP(-LN(2)/2)*FS147+(1-EXP(-LN(2)/2))/(LN(2)/2)*FM148*FP148*VLOOKUP('Données projet'!$B$16,Paramètres!$A$1:$I$89,3,0)*0.475*44/12</f>
        <v>1.3962933293299288E-12</v>
      </c>
      <c r="FT148" s="24">
        <f t="shared" si="132"/>
        <v>42.887742878769799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>
        <f>FZ148*VLOOKUP('Données projet'!$B$17,Paramètres!$A$1:$I$89,3,0)*VLOOKUP('Données projet'!$B$17,Paramètres!$A$1:$I$89,5,0)</f>
        <v>0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132.18258156780018</v>
      </c>
      <c r="GF148" s="62">
        <f t="shared" si="158"/>
        <v>315.58133946947294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4.4477868271074916</v>
      </c>
      <c r="GM148" s="23">
        <f>EXP(-LN(2)/25)*GM147+(1-EXP(-LN(2)/25))/(LN(2)/25)*Calculateur!GH148*Calculateur!GJ148*VLOOKUP('Données projet'!$B$17,Paramètres!$A$1:$I$89,3,0)*0.475*44/12</f>
        <v>0.76508714677242307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5.2128739738799146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9">
        <f t="shared" si="110"/>
        <v>541.91457405738606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8.3249999999999993</v>
      </c>
      <c r="N149" s="14">
        <f>IF('Données projet'!$A$36&gt;35,N148+M149-V148,IF(A149&lt;'Données projet'!$A$36,$K$205^A149,IF(A149='Données projet'!$A$36,'Données projet'!$B$36,N148+M149-V148)))</f>
        <v>423.87000000000057</v>
      </c>
      <c r="O149" s="14">
        <f>N149*VLOOKUP('Données projet'!$B$9,Paramètres!$A$1:$I$89,3,0)*VLOOKUP('Données projet'!$B$9,Paramètres!$A$1:$I$89,5,0)</f>
        <v>383.51757600000053</v>
      </c>
      <c r="P149" s="14">
        <f t="shared" si="141"/>
        <v>88.426967368766455</v>
      </c>
      <c r="Q149" s="22">
        <f t="shared" si="108"/>
        <v>821.97007970060247</v>
      </c>
      <c r="R149" s="62">
        <f t="shared" si="109"/>
        <v>1115.3034130339358</v>
      </c>
      <c r="S149" s="62">
        <f ca="1">AVERAGE(OFFSET($R$3,0,0,'Données projet'!$E$9+1,1))-AVERAGE(OFFSET($H$3,0,0,'Données projet'!$E$9+1,1))</f>
        <v>401.86262166363821</v>
      </c>
      <c r="T149" s="62">
        <f t="shared" si="142"/>
        <v>208.60314230781432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65.528443135358089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65.528443135358089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6.8212102632969618E-13</v>
      </c>
      <c r="AJ149" s="14">
        <f>AI149*VLOOKUP('Données projet'!$B$10,Paramètres!$A$1:$I$89,3,0)*VLOOKUP('Données projet'!$B$10,Paramètres!$A$1:$I$89,5,0)</f>
        <v>7.3423507274128498E-13</v>
      </c>
      <c r="AK149" s="14">
        <f t="shared" si="143"/>
        <v>8.7458894232577541E-12</v>
      </c>
      <c r="AL149" s="22">
        <f t="shared" si="112"/>
        <v>1.6511216830531657E-11</v>
      </c>
      <c r="AM149" s="62">
        <f t="shared" si="113"/>
        <v>293.3333333333498</v>
      </c>
      <c r="AN149" s="62">
        <f ca="1">AVERAGE(OFFSET($AM$3,0,0,'Données projet'!$E$10+1,1))-AVERAGE(OFFSET($H$3,0,0,'Données projet'!$E$10+1,1))</f>
        <v>407.22515465568205</v>
      </c>
      <c r="AO149" s="62">
        <f t="shared" si="144"/>
        <v>251.6218558398258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125.60475070431212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125.60475070431212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6.8212102632969618E-13</v>
      </c>
      <c r="BE149" s="14">
        <f>BD149*VLOOKUP('Données projet'!$B$11,Paramètres!$A$1:$I$89,3,0)*VLOOKUP('Données projet'!$B$11,Paramètres!$A$1:$I$89,5,0)</f>
        <v>6.5974745666608208E-13</v>
      </c>
      <c r="BF149" s="14">
        <f t="shared" si="145"/>
        <v>7.9570891233345703E-12</v>
      </c>
      <c r="BG149" s="22">
        <f t="shared" si="115"/>
        <v>1.5007657043501137E-11</v>
      </c>
      <c r="BH149" s="62">
        <f t="shared" si="116"/>
        <v>293.33333333334832</v>
      </c>
      <c r="BI149" s="62">
        <f ca="1">AVERAGE(OFFSET($BH$3,0,0,'Données projet'!$E$11+1,1))-AVERAGE(OFFSET($H$3,0,0,'Données projet'!$E$11+1,1))</f>
        <v>357.76044008074308</v>
      </c>
      <c r="BJ149" s="62">
        <f t="shared" si="146"/>
        <v>224.26555772810445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112.86223976329499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112.86223976329499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6.8212102632969618E-13</v>
      </c>
      <c r="BZ149" s="14">
        <f>BY149*VLOOKUP('Données projet'!$B$12,Paramètres!$A$1:$I$89,3,0)*VLOOKUP('Données projet'!$B$12,Paramètres!$A$1:$I$89,5,0)</f>
        <v>4.5756678446196019E-13</v>
      </c>
      <c r="CA149" s="14">
        <f t="shared" si="147"/>
        <v>5.7587689306883675E-12</v>
      </c>
      <c r="CB149" s="22">
        <f t="shared" si="118"/>
        <v>1.0826784703886818E-11</v>
      </c>
      <c r="CC149" s="62">
        <f t="shared" si="119"/>
        <v>293.33333333334411</v>
      </c>
      <c r="CD149" s="62">
        <f ca="1">AVERAGE(OFFSET($CC$3,0,0,'Données projet'!$E$12+1,1))-AVERAGE(OFFSET($H$3,0,0,'Données projet'!$E$12+1,1))</f>
        <v>222.86701323374945</v>
      </c>
      <c r="CE149" s="62">
        <f t="shared" si="148"/>
        <v>149.63671045240511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96.479011410558641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96.479011410558641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8.5265128291212022E-14</v>
      </c>
      <c r="CU149" s="18">
        <f>CT149*VLOOKUP('Données projet'!$B$13,Paramètres!$A$1:$I$89,3,0)*VLOOKUP('Données projet'!$B$13,Paramètres!$A$1:$I$89,5,0)</f>
        <v>5.5865712056402117E-14</v>
      </c>
      <c r="CV149" s="14">
        <f t="shared" si="149"/>
        <v>8.9811031843713517E-13</v>
      </c>
      <c r="CW149" s="22">
        <f t="shared" si="121"/>
        <v>1.6615082531095774E-12</v>
      </c>
      <c r="CX149" s="62">
        <f t="shared" si="122"/>
        <v>293.33333333333496</v>
      </c>
      <c r="CY149" s="62">
        <f ca="1">AVERAGE(OFFSET($CX$3,0,0,'Données projet'!$E$13+1,1))-AVERAGE(OFFSET($H$3,0,0,'Données projet'!$E$13+1,1))</f>
        <v>173.15672762188746</v>
      </c>
      <c r="CZ149" s="62">
        <f t="shared" si="150"/>
        <v>208.54841796921414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27.170289974218111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27.170289974218111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269.18638759204373</v>
      </c>
      <c r="EP149" s="62">
        <f t="shared" si="154"/>
        <v>197.07126167823969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54.627490010169588</v>
      </c>
      <c r="EW149" s="23">
        <f>EXP(-LN(2)/25)*EW148+(1-EXP(-LN(2)/25))/(LN(2)/25)*Calculateur!ER149*Calculateur!ET149*VLOOKUP('Données projet'!$B$15,Paramètres!$A$1:$I$89,3,0)*0.475*44/12</f>
        <v>5.061857603307482</v>
      </c>
      <c r="EX149" s="23">
        <f>EXP(-LN(2)/2)*EX148+(1-EXP(-LN(2)/2))/(LN(2)/2)*ER149*EU149*VLOOKUP('Données projet'!$B$15,Paramètres!$A$1:$I$89,3,0)*0.475*44/12</f>
        <v>3.7044200411413501E-9</v>
      </c>
      <c r="EY149" s="24">
        <f t="shared" si="129"/>
        <v>59.68934761718149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1.1368683772161603E-13</v>
      </c>
      <c r="FF149" s="18">
        <f>FE149*VLOOKUP('Données projet'!$B$16,Paramètres!$A$1:$I$89,3,0)*VLOOKUP('Données projet'!$B$16,Paramètres!$A$1:$I$89,5,0)</f>
        <v>6.7984728957526396E-14</v>
      </c>
      <c r="FG149" s="14">
        <f t="shared" si="155"/>
        <v>1.0682447123141398E-12</v>
      </c>
      <c r="FH149" s="22">
        <f t="shared" si="130"/>
        <v>1.978932943548152E-12</v>
      </c>
      <c r="FI149" s="62">
        <f t="shared" si="131"/>
        <v>293.3333333333353</v>
      </c>
      <c r="FJ149" s="62">
        <f ca="1">AVERAGE(OFFSET($FI$3,0,0,'Données projet'!$E$16+1,1))-AVERAGE(OFFSET($H$3,0,0,'Données projet'!$E$16+1,1))</f>
        <v>330.48891719033065</v>
      </c>
      <c r="FK149" s="62">
        <f t="shared" si="156"/>
        <v>419.35494198427284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38.709842709752564</v>
      </c>
      <c r="FR149" s="23">
        <f>EXP(-LN(2)/25)*FR148+(1-EXP(-LN(2)/25))/(LN(2)/25)*Calculateur!FM149*Calculateur!FO149*VLOOKUP('Données projet'!$B$16,Paramètres!$A$1:$I$89,3,0)*0.475*44/12</f>
        <v>3.3105682718514089</v>
      </c>
      <c r="FS149" s="23">
        <f>EXP(-LN(2)/2)*FS148+(1-EXP(-LN(2)/2))/(LN(2)/2)*FM149*FP149*VLOOKUP('Données projet'!$B$16,Paramètres!$A$1:$I$89,3,0)*0.475*44/12</f>
        <v>9.8732848169473391E-13</v>
      </c>
      <c r="FT149" s="24">
        <f t="shared" si="132"/>
        <v>42.020410981604961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>
        <f>FZ149*VLOOKUP('Données projet'!$B$17,Paramètres!$A$1:$I$89,3,0)*VLOOKUP('Données projet'!$B$17,Paramètres!$A$1:$I$89,5,0)</f>
        <v>0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132.18258156780018</v>
      </c>
      <c r="GF149" s="62">
        <f t="shared" si="158"/>
        <v>315.58133946947294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4.3605684403100033</v>
      </c>
      <c r="GM149" s="23">
        <f>EXP(-LN(2)/25)*GM148+(1-EXP(-LN(2)/25))/(LN(2)/25)*Calculateur!GH149*Calculateur!GJ149*VLOOKUP('Données projet'!$B$17,Paramètres!$A$1:$I$89,3,0)*0.475*44/12</f>
        <v>0.74416579850974673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5.1047342388197503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9">
        <f t="shared" si="110"/>
        <v>543.82103522618308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8.3249999999999993</v>
      </c>
      <c r="N150" s="14">
        <f>IF('Données projet'!$A$36&gt;35,N149+M150-V149,IF(A150&lt;'Données projet'!$A$36,$K$205^A150,IF(A150='Données projet'!$A$36,'Données projet'!$B$36,N149+M150-V149)))</f>
        <v>432.19500000000056</v>
      </c>
      <c r="O150" s="14">
        <f>N150*VLOOKUP('Données projet'!$B$9,Paramètres!$A$1:$I$89,3,0)*VLOOKUP('Données projet'!$B$9,Paramètres!$A$1:$I$89,5,0)</f>
        <v>391.05003600000049</v>
      </c>
      <c r="P150" s="14">
        <f t="shared" si="141"/>
        <v>89.959814624965674</v>
      </c>
      <c r="Q150" s="22">
        <f t="shared" si="108"/>
        <v>837.75882317181595</v>
      </c>
      <c r="R150" s="62">
        <f t="shared" si="109"/>
        <v>1131.0921565051492</v>
      </c>
      <c r="S150" s="62">
        <f ca="1">AVERAGE(OFFSET($R$3,0,0,'Données projet'!$E$9+1,1))-AVERAGE(OFFSET($H$3,0,0,'Données projet'!$E$9+1,1))</f>
        <v>401.86262166363821</v>
      </c>
      <c r="T150" s="62">
        <f t="shared" si="142"/>
        <v>208.60314230781432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64.243470333877482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64.243470333877482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6.8212102632969618E-13</v>
      </c>
      <c r="AJ150" s="14">
        <f>AI150*VLOOKUP('Données projet'!$B$10,Paramètres!$A$1:$I$89,3,0)*VLOOKUP('Données projet'!$B$10,Paramètres!$A$1:$I$89,5,0)</f>
        <v>7.3423507274128498E-13</v>
      </c>
      <c r="AK150" s="14">
        <f t="shared" si="143"/>
        <v>8.7458894232577541E-12</v>
      </c>
      <c r="AL150" s="22">
        <f t="shared" si="112"/>
        <v>1.6511216830531657E-11</v>
      </c>
      <c r="AM150" s="62">
        <f t="shared" si="113"/>
        <v>293.3333333333498</v>
      </c>
      <c r="AN150" s="62">
        <f ca="1">AVERAGE(OFFSET($AM$3,0,0,'Données projet'!$E$10+1,1))-AVERAGE(OFFSET($H$3,0,0,'Données projet'!$E$10+1,1))</f>
        <v>407.22515465568205</v>
      </c>
      <c r="AO150" s="62">
        <f t="shared" si="144"/>
        <v>251.6218558398258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123.14171815433376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123.14171815433376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6.8212102632969618E-13</v>
      </c>
      <c r="BE150" s="14">
        <f>BD150*VLOOKUP('Données projet'!$B$11,Paramètres!$A$1:$I$89,3,0)*VLOOKUP('Données projet'!$B$11,Paramètres!$A$1:$I$89,5,0)</f>
        <v>6.5974745666608208E-13</v>
      </c>
      <c r="BF150" s="14">
        <f t="shared" si="145"/>
        <v>7.9570891233345703E-12</v>
      </c>
      <c r="BG150" s="22">
        <f t="shared" si="115"/>
        <v>1.5007657043501137E-11</v>
      </c>
      <c r="BH150" s="62">
        <f t="shared" si="116"/>
        <v>293.33333333334832</v>
      </c>
      <c r="BI150" s="62">
        <f ca="1">AVERAGE(OFFSET($BH$3,0,0,'Données projet'!$E$11+1,1))-AVERAGE(OFFSET($H$3,0,0,'Données projet'!$E$11+1,1))</f>
        <v>357.76044008074308</v>
      </c>
      <c r="BJ150" s="62">
        <f t="shared" si="146"/>
        <v>224.26555772810445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110.64908008070573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110.64908008070573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6.8212102632969618E-13</v>
      </c>
      <c r="BZ150" s="14">
        <f>BY150*VLOOKUP('Données projet'!$B$12,Paramètres!$A$1:$I$89,3,0)*VLOOKUP('Données projet'!$B$12,Paramètres!$A$1:$I$89,5,0)</f>
        <v>4.5756678446196019E-13</v>
      </c>
      <c r="CA150" s="14">
        <f t="shared" si="147"/>
        <v>5.7587689306883675E-12</v>
      </c>
      <c r="CB150" s="22">
        <f t="shared" si="118"/>
        <v>1.0826784703886818E-11</v>
      </c>
      <c r="CC150" s="62">
        <f t="shared" si="119"/>
        <v>293.33333333334411</v>
      </c>
      <c r="CD150" s="62">
        <f ca="1">AVERAGE(OFFSET($CC$3,0,0,'Données projet'!$E$12+1,1))-AVERAGE(OFFSET($H$3,0,0,'Données projet'!$E$12+1,1))</f>
        <v>222.86701323374945</v>
      </c>
      <c r="CE150" s="62">
        <f t="shared" si="148"/>
        <v>149.63671045240511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94.587116843183949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94.587116843183949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8.5265128291212022E-14</v>
      </c>
      <c r="CU150" s="18">
        <f>CT150*VLOOKUP('Données projet'!$B$13,Paramètres!$A$1:$I$89,3,0)*VLOOKUP('Données projet'!$B$13,Paramètres!$A$1:$I$89,5,0)</f>
        <v>5.5865712056402117E-14</v>
      </c>
      <c r="CV150" s="14">
        <f t="shared" si="149"/>
        <v>8.9811031843713517E-13</v>
      </c>
      <c r="CW150" s="22">
        <f t="shared" si="121"/>
        <v>1.6615082531095774E-12</v>
      </c>
      <c r="CX150" s="62">
        <f t="shared" si="122"/>
        <v>293.33333333333496</v>
      </c>
      <c r="CY150" s="62">
        <f ca="1">AVERAGE(OFFSET($CX$3,0,0,'Données projet'!$E$13+1,1))-AVERAGE(OFFSET($H$3,0,0,'Données projet'!$E$13+1,1))</f>
        <v>173.15672762188746</v>
      </c>
      <c r="CZ150" s="62">
        <f t="shared" si="150"/>
        <v>208.54841796921414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26.637497160064207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26.637497160064207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269.18638759204373</v>
      </c>
      <c r="EP150" s="62">
        <f t="shared" si="154"/>
        <v>197.07126167823969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53.556278250549042</v>
      </c>
      <c r="EW150" s="23">
        <f>EXP(-LN(2)/25)*EW149+(1-EXP(-LN(2)/25))/(LN(2)/25)*Calculateur!ER150*Calculateur!ET150*VLOOKUP('Données projet'!$B$15,Paramètres!$A$1:$I$89,3,0)*0.475*44/12</f>
        <v>4.9234408409535169</v>
      </c>
      <c r="EX150" s="23">
        <f>EXP(-LN(2)/2)*EX149+(1-EXP(-LN(2)/2))/(LN(2)/2)*ER150*EU150*VLOOKUP('Données projet'!$B$15,Paramètres!$A$1:$I$89,3,0)*0.475*44/12</f>
        <v>2.6194205314543983E-9</v>
      </c>
      <c r="EY150" s="24">
        <f t="shared" si="129"/>
        <v>58.479719094121982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1.1368683772161603E-13</v>
      </c>
      <c r="FF150" s="18">
        <f>FE150*VLOOKUP('Données projet'!$B$16,Paramètres!$A$1:$I$89,3,0)*VLOOKUP('Données projet'!$B$16,Paramètres!$A$1:$I$89,5,0)</f>
        <v>6.7984728957526396E-14</v>
      </c>
      <c r="FG150" s="14">
        <f t="shared" si="155"/>
        <v>1.0682447123141398E-12</v>
      </c>
      <c r="FH150" s="22">
        <f t="shared" si="130"/>
        <v>1.978932943548152E-12</v>
      </c>
      <c r="FI150" s="62">
        <f t="shared" si="131"/>
        <v>293.3333333333353</v>
      </c>
      <c r="FJ150" s="62">
        <f ca="1">AVERAGE(OFFSET($FI$3,0,0,'Données projet'!$E$16+1,1))-AVERAGE(OFFSET($H$3,0,0,'Données projet'!$E$16+1,1))</f>
        <v>330.48891719033065</v>
      </c>
      <c r="FK150" s="62">
        <f t="shared" si="156"/>
        <v>419.35494198427284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37.950766304887011</v>
      </c>
      <c r="FR150" s="23">
        <f>EXP(-LN(2)/25)*FR149+(1-EXP(-LN(2)/25))/(LN(2)/25)*Calculateur!FM150*Calculateur!FO150*VLOOKUP('Données projet'!$B$16,Paramètres!$A$1:$I$89,3,0)*0.475*44/12</f>
        <v>3.2200406083624129</v>
      </c>
      <c r="FS150" s="23">
        <f>EXP(-LN(2)/2)*FS149+(1-EXP(-LN(2)/2))/(LN(2)/2)*FM150*FP150*VLOOKUP('Données projet'!$B$16,Paramètres!$A$1:$I$89,3,0)*0.475*44/12</f>
        <v>6.9814666466496441E-13</v>
      </c>
      <c r="FT150" s="24">
        <f t="shared" si="132"/>
        <v>41.170806913250118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>
        <f>FZ150*VLOOKUP('Données projet'!$B$17,Paramètres!$A$1:$I$89,3,0)*VLOOKUP('Données projet'!$B$17,Paramètres!$A$1:$I$89,5,0)</f>
        <v>0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132.18258156780018</v>
      </c>
      <c r="GF150" s="62">
        <f t="shared" si="158"/>
        <v>315.58133946947294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4.2750603528796507</v>
      </c>
      <c r="GM150" s="23">
        <f>EXP(-LN(2)/25)*GM149+(1-EXP(-LN(2)/25))/(LN(2)/25)*Calculateur!GH150*Calculateur!GJ150*VLOOKUP('Données projet'!$B$17,Paramètres!$A$1:$I$89,3,0)*0.475*44/12</f>
        <v>0.72381654561551922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4.9988768984951699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9">
        <f t="shared" si="110"/>
        <v>545.72721320844835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8.3249999999999993</v>
      </c>
      <c r="N151" s="14">
        <f>IF('Données projet'!$A$36&gt;35,N150+M151-V150,IF(A151&lt;'Données projet'!$A$36,$K$205^A151,IF(A151='Données projet'!$A$36,'Données projet'!$B$36,N150+M151-V150)))</f>
        <v>440.52000000000055</v>
      </c>
      <c r="O151" s="14">
        <f>N151*VLOOKUP('Données projet'!$B$9,Paramètres!$A$1:$I$89,3,0)*VLOOKUP('Données projet'!$B$9,Paramètres!$A$1:$I$89,5,0)</f>
        <v>398.5824960000005</v>
      </c>
      <c r="P151" s="14">
        <f t="shared" si="141"/>
        <v>91.489228690064536</v>
      </c>
      <c r="Q151" s="22">
        <f t="shared" si="108"/>
        <v>853.54158716852999</v>
      </c>
      <c r="R151" s="62">
        <f t="shared" si="109"/>
        <v>1146.8749205018632</v>
      </c>
      <c r="S151" s="62">
        <f ca="1">AVERAGE(OFFSET($R$3,0,0,'Données projet'!$E$9+1,1))-AVERAGE(OFFSET($H$3,0,0,'Données projet'!$E$9+1,1))</f>
        <v>401.86262166363821</v>
      </c>
      <c r="T151" s="62">
        <f t="shared" si="142"/>
        <v>208.60314230781432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62.983695065277885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62.983695065277885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6.8212102632969618E-13</v>
      </c>
      <c r="AJ151" s="14">
        <f>AI151*VLOOKUP('Données projet'!$B$10,Paramètres!$A$1:$I$89,3,0)*VLOOKUP('Données projet'!$B$10,Paramètres!$A$1:$I$89,5,0)</f>
        <v>7.3423507274128498E-13</v>
      </c>
      <c r="AK151" s="14">
        <f t="shared" si="143"/>
        <v>8.7458894232577541E-12</v>
      </c>
      <c r="AL151" s="22">
        <f t="shared" si="112"/>
        <v>1.6511216830531657E-11</v>
      </c>
      <c r="AM151" s="62">
        <f t="shared" si="113"/>
        <v>293.3333333333498</v>
      </c>
      <c r="AN151" s="62">
        <f ca="1">AVERAGE(OFFSET($AM$3,0,0,'Données projet'!$E$10+1,1))-AVERAGE(OFFSET($H$3,0,0,'Données projet'!$E$10+1,1))</f>
        <v>407.22515465568205</v>
      </c>
      <c r="AO151" s="62">
        <f t="shared" si="144"/>
        <v>251.6218558398258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120.72698417035895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120.72698417035895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6.8212102632969618E-13</v>
      </c>
      <c r="BE151" s="14">
        <f>BD151*VLOOKUP('Données projet'!$B$11,Paramètres!$A$1:$I$89,3,0)*VLOOKUP('Données projet'!$B$11,Paramètres!$A$1:$I$89,5,0)</f>
        <v>6.5974745666608208E-13</v>
      </c>
      <c r="BF151" s="14">
        <f t="shared" si="145"/>
        <v>7.9570891233345703E-12</v>
      </c>
      <c r="BG151" s="22">
        <f t="shared" si="115"/>
        <v>1.5007657043501137E-11</v>
      </c>
      <c r="BH151" s="62">
        <f t="shared" si="116"/>
        <v>293.33333333334832</v>
      </c>
      <c r="BI151" s="62">
        <f ca="1">AVERAGE(OFFSET($BH$3,0,0,'Données projet'!$E$11+1,1))-AVERAGE(OFFSET($H$3,0,0,'Données projet'!$E$11+1,1))</f>
        <v>357.76044008074308</v>
      </c>
      <c r="BJ151" s="62">
        <f t="shared" si="146"/>
        <v>224.26555772810445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108.47931910959792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108.47931910959792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6.8212102632969618E-13</v>
      </c>
      <c r="BZ151" s="14">
        <f>BY151*VLOOKUP('Données projet'!$B$12,Paramètres!$A$1:$I$89,3,0)*VLOOKUP('Données projet'!$B$12,Paramètres!$A$1:$I$89,5,0)</f>
        <v>4.5756678446196019E-13</v>
      </c>
      <c r="CA151" s="14">
        <f t="shared" si="147"/>
        <v>5.7587689306883675E-12</v>
      </c>
      <c r="CB151" s="22">
        <f t="shared" si="118"/>
        <v>1.0826784703886818E-11</v>
      </c>
      <c r="CC151" s="62">
        <f t="shared" si="119"/>
        <v>293.33333333334411</v>
      </c>
      <c r="CD151" s="62">
        <f ca="1">AVERAGE(OFFSET($CC$3,0,0,'Données projet'!$E$12+1,1))-AVERAGE(OFFSET($H$3,0,0,'Données projet'!$E$12+1,1))</f>
        <v>222.86701323374945</v>
      </c>
      <c r="CE151" s="62">
        <f t="shared" si="148"/>
        <v>149.63671045240511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92.732321174333734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92.732321174333734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8.5265128291212022E-14</v>
      </c>
      <c r="CU151" s="18">
        <f>CT151*VLOOKUP('Données projet'!$B$13,Paramètres!$A$1:$I$89,3,0)*VLOOKUP('Données projet'!$B$13,Paramètres!$A$1:$I$89,5,0)</f>
        <v>5.5865712056402117E-14</v>
      </c>
      <c r="CV151" s="14">
        <f t="shared" si="149"/>
        <v>8.9811031843713517E-13</v>
      </c>
      <c r="CW151" s="22">
        <f t="shared" si="121"/>
        <v>1.6615082531095774E-12</v>
      </c>
      <c r="CX151" s="62">
        <f t="shared" si="122"/>
        <v>293.33333333333496</v>
      </c>
      <c r="CY151" s="62">
        <f ca="1">AVERAGE(OFFSET($CX$3,0,0,'Données projet'!$E$13+1,1))-AVERAGE(OFFSET($H$3,0,0,'Données projet'!$E$13+1,1))</f>
        <v>173.15672762188746</v>
      </c>
      <c r="CZ151" s="62">
        <f t="shared" si="150"/>
        <v>208.54841796921414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26.115152088024331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26.115152088024331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269.18638759204373</v>
      </c>
      <c r="EP151" s="62">
        <f t="shared" si="154"/>
        <v>197.07126167823969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52.50607230016</v>
      </c>
      <c r="EW151" s="23">
        <f>EXP(-LN(2)/25)*EW150+(1-EXP(-LN(2)/25))/(LN(2)/25)*Calculateur!ER151*Calculateur!ET151*VLOOKUP('Données projet'!$B$15,Paramètres!$A$1:$I$89,3,0)*0.475*44/12</f>
        <v>4.7888090922451418</v>
      </c>
      <c r="EX151" s="23">
        <f>EXP(-LN(2)/2)*EX150+(1-EXP(-LN(2)/2))/(LN(2)/2)*ER151*EU151*VLOOKUP('Données projet'!$B$15,Paramètres!$A$1:$I$89,3,0)*0.475*44/12</f>
        <v>1.8522100205706755E-9</v>
      </c>
      <c r="EY151" s="24">
        <f t="shared" si="129"/>
        <v>57.294881394257352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1.1368683772161603E-13</v>
      </c>
      <c r="FF151" s="18">
        <f>FE151*VLOOKUP('Données projet'!$B$16,Paramètres!$A$1:$I$89,3,0)*VLOOKUP('Données projet'!$B$16,Paramètres!$A$1:$I$89,5,0)</f>
        <v>6.7984728957526396E-14</v>
      </c>
      <c r="FG151" s="14">
        <f t="shared" si="155"/>
        <v>1.0682447123141398E-12</v>
      </c>
      <c r="FH151" s="22">
        <f t="shared" si="130"/>
        <v>1.978932943548152E-12</v>
      </c>
      <c r="FI151" s="62">
        <f t="shared" si="131"/>
        <v>293.3333333333353</v>
      </c>
      <c r="FJ151" s="62">
        <f ca="1">AVERAGE(OFFSET($FI$3,0,0,'Données projet'!$E$16+1,1))-AVERAGE(OFFSET($H$3,0,0,'Données projet'!$E$16+1,1))</f>
        <v>330.48891719033065</v>
      </c>
      <c r="FK151" s="62">
        <f t="shared" si="156"/>
        <v>419.35494198427284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37.206574925329981</v>
      </c>
      <c r="FR151" s="23">
        <f>EXP(-LN(2)/25)*FR150+(1-EXP(-LN(2)/25))/(LN(2)/25)*Calculateur!FM151*Calculateur!FO151*VLOOKUP('Données projet'!$B$16,Paramètres!$A$1:$I$89,3,0)*0.475*44/12</f>
        <v>3.1319884285921664</v>
      </c>
      <c r="FS151" s="23">
        <f>EXP(-LN(2)/2)*FS150+(1-EXP(-LN(2)/2))/(LN(2)/2)*FM151*FP151*VLOOKUP('Données projet'!$B$16,Paramètres!$A$1:$I$89,3,0)*0.475*44/12</f>
        <v>4.9366424084736695E-13</v>
      </c>
      <c r="FT151" s="24">
        <f t="shared" si="132"/>
        <v>40.338563353922638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>
        <f>FZ151*VLOOKUP('Données projet'!$B$17,Paramètres!$A$1:$I$89,3,0)*VLOOKUP('Données projet'!$B$17,Paramètres!$A$1:$I$89,5,0)</f>
        <v>0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132.18258156780018</v>
      </c>
      <c r="GF151" s="62">
        <f t="shared" si="158"/>
        <v>315.58133946947294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4.1912290268890242</v>
      </c>
      <c r="GM151" s="23">
        <f>EXP(-LN(2)/25)*GM150+(1-EXP(-LN(2)/25))/(LN(2)/25)*Calculateur!GH151*Calculateur!GJ151*VLOOKUP('Données projet'!$B$17,Paramètres!$A$1:$I$89,3,0)*0.475*44/12</f>
        <v>0.70402374411180502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4.8952527710008296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9">
        <f t="shared" si="110"/>
        <v>547.63311013951943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8.3249999999999993</v>
      </c>
      <c r="N152" s="14">
        <f>IF('Données projet'!$A$36&gt;35,N151+M152-V151,IF(A152&lt;'Données projet'!$A$36,$K$205^A152,IF(A152='Données projet'!$A$36,'Données projet'!$B$36,N151+M152-V151)))</f>
        <v>448.84500000000054</v>
      </c>
      <c r="O152" s="14">
        <f>N152*VLOOKUP('Données projet'!$B$9,Paramètres!$A$1:$I$89,3,0)*VLOOKUP('Données projet'!$B$9,Paramètres!$A$1:$I$89,5,0)</f>
        <v>406.11495600000046</v>
      </c>
      <c r="P152" s="14">
        <f t="shared" si="141"/>
        <v>93.015281926133852</v>
      </c>
      <c r="Q152" s="22">
        <f t="shared" si="108"/>
        <v>869.31849772135058</v>
      </c>
      <c r="R152" s="62">
        <f t="shared" si="109"/>
        <v>1162.651831054684</v>
      </c>
      <c r="S152" s="62">
        <f ca="1">AVERAGE(OFFSET($R$3,0,0,'Données projet'!$E$9+1,1))-AVERAGE(OFFSET($H$3,0,0,'Données projet'!$E$9+1,1))</f>
        <v>401.86262166363821</v>
      </c>
      <c r="T152" s="62">
        <f t="shared" si="142"/>
        <v>208.60314230781432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61.748623221308485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61.748623221308485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6.8212102632969618E-13</v>
      </c>
      <c r="AJ152" s="14">
        <f>AI152*VLOOKUP('Données projet'!$B$10,Paramètres!$A$1:$I$89,3,0)*VLOOKUP('Données projet'!$B$10,Paramètres!$A$1:$I$89,5,0)</f>
        <v>7.3423507274128498E-13</v>
      </c>
      <c r="AK152" s="14">
        <f t="shared" si="143"/>
        <v>8.7458894232577541E-12</v>
      </c>
      <c r="AL152" s="22">
        <f t="shared" si="112"/>
        <v>1.6511216830531657E-11</v>
      </c>
      <c r="AM152" s="62">
        <f t="shared" si="113"/>
        <v>293.3333333333498</v>
      </c>
      <c r="AN152" s="62">
        <f ca="1">AVERAGE(OFFSET($AM$3,0,0,'Données projet'!$E$10+1,1))-AVERAGE(OFFSET($H$3,0,0,'Données projet'!$E$10+1,1))</f>
        <v>407.22515465568205</v>
      </c>
      <c r="AO152" s="62">
        <f t="shared" si="144"/>
        <v>251.6218558398258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118.35960164696758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118.35960164696758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6.8212102632969618E-13</v>
      </c>
      <c r="BE152" s="14">
        <f>BD152*VLOOKUP('Données projet'!$B$11,Paramètres!$A$1:$I$89,3,0)*VLOOKUP('Données projet'!$B$11,Paramètres!$A$1:$I$89,5,0)</f>
        <v>6.5974745666608208E-13</v>
      </c>
      <c r="BF152" s="14">
        <f t="shared" si="145"/>
        <v>7.9570891233345703E-12</v>
      </c>
      <c r="BG152" s="22">
        <f t="shared" si="115"/>
        <v>1.5007657043501137E-11</v>
      </c>
      <c r="BH152" s="62">
        <f t="shared" si="116"/>
        <v>293.33333333334832</v>
      </c>
      <c r="BI152" s="62">
        <f ca="1">AVERAGE(OFFSET($BH$3,0,0,'Données projet'!$E$11+1,1))-AVERAGE(OFFSET($H$3,0,0,'Données projet'!$E$11+1,1))</f>
        <v>357.76044008074308</v>
      </c>
      <c r="BJ152" s="62">
        <f t="shared" si="146"/>
        <v>224.26555772810445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106.35210582771003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106.35210582771003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6.8212102632969618E-13</v>
      </c>
      <c r="BZ152" s="14">
        <f>BY152*VLOOKUP('Données projet'!$B$12,Paramètres!$A$1:$I$89,3,0)*VLOOKUP('Données projet'!$B$12,Paramètres!$A$1:$I$89,5,0)</f>
        <v>4.5756678446196019E-13</v>
      </c>
      <c r="CA152" s="14">
        <f t="shared" si="147"/>
        <v>5.7587689306883675E-12</v>
      </c>
      <c r="CB152" s="22">
        <f t="shared" si="118"/>
        <v>1.0826784703886818E-11</v>
      </c>
      <c r="CC152" s="62">
        <f t="shared" si="119"/>
        <v>293.33333333334411</v>
      </c>
      <c r="CD152" s="62">
        <f ca="1">AVERAGE(OFFSET($CC$3,0,0,'Données projet'!$E$12+1,1))-AVERAGE(OFFSET($H$3,0,0,'Données projet'!$E$12+1,1))</f>
        <v>222.86701323374945</v>
      </c>
      <c r="CE152" s="62">
        <f t="shared" si="148"/>
        <v>149.63671045240511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90.913896917236016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90.913896917236016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8.5265128291212022E-14</v>
      </c>
      <c r="CU152" s="18">
        <f>CT152*VLOOKUP('Données projet'!$B$13,Paramètres!$A$1:$I$89,3,0)*VLOOKUP('Données projet'!$B$13,Paramètres!$A$1:$I$89,5,0)</f>
        <v>5.5865712056402117E-14</v>
      </c>
      <c r="CV152" s="14">
        <f t="shared" si="149"/>
        <v>8.9811031843713517E-13</v>
      </c>
      <c r="CW152" s="22">
        <f t="shared" si="121"/>
        <v>1.6615082531095774E-12</v>
      </c>
      <c r="CX152" s="62">
        <f t="shared" si="122"/>
        <v>293.33333333333496</v>
      </c>
      <c r="CY152" s="62">
        <f ca="1">AVERAGE(OFFSET($CX$3,0,0,'Données projet'!$E$13+1,1))-AVERAGE(OFFSET($H$3,0,0,'Données projet'!$E$13+1,1))</f>
        <v>173.15672762188746</v>
      </c>
      <c r="CZ152" s="62">
        <f t="shared" si="150"/>
        <v>208.54841796921414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25.603049884248122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25.603049884248122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269.18638759204373</v>
      </c>
      <c r="EP152" s="62">
        <f t="shared" si="154"/>
        <v>197.07126167823969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51.476460247895709</v>
      </c>
      <c r="EW152" s="23">
        <f>EXP(-LN(2)/25)*EW151+(1-EXP(-LN(2)/25))/(LN(2)/25)*Calculateur!ER152*Calculateur!ET152*VLOOKUP('Données projet'!$B$15,Paramètres!$A$1:$I$89,3,0)*0.475*44/12</f>
        <v>4.6578588557851734</v>
      </c>
      <c r="EX152" s="23">
        <f>EXP(-LN(2)/2)*EX151+(1-EXP(-LN(2)/2))/(LN(2)/2)*ER152*EU152*VLOOKUP('Données projet'!$B$15,Paramètres!$A$1:$I$89,3,0)*0.475*44/12</f>
        <v>1.3097102657271994E-9</v>
      </c>
      <c r="EY152" s="24">
        <f t="shared" si="129"/>
        <v>56.134319104990588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1.1368683772161603E-13</v>
      </c>
      <c r="FF152" s="18">
        <f>FE152*VLOOKUP('Données projet'!$B$16,Paramètres!$A$1:$I$89,3,0)*VLOOKUP('Données projet'!$B$16,Paramètres!$A$1:$I$89,5,0)</f>
        <v>6.7984728957526396E-14</v>
      </c>
      <c r="FG152" s="14">
        <f t="shared" si="155"/>
        <v>1.0682447123141398E-12</v>
      </c>
      <c r="FH152" s="22">
        <f t="shared" si="130"/>
        <v>1.978932943548152E-12</v>
      </c>
      <c r="FI152" s="62">
        <f t="shared" si="131"/>
        <v>293.3333333333353</v>
      </c>
      <c r="FJ152" s="62">
        <f ca="1">AVERAGE(OFFSET($FI$3,0,0,'Données projet'!$E$16+1,1))-AVERAGE(OFFSET($H$3,0,0,'Données projet'!$E$16+1,1))</f>
        <v>330.48891719033065</v>
      </c>
      <c r="FK152" s="62">
        <f t="shared" si="156"/>
        <v>419.35494198427284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36.47697668481414</v>
      </c>
      <c r="FR152" s="23">
        <f>EXP(-LN(2)/25)*FR151+(1-EXP(-LN(2)/25))/(LN(2)/25)*Calculateur!FM152*Calculateur!FO152*VLOOKUP('Données projet'!$B$16,Paramètres!$A$1:$I$89,3,0)*0.475*44/12</f>
        <v>3.0463440403082003</v>
      </c>
      <c r="FS152" s="23">
        <f>EXP(-LN(2)/2)*FS151+(1-EXP(-LN(2)/2))/(LN(2)/2)*FM152*FP152*VLOOKUP('Données projet'!$B$16,Paramètres!$A$1:$I$89,3,0)*0.475*44/12</f>
        <v>3.490733323324822E-13</v>
      </c>
      <c r="FT152" s="24">
        <f t="shared" si="132"/>
        <v>39.523320725122687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>
        <f>FZ152*VLOOKUP('Données projet'!$B$17,Paramètres!$A$1:$I$89,3,0)*VLOOKUP('Données projet'!$B$17,Paramètres!$A$1:$I$89,5,0)</f>
        <v>0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132.18258156780018</v>
      </c>
      <c r="GF152" s="62">
        <f t="shared" si="158"/>
        <v>315.58133946947294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4.1090415820690138</v>
      </c>
      <c r="GM152" s="23">
        <f>EXP(-LN(2)/25)*GM151+(1-EXP(-LN(2)/25))/(LN(2)/25)*Calculateur!GH152*Calculateur!GJ152*VLOOKUP('Données projet'!$B$17,Paramètres!$A$1:$I$89,3,0)*0.475*44/12</f>
        <v>0.68477217780606803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4.7938137598750821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9">
        <f t="shared" si="110"/>
        <v>549.53872812441477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8.3249999999999993</v>
      </c>
      <c r="N153" s="14">
        <f>IF('Données projet'!$A$36&gt;35,N152+M153-V152,IF(A153&lt;'Données projet'!$A$36,$K$205^A153,IF(A153='Données projet'!$A$36,'Données projet'!$B$36,N152+M153-V152)))</f>
        <v>457.17000000000053</v>
      </c>
      <c r="O153" s="14">
        <f>N153*VLOOKUP('Données projet'!$B$9,Paramètres!$A$1:$I$89,3,0)*VLOOKUP('Données projet'!$B$9,Paramètres!$A$1:$I$89,5,0)</f>
        <v>413.64741600000042</v>
      </c>
      <c r="P153" s="14">
        <f t="shared" si="141"/>
        <v>94.538043857309361</v>
      </c>
      <c r="Q153" s="22">
        <f t="shared" si="108"/>
        <v>885.0896759181478</v>
      </c>
      <c r="R153" s="62">
        <f t="shared" si="109"/>
        <v>1178.4230092514811</v>
      </c>
      <c r="S153" s="62">
        <f ca="1">AVERAGE(OFFSET($R$3,0,0,'Données projet'!$E$9+1,1))-AVERAGE(OFFSET($H$3,0,0,'Données projet'!$E$9+1,1))</f>
        <v>401.86262166363821</v>
      </c>
      <c r="T153" s="62">
        <f t="shared" si="142"/>
        <v>208.60314230781432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60.537770382879884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60.537770382879884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6.8212102632969618E-13</v>
      </c>
      <c r="AJ153" s="14">
        <f>AI153*VLOOKUP('Données projet'!$B$10,Paramètres!$A$1:$I$89,3,0)*VLOOKUP('Données projet'!$B$10,Paramètres!$A$1:$I$89,5,0)</f>
        <v>7.3423507274128498E-13</v>
      </c>
      <c r="AK153" s="14">
        <f t="shared" si="143"/>
        <v>8.7458894232577541E-12</v>
      </c>
      <c r="AL153" s="22">
        <f t="shared" si="112"/>
        <v>1.6511216830531657E-11</v>
      </c>
      <c r="AM153" s="62">
        <f t="shared" si="113"/>
        <v>293.3333333333498</v>
      </c>
      <c r="AN153" s="62">
        <f ca="1">AVERAGE(OFFSET($AM$3,0,0,'Données projet'!$E$10+1,1))-AVERAGE(OFFSET($H$3,0,0,'Données projet'!$E$10+1,1))</f>
        <v>407.22515465568205</v>
      </c>
      <c r="AO153" s="62">
        <f t="shared" si="144"/>
        <v>251.6218558398258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116.03864205089916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116.03864205089916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6.8212102632969618E-13</v>
      </c>
      <c r="BE153" s="14">
        <f>BD153*VLOOKUP('Données projet'!$B$11,Paramètres!$A$1:$I$89,3,0)*VLOOKUP('Données projet'!$B$11,Paramètres!$A$1:$I$89,5,0)</f>
        <v>6.5974745666608208E-13</v>
      </c>
      <c r="BF153" s="14">
        <f t="shared" si="145"/>
        <v>7.9570891233345703E-12</v>
      </c>
      <c r="BG153" s="22">
        <f t="shared" si="115"/>
        <v>1.5007657043501137E-11</v>
      </c>
      <c r="BH153" s="62">
        <f t="shared" si="116"/>
        <v>293.33333333334832</v>
      </c>
      <c r="BI153" s="62">
        <f ca="1">AVERAGE(OFFSET($BH$3,0,0,'Données projet'!$E$11+1,1))-AVERAGE(OFFSET($H$3,0,0,'Données projet'!$E$11+1,1))</f>
        <v>357.76044008074308</v>
      </c>
      <c r="BJ153" s="62">
        <f t="shared" si="146"/>
        <v>224.26555772810445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104.26660590080797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104.26660590080797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6.8212102632969618E-13</v>
      </c>
      <c r="BZ153" s="14">
        <f>BY153*VLOOKUP('Données projet'!$B$12,Paramètres!$A$1:$I$89,3,0)*VLOOKUP('Données projet'!$B$12,Paramètres!$A$1:$I$89,5,0)</f>
        <v>4.5756678446196019E-13</v>
      </c>
      <c r="CA153" s="14">
        <f t="shared" si="147"/>
        <v>5.7587689306883675E-12</v>
      </c>
      <c r="CB153" s="22">
        <f t="shared" si="118"/>
        <v>1.0826784703886818E-11</v>
      </c>
      <c r="CC153" s="62">
        <f t="shared" si="119"/>
        <v>293.33333333334411</v>
      </c>
      <c r="CD153" s="62">
        <f ca="1">AVERAGE(OFFSET($CC$3,0,0,'Données projet'!$E$12+1,1))-AVERAGE(OFFSET($H$3,0,0,'Données projet'!$E$12+1,1))</f>
        <v>222.86701323374945</v>
      </c>
      <c r="CE153" s="62">
        <f t="shared" si="148"/>
        <v>149.63671045240511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89.13113085069071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89.13113085069071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8.5265128291212022E-14</v>
      </c>
      <c r="CU153" s="18">
        <f>CT153*VLOOKUP('Données projet'!$B$13,Paramètres!$A$1:$I$89,3,0)*VLOOKUP('Données projet'!$B$13,Paramètres!$A$1:$I$89,5,0)</f>
        <v>5.5865712056402117E-14</v>
      </c>
      <c r="CV153" s="14">
        <f t="shared" si="149"/>
        <v>8.9811031843713517E-13</v>
      </c>
      <c r="CW153" s="22">
        <f t="shared" si="121"/>
        <v>1.6615082531095774E-12</v>
      </c>
      <c r="CX153" s="62">
        <f t="shared" si="122"/>
        <v>293.33333333333496</v>
      </c>
      <c r="CY153" s="62">
        <f ca="1">AVERAGE(OFFSET($CX$3,0,0,'Données projet'!$E$13+1,1))-AVERAGE(OFFSET($H$3,0,0,'Données projet'!$E$13+1,1))</f>
        <v>173.15672762188746</v>
      </c>
      <c r="CZ153" s="62">
        <f t="shared" si="150"/>
        <v>208.54841796921414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25.100989692336462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25.100989692336462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269.18638759204373</v>
      </c>
      <c r="EP153" s="62">
        <f t="shared" si="154"/>
        <v>197.07126167823969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50.467038259974977</v>
      </c>
      <c r="EW153" s="23">
        <f>EXP(-LN(2)/25)*EW152+(1-EXP(-LN(2)/25))/(LN(2)/25)*Calculateur!ER153*Calculateur!ET153*VLOOKUP('Données projet'!$B$15,Paramètres!$A$1:$I$89,3,0)*0.475*44/12</f>
        <v>4.5304894604275763</v>
      </c>
      <c r="EX153" s="23">
        <f>EXP(-LN(2)/2)*EX152+(1-EXP(-LN(2)/2))/(LN(2)/2)*ER153*EU153*VLOOKUP('Données projet'!$B$15,Paramètres!$A$1:$I$89,3,0)*0.475*44/12</f>
        <v>9.2610501028533784E-10</v>
      </c>
      <c r="EY153" s="24">
        <f t="shared" si="129"/>
        <v>54.997527721328659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1.1368683772161603E-13</v>
      </c>
      <c r="FF153" s="18">
        <f>FE153*VLOOKUP('Données projet'!$B$16,Paramètres!$A$1:$I$89,3,0)*VLOOKUP('Données projet'!$B$16,Paramètres!$A$1:$I$89,5,0)</f>
        <v>6.7984728957526396E-14</v>
      </c>
      <c r="FG153" s="14">
        <f t="shared" si="155"/>
        <v>1.0682447123141398E-12</v>
      </c>
      <c r="FH153" s="22">
        <f t="shared" si="130"/>
        <v>1.978932943548152E-12</v>
      </c>
      <c r="FI153" s="62">
        <f t="shared" si="131"/>
        <v>293.3333333333353</v>
      </c>
      <c r="FJ153" s="62">
        <f ca="1">AVERAGE(OFFSET($FI$3,0,0,'Données projet'!$E$16+1,1))-AVERAGE(OFFSET($H$3,0,0,'Données projet'!$E$16+1,1))</f>
        <v>330.48891719033065</v>
      </c>
      <c r="FK153" s="62">
        <f t="shared" si="156"/>
        <v>419.35494198427284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35.761685420783827</v>
      </c>
      <c r="FR153" s="23">
        <f>EXP(-LN(2)/25)*FR152+(1-EXP(-LN(2)/25))/(LN(2)/25)*Calculateur!FM153*Calculateur!FO153*VLOOKUP('Données projet'!$B$16,Paramètres!$A$1:$I$89,3,0)*0.475*44/12</f>
        <v>2.9630416023257018</v>
      </c>
      <c r="FS153" s="23">
        <f>EXP(-LN(2)/2)*FS152+(1-EXP(-LN(2)/2))/(LN(2)/2)*FM153*FP153*VLOOKUP('Données projet'!$B$16,Paramètres!$A$1:$I$89,3,0)*0.475*44/12</f>
        <v>2.4683212042368348E-13</v>
      </c>
      <c r="FT153" s="24">
        <f t="shared" si="132"/>
        <v>38.724727023109779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>
        <f>FZ153*VLOOKUP('Données projet'!$B$17,Paramètres!$A$1:$I$89,3,0)*VLOOKUP('Données projet'!$B$17,Paramètres!$A$1:$I$89,5,0)</f>
        <v>0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132.18258156780018</v>
      </c>
      <c r="GF153" s="62">
        <f t="shared" si="158"/>
        <v>315.58133946947294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4.0284657829125319</v>
      </c>
      <c r="GM153" s="23">
        <f>EXP(-LN(2)/25)*GM152+(1-EXP(-LN(2)/25))/(LN(2)/25)*Calculateur!GH153*Calculateur!GJ153*VLOOKUP('Données projet'!$B$17,Paramètres!$A$1:$I$89,3,0)*0.475*44/12</f>
        <v>0.66604704659335734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4.6945128295058893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9">
        <f t="shared" si="110"/>
        <v>551.4440692384635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8.3249999999999993</v>
      </c>
      <c r="N154" s="14">
        <f>IF('Données projet'!$A$36&gt;35,N153+M154-V153,IF(A154&lt;'Données projet'!$A$36,$K$205^A154,IF(A154='Données projet'!$A$36,'Données projet'!$B$36,N153+M154-V153)))</f>
        <v>465.49500000000052</v>
      </c>
      <c r="O154" s="14">
        <f>N154*VLOOKUP('Données projet'!$B$9,Paramètres!$A$1:$I$89,3,0)*VLOOKUP('Données projet'!$B$9,Paramètres!$A$1:$I$89,5,0)</f>
        <v>421.17987600000043</v>
      </c>
      <c r="P154" s="14">
        <f t="shared" si="141"/>
        <v>96.057581330707137</v>
      </c>
      <c r="Q154" s="22">
        <f t="shared" ref="Q154:Q203" si="162">(O154+P154)*0.475*44/12</f>
        <v>900.85523818431557</v>
      </c>
      <c r="R154" s="62">
        <f t="shared" si="109"/>
        <v>1194.1885715176488</v>
      </c>
      <c r="S154" s="62">
        <f ca="1">AVERAGE(OFFSET($R$3,0,0,'Données projet'!$E$9+1,1))-AVERAGE(OFFSET($H$3,0,0,'Données projet'!$E$9+1,1))</f>
        <v>401.86262166363821</v>
      </c>
      <c r="T154" s="62">
        <f t="shared" si="142"/>
        <v>208.60314230781432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59.350661630065559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59.350661630065559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6.8212102632969618E-13</v>
      </c>
      <c r="AJ154" s="14">
        <f>AI154*VLOOKUP('Données projet'!$B$10,Paramètres!$A$1:$I$89,3,0)*VLOOKUP('Données projet'!$B$10,Paramètres!$A$1:$I$89,5,0)</f>
        <v>7.3423507274128498E-13</v>
      </c>
      <c r="AK154" s="14">
        <f t="shared" ref="AK154:AK203" si="164">EXP(-1.0587+0.8836*LN(AJ154)+0.284)</f>
        <v>8.7458894232577541E-12</v>
      </c>
      <c r="AL154" s="22">
        <f t="shared" ref="AL154:AL203" si="165">(AJ154+AK154)*0.475*44/12</f>
        <v>1.6511216830531657E-11</v>
      </c>
      <c r="AM154" s="62">
        <f t="shared" si="113"/>
        <v>293.3333333333498</v>
      </c>
      <c r="AN154" s="62">
        <f ca="1">AVERAGE(OFFSET($AM$3,0,0,'Données projet'!$E$10+1,1))-AVERAGE(OFFSET($H$3,0,0,'Données projet'!$E$10+1,1))</f>
        <v>407.22515465568205</v>
      </c>
      <c r="AO154" s="62">
        <f t="shared" si="144"/>
        <v>251.6218558398258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113.76319505686406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113.76319505686406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6.8212102632969618E-13</v>
      </c>
      <c r="BE154" s="14">
        <f>BD154*VLOOKUP('Données projet'!$B$11,Paramètres!$A$1:$I$89,3,0)*VLOOKUP('Données projet'!$B$11,Paramètres!$A$1:$I$89,5,0)</f>
        <v>6.5974745666608208E-13</v>
      </c>
      <c r="BF154" s="14">
        <f t="shared" ref="BF154:BF203" si="167">EXP(-1.0587+0.8836*LN(BE154)+0.284)</f>
        <v>7.9570891233345703E-12</v>
      </c>
      <c r="BG154" s="22">
        <f t="shared" ref="BG154:BG203" si="168">(BE154+BF154)*0.475*44/12</f>
        <v>1.5007657043501137E-11</v>
      </c>
      <c r="BH154" s="62">
        <f t="shared" si="116"/>
        <v>293.33333333334832</v>
      </c>
      <c r="BI154" s="62">
        <f ca="1">AVERAGE(OFFSET($BH$3,0,0,'Données projet'!$E$11+1,1))-AVERAGE(OFFSET($H$3,0,0,'Données projet'!$E$11+1,1))</f>
        <v>357.76044008074308</v>
      </c>
      <c r="BJ154" s="62">
        <f t="shared" si="146"/>
        <v>224.26555772810445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102.22200135544311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102.22200135544311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6.8212102632969618E-13</v>
      </c>
      <c r="BZ154" s="14">
        <f>BY154*VLOOKUP('Données projet'!$B$12,Paramètres!$A$1:$I$89,3,0)*VLOOKUP('Données projet'!$B$12,Paramètres!$A$1:$I$89,5,0)</f>
        <v>4.5756678446196019E-13</v>
      </c>
      <c r="CA154" s="14">
        <f t="shared" ref="CA154:CA203" si="170">EXP(-1.0587+0.8836*LN(BZ154)+0.284)</f>
        <v>5.7587689306883675E-12</v>
      </c>
      <c r="CB154" s="22">
        <f t="shared" ref="CB154:CB203" si="171">(BZ154+CA154)*0.475*44/12</f>
        <v>1.0826784703886818E-11</v>
      </c>
      <c r="CC154" s="62">
        <f t="shared" si="119"/>
        <v>293.33333333334411</v>
      </c>
      <c r="CD154" s="62">
        <f ca="1">AVERAGE(OFFSET($CC$3,0,0,'Données projet'!$E$12+1,1))-AVERAGE(OFFSET($H$3,0,0,'Données projet'!$E$12+1,1))</f>
        <v>222.86701323374945</v>
      </c>
      <c r="CE154" s="62">
        <f t="shared" si="148"/>
        <v>149.63671045240511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87.383323739330422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87.383323739330422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8.5265128291212022E-14</v>
      </c>
      <c r="CU154" s="18">
        <f>CT154*VLOOKUP('Données projet'!$B$13,Paramètres!$A$1:$I$89,3,0)*VLOOKUP('Données projet'!$B$13,Paramètres!$A$1:$I$89,5,0)</f>
        <v>5.5865712056402117E-14</v>
      </c>
      <c r="CV154" s="14">
        <f t="shared" ref="CV154:CV203" si="173">EXP(-1.0587+0.8836*LN(CU154)+0.284)</f>
        <v>8.9811031843713517E-13</v>
      </c>
      <c r="CW154" s="22">
        <f t="shared" ref="CW154:CW203" si="174">(CU154+CV154)*0.475*44/12</f>
        <v>1.6615082531095774E-12</v>
      </c>
      <c r="CX154" s="62">
        <f t="shared" si="122"/>
        <v>293.33333333333496</v>
      </c>
      <c r="CY154" s="62">
        <f ca="1">AVERAGE(OFFSET($CX$3,0,0,'Données projet'!$E$13+1,1))-AVERAGE(OFFSET($H$3,0,0,'Données projet'!$E$13+1,1))</f>
        <v>173.15672762188746</v>
      </c>
      <c r="CZ154" s="62">
        <f t="shared" si="150"/>
        <v>208.54841796921414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24.608774594561709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24.608774594561709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269.18638759204373</v>
      </c>
      <c r="EP154" s="62">
        <f t="shared" si="154"/>
        <v>197.07126167823969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49.477410421550751</v>
      </c>
      <c r="EW154" s="23">
        <f>EXP(-LN(2)/25)*EW153+(1-EXP(-LN(2)/25))/(LN(2)/25)*Calculateur!ER154*Calculateur!ET154*VLOOKUP('Données projet'!$B$15,Paramètres!$A$1:$I$89,3,0)*0.475*44/12</f>
        <v>4.4066029878840984</v>
      </c>
      <c r="EX154" s="23">
        <f>EXP(-LN(2)/2)*EX153+(1-EXP(-LN(2)/2))/(LN(2)/2)*ER154*EU154*VLOOKUP('Données projet'!$B$15,Paramètres!$A$1:$I$89,3,0)*0.475*44/12</f>
        <v>6.5485513286359978E-10</v>
      </c>
      <c r="EY154" s="24">
        <f t="shared" ref="EY154:EY203" si="181">SUM(EV154:EX154)</f>
        <v>53.884013410089707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1.1368683772161603E-13</v>
      </c>
      <c r="FF154" s="18">
        <f>FE154*VLOOKUP('Données projet'!$B$16,Paramètres!$A$1:$I$89,3,0)*VLOOKUP('Données projet'!$B$16,Paramètres!$A$1:$I$89,5,0)</f>
        <v>6.7984728957526396E-14</v>
      </c>
      <c r="FG154" s="14">
        <f t="shared" ref="FG154:FG203" si="182">EXP(-1.0587+0.8836*LN(FF154)+0.284)</f>
        <v>1.0682447123141398E-12</v>
      </c>
      <c r="FH154" s="22">
        <f t="shared" ref="FH154:FH203" si="183">(FF154+FG154)*0.475*44/12</f>
        <v>1.978932943548152E-12</v>
      </c>
      <c r="FI154" s="62">
        <f t="shared" si="131"/>
        <v>293.3333333333353</v>
      </c>
      <c r="FJ154" s="62">
        <f ca="1">AVERAGE(OFFSET($FI$3,0,0,'Données projet'!$E$16+1,1))-AVERAGE(OFFSET($H$3,0,0,'Données projet'!$E$16+1,1))</f>
        <v>330.48891719033065</v>
      </c>
      <c r="FK154" s="62">
        <f t="shared" si="156"/>
        <v>419.35494198427284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35.06042058215656</v>
      </c>
      <c r="FR154" s="23">
        <f>EXP(-LN(2)/25)*FR153+(1-EXP(-LN(2)/25))/(LN(2)/25)*Calculateur!FM154*Calculateur!FO154*VLOOKUP('Données projet'!$B$16,Paramètres!$A$1:$I$89,3,0)*0.475*44/12</f>
        <v>2.8820170738905198</v>
      </c>
      <c r="FS154" s="23">
        <f>EXP(-LN(2)/2)*FS153+(1-EXP(-LN(2)/2))/(LN(2)/2)*FM154*FP154*VLOOKUP('Données projet'!$B$16,Paramètres!$A$1:$I$89,3,0)*0.475*44/12</f>
        <v>1.745366661662411E-13</v>
      </c>
      <c r="FT154" s="24">
        <f t="shared" ref="FT154:FT203" si="184">SUM(FQ154:FS154)</f>
        <v>37.942437656047254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>
        <f>FZ154*VLOOKUP('Données projet'!$B$17,Paramètres!$A$1:$I$89,3,0)*VLOOKUP('Données projet'!$B$17,Paramètres!$A$1:$I$89,5,0)</f>
        <v>0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132.18258156780018</v>
      </c>
      <c r="GF154" s="62">
        <f t="shared" si="158"/>
        <v>315.58133946947294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3.9494700260311242</v>
      </c>
      <c r="GM154" s="23">
        <f>EXP(-LN(2)/25)*GM153+(1-EXP(-LN(2)/25))/(LN(2)/25)*Calculateur!GH154*Calculateur!GJ154*VLOOKUP('Données projet'!$B$17,Paramètres!$A$1:$I$89,3,0)*0.475*44/12</f>
        <v>0.64783395507837005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4.5973039811094942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9">
        <f t="shared" si="110"/>
        <v>553.34913552791727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8.3249999999999993</v>
      </c>
      <c r="N155" s="14">
        <f>IF('Données projet'!$A$36&gt;35,N154+M155-V154,IF(A155&lt;'Données projet'!$A$36,$K$205^A155,IF(A155='Données projet'!$A$36,'Données projet'!$B$36,N154+M155-V154)))</f>
        <v>473.8200000000005</v>
      </c>
      <c r="O155" s="14">
        <f>N155*VLOOKUP('Données projet'!$B$9,Paramètres!$A$1:$I$89,3,0)*VLOOKUP('Données projet'!$B$9,Paramètres!$A$1:$I$89,5,0)</f>
        <v>428.71233600000051</v>
      </c>
      <c r="P155" s="14">
        <f t="shared" si="141"/>
        <v>97.57395866550209</v>
      </c>
      <c r="Q155" s="22">
        <f t="shared" si="162"/>
        <v>916.61529654241701</v>
      </c>
      <c r="R155" s="62">
        <f t="shared" si="109"/>
        <v>1209.9486298757504</v>
      </c>
      <c r="S155" s="62">
        <f ca="1">AVERAGE(OFFSET($R$3,0,0,'Données projet'!$E$9+1,1))-AVERAGE(OFFSET($H$3,0,0,'Données projet'!$E$9+1,1))</f>
        <v>401.86262166363821</v>
      </c>
      <c r="T155" s="62">
        <f t="shared" si="142"/>
        <v>208.60314230781432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58.186831355829085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58.186831355829085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6.8212102632969618E-13</v>
      </c>
      <c r="AJ155" s="14">
        <f>AI155*VLOOKUP('Données projet'!$B$10,Paramètres!$A$1:$I$89,3,0)*VLOOKUP('Données projet'!$B$10,Paramètres!$A$1:$I$89,5,0)</f>
        <v>7.3423507274128498E-13</v>
      </c>
      <c r="AK155" s="14">
        <f t="shared" si="164"/>
        <v>8.7458894232577541E-12</v>
      </c>
      <c r="AL155" s="22">
        <f t="shared" si="165"/>
        <v>1.6511216830531657E-11</v>
      </c>
      <c r="AM155" s="62">
        <f t="shared" si="113"/>
        <v>293.3333333333498</v>
      </c>
      <c r="AN155" s="62">
        <f ca="1">AVERAGE(OFFSET($AM$3,0,0,'Données projet'!$E$10+1,1))-AVERAGE(OFFSET($H$3,0,0,'Données projet'!$E$10+1,1))</f>
        <v>407.22515465568205</v>
      </c>
      <c r="AO155" s="62">
        <f t="shared" si="144"/>
        <v>251.6218558398258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111.53236819049638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111.53236819049638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6.8212102632969618E-13</v>
      </c>
      <c r="BE155" s="14">
        <f>BD155*VLOOKUP('Données projet'!$B$11,Paramètres!$A$1:$I$89,3,0)*VLOOKUP('Données projet'!$B$11,Paramètres!$A$1:$I$89,5,0)</f>
        <v>6.5974745666608208E-13</v>
      </c>
      <c r="BF155" s="14">
        <f t="shared" si="167"/>
        <v>7.9570891233345703E-12</v>
      </c>
      <c r="BG155" s="22">
        <f t="shared" si="168"/>
        <v>1.5007657043501137E-11</v>
      </c>
      <c r="BH155" s="62">
        <f t="shared" si="116"/>
        <v>293.33333333334832</v>
      </c>
      <c r="BI155" s="62">
        <f ca="1">AVERAGE(OFFSET($BH$3,0,0,'Données projet'!$E$11+1,1))-AVERAGE(OFFSET($H$3,0,0,'Données projet'!$E$11+1,1))</f>
        <v>357.76044008074308</v>
      </c>
      <c r="BJ155" s="62">
        <f t="shared" si="146"/>
        <v>224.26555772810445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100.21749025812723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100.21749025812723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6.8212102632969618E-13</v>
      </c>
      <c r="BZ155" s="14">
        <f>BY155*VLOOKUP('Données projet'!$B$12,Paramètres!$A$1:$I$89,3,0)*VLOOKUP('Données projet'!$B$12,Paramètres!$A$1:$I$89,5,0)</f>
        <v>4.5756678446196019E-13</v>
      </c>
      <c r="CA155" s="14">
        <f t="shared" si="170"/>
        <v>5.7587689306883675E-12</v>
      </c>
      <c r="CB155" s="22">
        <f t="shared" si="171"/>
        <v>1.0826784703886818E-11</v>
      </c>
      <c r="CC155" s="62">
        <f t="shared" si="119"/>
        <v>293.33333333334411</v>
      </c>
      <c r="CD155" s="62">
        <f ca="1">AVERAGE(OFFSET($CC$3,0,0,'Données projet'!$E$12+1,1))-AVERAGE(OFFSET($H$3,0,0,'Données projet'!$E$12+1,1))</f>
        <v>222.86701323374945</v>
      </c>
      <c r="CE155" s="62">
        <f t="shared" si="148"/>
        <v>149.63671045240511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85.669790059366832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85.669790059366832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8.5265128291212022E-14</v>
      </c>
      <c r="CU155" s="18">
        <f>CT155*VLOOKUP('Données projet'!$B$13,Paramètres!$A$1:$I$89,3,0)*VLOOKUP('Données projet'!$B$13,Paramètres!$A$1:$I$89,5,0)</f>
        <v>5.5865712056402117E-14</v>
      </c>
      <c r="CV155" s="14">
        <f t="shared" si="173"/>
        <v>8.9811031843713517E-13</v>
      </c>
      <c r="CW155" s="22">
        <f t="shared" si="174"/>
        <v>1.6615082531095774E-12</v>
      </c>
      <c r="CX155" s="62">
        <f t="shared" si="122"/>
        <v>293.33333333333496</v>
      </c>
      <c r="CY155" s="62">
        <f ca="1">AVERAGE(OFFSET($CX$3,0,0,'Données projet'!$E$13+1,1))-AVERAGE(OFFSET($H$3,0,0,'Données projet'!$E$13+1,1))</f>
        <v>173.15672762188746</v>
      </c>
      <c r="CZ155" s="62">
        <f t="shared" si="150"/>
        <v>208.54841796921414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24.126211534632755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24.126211534632755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269.18638759204373</v>
      </c>
      <c r="EP155" s="62">
        <f t="shared" si="154"/>
        <v>197.07126167823969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48.507188581424643</v>
      </c>
      <c r="EW155" s="23">
        <f>EXP(-LN(2)/25)*EW154+(1-EXP(-LN(2)/25))/(LN(2)/25)*Calculateur!ER155*Calculateur!ET155*VLOOKUP('Données projet'!$B$15,Paramètres!$A$1:$I$89,3,0)*0.475*44/12</f>
        <v>4.2861041974472283</v>
      </c>
      <c r="EX155" s="23">
        <f>EXP(-LN(2)/2)*EX154+(1-EXP(-LN(2)/2))/(LN(2)/2)*ER155*EU155*VLOOKUP('Données projet'!$B$15,Paramètres!$A$1:$I$89,3,0)*0.475*44/12</f>
        <v>4.6305250514266897E-10</v>
      </c>
      <c r="EY155" s="24">
        <f t="shared" si="181"/>
        <v>52.793292779334926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1.1368683772161603E-13</v>
      </c>
      <c r="FF155" s="18">
        <f>FE155*VLOOKUP('Données projet'!$B$16,Paramètres!$A$1:$I$89,3,0)*VLOOKUP('Données projet'!$B$16,Paramètres!$A$1:$I$89,5,0)</f>
        <v>6.7984728957526396E-14</v>
      </c>
      <c r="FG155" s="14">
        <f t="shared" si="182"/>
        <v>1.0682447123141398E-12</v>
      </c>
      <c r="FH155" s="22">
        <f t="shared" si="183"/>
        <v>1.978932943548152E-12</v>
      </c>
      <c r="FI155" s="62">
        <f t="shared" si="131"/>
        <v>293.3333333333353</v>
      </c>
      <c r="FJ155" s="62">
        <f ca="1">AVERAGE(OFFSET($FI$3,0,0,'Données projet'!$E$16+1,1))-AVERAGE(OFFSET($H$3,0,0,'Données projet'!$E$16+1,1))</f>
        <v>330.48891719033065</v>
      </c>
      <c r="FK155" s="62">
        <f t="shared" si="156"/>
        <v>419.35494198427284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34.372907119285458</v>
      </c>
      <c r="FR155" s="23">
        <f>EXP(-LN(2)/25)*FR154+(1-EXP(-LN(2)/25))/(LN(2)/25)*Calculateur!FM155*Calculateur!FO155*VLOOKUP('Données projet'!$B$16,Paramètres!$A$1:$I$89,3,0)*0.475*44/12</f>
        <v>2.8032081654462924</v>
      </c>
      <c r="FS155" s="23">
        <f>EXP(-LN(2)/2)*FS154+(1-EXP(-LN(2)/2))/(LN(2)/2)*FM155*FP155*VLOOKUP('Données projet'!$B$16,Paramètres!$A$1:$I$89,3,0)*0.475*44/12</f>
        <v>1.2341606021184174E-13</v>
      </c>
      <c r="FT155" s="24">
        <f t="shared" si="184"/>
        <v>37.176115284731871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>
        <f>FZ155*VLOOKUP('Données projet'!$B$17,Paramètres!$A$1:$I$89,3,0)*VLOOKUP('Données projet'!$B$17,Paramètres!$A$1:$I$89,5,0)</f>
        <v>0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132.18258156780018</v>
      </c>
      <c r="GF155" s="62">
        <f t="shared" si="158"/>
        <v>315.58133946947294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3.8720233277595066</v>
      </c>
      <c r="GM155" s="23">
        <f>EXP(-LN(2)/25)*GM154+(1-EXP(-LN(2)/25))/(LN(2)/25)*Calculateur!GH155*Calculateur!GJ155*VLOOKUP('Données projet'!$B$17,Paramètres!$A$1:$I$89,3,0)*0.475*44/12</f>
        <v>0.63011890150864491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4.5021422292681512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9">
        <f t="shared" si="110"/>
        <v>555.25392901054693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8.3249999999999993</v>
      </c>
      <c r="N156" s="14">
        <f>IF('Données projet'!$A$36&gt;35,N155+M156-V155,IF(A156&lt;'Données projet'!$A$36,$K$205^A156,IF(A156='Données projet'!$A$36,'Données projet'!$B$36,N155+M156-V155)))</f>
        <v>482.14500000000049</v>
      </c>
      <c r="O156" s="14">
        <f>N156*VLOOKUP('Données projet'!$B$9,Paramètres!$A$1:$I$89,3,0)*VLOOKUP('Données projet'!$B$9,Paramètres!$A$1:$I$89,5,0)</f>
        <v>436.24479600000041</v>
      </c>
      <c r="P156" s="14">
        <f t="shared" si="141"/>
        <v>99.087237791231857</v>
      </c>
      <c r="Q156" s="22">
        <f t="shared" si="162"/>
        <v>932.36995885306271</v>
      </c>
      <c r="R156" s="62">
        <f t="shared" si="109"/>
        <v>1225.7032921863961</v>
      </c>
      <c r="S156" s="62">
        <f ca="1">AVERAGE(OFFSET($R$3,0,0,'Données projet'!$E$9+1,1))-AVERAGE(OFFSET($H$3,0,0,'Données projet'!$E$9+1,1))</f>
        <v>401.86262166363821</v>
      </c>
      <c r="T156" s="62">
        <f t="shared" si="142"/>
        <v>208.60314230781432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57.045823083404009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57.045823083404009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6.8212102632969618E-13</v>
      </c>
      <c r="AJ156" s="14">
        <f>AI156*VLOOKUP('Données projet'!$B$10,Paramètres!$A$1:$I$89,3,0)*VLOOKUP('Données projet'!$B$10,Paramètres!$A$1:$I$89,5,0)</f>
        <v>7.3423507274128498E-13</v>
      </c>
      <c r="AK156" s="14">
        <f t="shared" si="164"/>
        <v>8.7458894232577541E-12</v>
      </c>
      <c r="AL156" s="22">
        <f t="shared" si="165"/>
        <v>1.6511216830531657E-11</v>
      </c>
      <c r="AM156" s="62">
        <f t="shared" si="113"/>
        <v>293.3333333333498</v>
      </c>
      <c r="AN156" s="62">
        <f ca="1">AVERAGE(OFFSET($AM$3,0,0,'Données projet'!$E$10+1,1))-AVERAGE(OFFSET($H$3,0,0,'Données projet'!$E$10+1,1))</f>
        <v>407.22515465568205</v>
      </c>
      <c r="AO156" s="62">
        <f t="shared" si="144"/>
        <v>251.6218558398258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109.34528647830814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109.34528647830814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6.8212102632969618E-13</v>
      </c>
      <c r="BE156" s="14">
        <f>BD156*VLOOKUP('Données projet'!$B$11,Paramètres!$A$1:$I$89,3,0)*VLOOKUP('Données projet'!$B$11,Paramètres!$A$1:$I$89,5,0)</f>
        <v>6.5974745666608208E-13</v>
      </c>
      <c r="BF156" s="14">
        <f t="shared" si="167"/>
        <v>7.9570891233345703E-12</v>
      </c>
      <c r="BG156" s="22">
        <f t="shared" si="168"/>
        <v>1.5007657043501137E-11</v>
      </c>
      <c r="BH156" s="62">
        <f t="shared" si="116"/>
        <v>293.33333333334832</v>
      </c>
      <c r="BI156" s="62">
        <f ca="1">AVERAGE(OFFSET($BH$3,0,0,'Données projet'!$E$11+1,1))-AVERAGE(OFFSET($H$3,0,0,'Données projet'!$E$11+1,1))</f>
        <v>357.76044008074308</v>
      </c>
      <c r="BJ156" s="62">
        <f t="shared" si="146"/>
        <v>224.26555772810445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98.252286400798653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98.252286400798653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6.8212102632969618E-13</v>
      </c>
      <c r="BZ156" s="14">
        <f>BY156*VLOOKUP('Données projet'!$B$12,Paramètres!$A$1:$I$89,3,0)*VLOOKUP('Données projet'!$B$12,Paramètres!$A$1:$I$89,5,0)</f>
        <v>4.5756678446196019E-13</v>
      </c>
      <c r="CA156" s="14">
        <f t="shared" si="170"/>
        <v>5.7587689306883675E-12</v>
      </c>
      <c r="CB156" s="22">
        <f t="shared" si="171"/>
        <v>1.0826784703886818E-11</v>
      </c>
      <c r="CC156" s="62">
        <f t="shared" si="119"/>
        <v>293.33333333334411</v>
      </c>
      <c r="CD156" s="62">
        <f ca="1">AVERAGE(OFFSET($CC$3,0,0,'Données projet'!$E$12+1,1))-AVERAGE(OFFSET($H$3,0,0,'Données projet'!$E$12+1,1))</f>
        <v>222.86701323374945</v>
      </c>
      <c r="CE156" s="62">
        <f t="shared" si="148"/>
        <v>149.63671045240511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83.989857729714984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83.989857729714984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8.5265128291212022E-14</v>
      </c>
      <c r="CU156" s="18">
        <f>CT156*VLOOKUP('Données projet'!$B$13,Paramètres!$A$1:$I$89,3,0)*VLOOKUP('Données projet'!$B$13,Paramètres!$A$1:$I$89,5,0)</f>
        <v>5.5865712056402117E-14</v>
      </c>
      <c r="CV156" s="14">
        <f t="shared" si="173"/>
        <v>8.9811031843713517E-13</v>
      </c>
      <c r="CW156" s="22">
        <f t="shared" si="174"/>
        <v>1.6615082531095774E-12</v>
      </c>
      <c r="CX156" s="62">
        <f t="shared" si="122"/>
        <v>293.33333333333496</v>
      </c>
      <c r="CY156" s="62">
        <f ca="1">AVERAGE(OFFSET($CX$3,0,0,'Données projet'!$E$13+1,1))-AVERAGE(OFFSET($H$3,0,0,'Données projet'!$E$13+1,1))</f>
        <v>173.15672762188746</v>
      </c>
      <c r="CZ156" s="62">
        <f t="shared" si="150"/>
        <v>208.54841796921414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23.653111241974603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23.653111241974603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269.18638759204373</v>
      </c>
      <c r="EP156" s="62">
        <f t="shared" si="154"/>
        <v>197.07126167823969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47.555992199806518</v>
      </c>
      <c r="EW156" s="23">
        <f>EXP(-LN(2)/25)*EW155+(1-EXP(-LN(2)/25))/(LN(2)/25)*Calculateur!ER156*Calculateur!ET156*VLOOKUP('Données projet'!$B$15,Paramètres!$A$1:$I$89,3,0)*0.475*44/12</f>
        <v>4.1689004527716103</v>
      </c>
      <c r="EX156" s="23">
        <f>EXP(-LN(2)/2)*EX155+(1-EXP(-LN(2)/2))/(LN(2)/2)*ER156*EU156*VLOOKUP('Données projet'!$B$15,Paramètres!$A$1:$I$89,3,0)*0.475*44/12</f>
        <v>3.2742756643179994E-10</v>
      </c>
      <c r="EY156" s="24">
        <f t="shared" si="181"/>
        <v>51.724892652905552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1.1368683772161603E-13</v>
      </c>
      <c r="FF156" s="18">
        <f>FE156*VLOOKUP('Données projet'!$B$16,Paramètres!$A$1:$I$89,3,0)*VLOOKUP('Données projet'!$B$16,Paramètres!$A$1:$I$89,5,0)</f>
        <v>6.7984728957526396E-14</v>
      </c>
      <c r="FG156" s="14">
        <f t="shared" si="182"/>
        <v>1.0682447123141398E-12</v>
      </c>
      <c r="FH156" s="22">
        <f t="shared" si="183"/>
        <v>1.978932943548152E-12</v>
      </c>
      <c r="FI156" s="62">
        <f t="shared" si="131"/>
        <v>293.3333333333353</v>
      </c>
      <c r="FJ156" s="62">
        <f ca="1">AVERAGE(OFFSET($FI$3,0,0,'Données projet'!$E$16+1,1))-AVERAGE(OFFSET($H$3,0,0,'Données projet'!$E$16+1,1))</f>
        <v>330.48891719033065</v>
      </c>
      <c r="FK156" s="62">
        <f t="shared" si="156"/>
        <v>419.35494198427284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33.698875376079449</v>
      </c>
      <c r="FR156" s="23">
        <f>EXP(-LN(2)/25)*FR155+(1-EXP(-LN(2)/25))/(LN(2)/25)*Calculateur!FM156*Calculateur!FO156*VLOOKUP('Données projet'!$B$16,Paramètres!$A$1:$I$89,3,0)*0.475*44/12</f>
        <v>2.726554290747853</v>
      </c>
      <c r="FS156" s="23">
        <f>EXP(-LN(2)/2)*FS155+(1-EXP(-LN(2)/2))/(LN(2)/2)*FM156*FP156*VLOOKUP('Données projet'!$B$16,Paramètres!$A$1:$I$89,3,0)*0.475*44/12</f>
        <v>8.7268333083120551E-14</v>
      </c>
      <c r="FT156" s="24">
        <f t="shared" si="184"/>
        <v>36.425429666827391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>
        <f>FZ156*VLOOKUP('Données projet'!$B$17,Paramètres!$A$1:$I$89,3,0)*VLOOKUP('Données projet'!$B$17,Paramètres!$A$1:$I$89,5,0)</f>
        <v>0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132.18258156780018</v>
      </c>
      <c r="GF156" s="62">
        <f t="shared" si="158"/>
        <v>315.58133946947294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3.7960953120031742</v>
      </c>
      <c r="GM156" s="23">
        <f>EXP(-LN(2)/25)*GM155+(1-EXP(-LN(2)/25))/(LN(2)/25)*Calculateur!GH156*Calculateur!GJ156*VLOOKUP('Données projet'!$B$17,Paramètres!$A$1:$I$89,3,0)*0.475*44/12</f>
        <v>0.61288826701037813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4.4089835790135528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9">
        <f t="shared" si="110"/>
        <v>557.1584516762224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>
        <f>VLOOKUP(A157,'Données projet'!$A$35:$I$55,2,0)</f>
        <v>490.47</v>
      </c>
      <c r="L157" s="13">
        <f>VLOOKUP(A157,'Données projet'!$A$35:$I$55,9,0)</f>
        <v>8.3249999999999993</v>
      </c>
      <c r="M157" s="13">
        <f t="array" ref="M157">INDEX(L:L,MIN(IF(ISNUMBER(L157:L353),ROW(L157:L353),"")))</f>
        <v>8.3249999999999993</v>
      </c>
      <c r="N157" s="14">
        <f>IF('Données projet'!$A$36&gt;35,N156+M157-V156,IF(A157&lt;'Données projet'!$A$36,$K$205^A157,IF(A157='Données projet'!$A$36,'Données projet'!$B$36,N156+M157-V156)))</f>
        <v>490.47000000000048</v>
      </c>
      <c r="O157" s="14">
        <f>N157*VLOOKUP('Données projet'!$B$9,Paramètres!$A$1:$I$89,3,0)*VLOOKUP('Données projet'!$B$9,Paramètres!$A$1:$I$89,5,0)</f>
        <v>443.77725600000048</v>
      </c>
      <c r="P157" s="14">
        <f t="shared" si="141"/>
        <v>100.59747837627934</v>
      </c>
      <c r="Q157" s="22">
        <f t="shared" si="162"/>
        <v>948.11932903868717</v>
      </c>
      <c r="R157" s="62">
        <f t="shared" si="109"/>
        <v>1241.4526623720205</v>
      </c>
      <c r="S157" s="62">
        <f ca="1">AVERAGE(OFFSET($R$3,0,0,'Données projet'!$E$9+1,1))-AVERAGE(OFFSET($H$3,0,0,'Données projet'!$E$9+1,1))</f>
        <v>401.86262166363821</v>
      </c>
      <c r="T157" s="62">
        <f t="shared" si="142"/>
        <v>208.60314230781432</v>
      </c>
      <c r="U157" s="16">
        <f>IF(ISNA(VLOOKUP(A157,'Données projet'!$A$35:$I$55,3,0)),0,VLOOKUP(A157,'Données projet'!$A$35:$I$55,3,0))</f>
        <v>13</v>
      </c>
      <c r="V157" s="16">
        <f>IF(ISNA(VLOOKUP(A157,'Données projet'!$A$35:$I$55,4,0)),0,VLOOKUP(A157,'Données projet'!$A$35:$I$55,4,0))</f>
        <v>55.13</v>
      </c>
      <c r="W157" s="17">
        <f>IF(ISNA(VLOOKUP(A157,'Données projet'!$A$35:$I$55,5,0)),0%,VLOOKUP(A157,'Données projet'!$A$35:$I$55,5,0)*VLOOKUP('Données projet'!$B$9,Paramètres!$A$1:$I$89,7,0))</f>
        <v>0.30099999999999999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72.525129289569833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72.525129289569833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6.8212102632969618E-13</v>
      </c>
      <c r="AJ157" s="14">
        <f>AI157*VLOOKUP('Données projet'!$B$10,Paramètres!$A$1:$I$89,3,0)*VLOOKUP('Données projet'!$B$10,Paramètres!$A$1:$I$89,5,0)</f>
        <v>7.3423507274128498E-13</v>
      </c>
      <c r="AK157" s="14">
        <f t="shared" si="164"/>
        <v>8.7458894232577541E-12</v>
      </c>
      <c r="AL157" s="22">
        <f t="shared" si="165"/>
        <v>1.6511216830531657E-11</v>
      </c>
      <c r="AM157" s="62">
        <f t="shared" si="113"/>
        <v>293.3333333333498</v>
      </c>
      <c r="AN157" s="62">
        <f ca="1">AVERAGE(OFFSET($AM$3,0,0,'Données projet'!$E$10+1,1))-AVERAGE(OFFSET($H$3,0,0,'Données projet'!$E$10+1,1))</f>
        <v>407.22515465568205</v>
      </c>
      <c r="AO157" s="62">
        <f t="shared" si="144"/>
        <v>251.6218558398258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107.20109210450778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107.20109210450778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6.8212102632969618E-13</v>
      </c>
      <c r="BE157" s="14">
        <f>BD157*VLOOKUP('Données projet'!$B$11,Paramètres!$A$1:$I$89,3,0)*VLOOKUP('Données projet'!$B$11,Paramètres!$A$1:$I$89,5,0)</f>
        <v>6.5974745666608208E-13</v>
      </c>
      <c r="BF157" s="14">
        <f t="shared" si="167"/>
        <v>7.9570891233345703E-12</v>
      </c>
      <c r="BG157" s="22">
        <f t="shared" si="168"/>
        <v>1.5007657043501137E-11</v>
      </c>
      <c r="BH157" s="62">
        <f t="shared" si="116"/>
        <v>293.33333333334832</v>
      </c>
      <c r="BI157" s="62">
        <f ca="1">AVERAGE(OFFSET($BH$3,0,0,'Données projet'!$E$11+1,1))-AVERAGE(OFFSET($H$3,0,0,'Données projet'!$E$11+1,1))</f>
        <v>357.76044008074308</v>
      </c>
      <c r="BJ157" s="62">
        <f t="shared" si="146"/>
        <v>224.26555772810445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96.325618992456299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96.325618992456299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6.8212102632969618E-13</v>
      </c>
      <c r="BZ157" s="14">
        <f>BY157*VLOOKUP('Données projet'!$B$12,Paramètres!$A$1:$I$89,3,0)*VLOOKUP('Données projet'!$B$12,Paramètres!$A$1:$I$89,5,0)</f>
        <v>4.5756678446196019E-13</v>
      </c>
      <c r="CA157" s="14">
        <f t="shared" si="170"/>
        <v>5.7587689306883675E-12</v>
      </c>
      <c r="CB157" s="22">
        <f t="shared" si="171"/>
        <v>1.0826784703886818E-11</v>
      </c>
      <c r="CC157" s="62">
        <f t="shared" si="119"/>
        <v>293.33333333334411</v>
      </c>
      <c r="CD157" s="62">
        <f ca="1">AVERAGE(OFFSET($CC$3,0,0,'Données projet'!$E$12+1,1))-AVERAGE(OFFSET($H$3,0,0,'Données projet'!$E$12+1,1))</f>
        <v>222.86701323374945</v>
      </c>
      <c r="CE157" s="62">
        <f t="shared" si="148"/>
        <v>149.63671045240511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82.342867848390071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82.342867848390071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8.5265128291212022E-14</v>
      </c>
      <c r="CU157" s="18">
        <f>CT157*VLOOKUP('Données projet'!$B$13,Paramètres!$A$1:$I$89,3,0)*VLOOKUP('Données projet'!$B$13,Paramètres!$A$1:$I$89,5,0)</f>
        <v>5.5865712056402117E-14</v>
      </c>
      <c r="CV157" s="14">
        <f t="shared" si="173"/>
        <v>8.9811031843713517E-13</v>
      </c>
      <c r="CW157" s="22">
        <f t="shared" si="174"/>
        <v>1.6615082531095774E-12</v>
      </c>
      <c r="CX157" s="62">
        <f t="shared" si="122"/>
        <v>293.33333333333496</v>
      </c>
      <c r="CY157" s="62">
        <f ca="1">AVERAGE(OFFSET($CX$3,0,0,'Données projet'!$E$13+1,1))-AVERAGE(OFFSET($H$3,0,0,'Données projet'!$E$13+1,1))</f>
        <v>173.15672762188746</v>
      </c>
      <c r="CZ157" s="62">
        <f t="shared" si="150"/>
        <v>208.54841796921414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23.189288157492793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23.189288157492793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269.18638759204373</v>
      </c>
      <c r="EP157" s="62">
        <f t="shared" si="154"/>
        <v>197.07126167823969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46.623448199059418</v>
      </c>
      <c r="EW157" s="23">
        <f>EXP(-LN(2)/25)*EW156+(1-EXP(-LN(2)/25))/(LN(2)/25)*Calculateur!ER157*Calculateur!ET157*VLOOKUP('Données projet'!$B$15,Paramètres!$A$1:$I$89,3,0)*0.475*44/12</f>
        <v>4.0549016506576239</v>
      </c>
      <c r="EX157" s="23">
        <f>EXP(-LN(2)/2)*EX156+(1-EXP(-LN(2)/2))/(LN(2)/2)*ER157*EU157*VLOOKUP('Données projet'!$B$15,Paramètres!$A$1:$I$89,3,0)*0.475*44/12</f>
        <v>2.3152625257133454E-10</v>
      </c>
      <c r="EY157" s="24">
        <f t="shared" si="181"/>
        <v>50.678349849948567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1.1368683772161603E-13</v>
      </c>
      <c r="FF157" s="18">
        <f>FE157*VLOOKUP('Données projet'!$B$16,Paramètres!$A$1:$I$89,3,0)*VLOOKUP('Données projet'!$B$16,Paramètres!$A$1:$I$89,5,0)</f>
        <v>6.7984728957526396E-14</v>
      </c>
      <c r="FG157" s="14">
        <f t="shared" si="182"/>
        <v>1.0682447123141398E-12</v>
      </c>
      <c r="FH157" s="22">
        <f t="shared" si="183"/>
        <v>1.978932943548152E-12</v>
      </c>
      <c r="FI157" s="62">
        <f t="shared" si="131"/>
        <v>293.3333333333353</v>
      </c>
      <c r="FJ157" s="62">
        <f ca="1">AVERAGE(OFFSET($FI$3,0,0,'Données projet'!$E$16+1,1))-AVERAGE(OFFSET($H$3,0,0,'Données projet'!$E$16+1,1))</f>
        <v>330.48891719033065</v>
      </c>
      <c r="FK157" s="62">
        <f t="shared" si="156"/>
        <v>419.35494198427284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33.038060984238946</v>
      </c>
      <c r="FR157" s="23">
        <f>EXP(-LN(2)/25)*FR156+(1-EXP(-LN(2)/25))/(LN(2)/25)*Calculateur!FM157*Calculateur!FO157*VLOOKUP('Données projet'!$B$16,Paramètres!$A$1:$I$89,3,0)*0.475*44/12</f>
        <v>2.6519965202840945</v>
      </c>
      <c r="FS157" s="23">
        <f>EXP(-LN(2)/2)*FS156+(1-EXP(-LN(2)/2))/(LN(2)/2)*FM157*FP157*VLOOKUP('Données projet'!$B$16,Paramètres!$A$1:$I$89,3,0)*0.475*44/12</f>
        <v>6.1708030105920869E-14</v>
      </c>
      <c r="FT157" s="24">
        <f t="shared" si="184"/>
        <v>35.690057504523104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>
        <f>FZ157*VLOOKUP('Données projet'!$B$17,Paramètres!$A$1:$I$89,3,0)*VLOOKUP('Données projet'!$B$17,Paramètres!$A$1:$I$89,5,0)</f>
        <v>0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132.18258156780018</v>
      </c>
      <c r="GF157" s="62">
        <f t="shared" si="158"/>
        <v>315.58133946947294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3.7216561983243066</v>
      </c>
      <c r="GM157" s="23">
        <f>EXP(-LN(2)/25)*GM156+(1-EXP(-LN(2)/25))/(LN(2)/25)*Calculateur!GH157*Calculateur!GJ157*VLOOKUP('Données projet'!$B$17,Paramètres!$A$1:$I$89,3,0)*0.475*44/12</f>
        <v>0.59612880511858612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4.3177850034428928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9">
        <f t="shared" si="110"/>
        <v>559.06270548747648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8.4429999999999943</v>
      </c>
      <c r="N158" s="14">
        <f>IF('Données projet'!$A$36&gt;35,N157+M158-V157,IF(A158&lt;'Données projet'!$A$36,$K$205^A158,IF(A158='Données projet'!$A$36,'Données projet'!$B$36,N157+M158-V157)))</f>
        <v>443.78300000000047</v>
      </c>
      <c r="O158" s="14">
        <f>N158*VLOOKUP('Données projet'!$B$9,Paramètres!$A$1:$I$89,3,0)*VLOOKUP('Données projet'!$B$9,Paramètres!$A$1:$I$89,5,0)</f>
        <v>401.53485840000047</v>
      </c>
      <c r="P158" s="14">
        <f t="shared" si="141"/>
        <v>92.087764815279797</v>
      </c>
      <c r="Q158" s="22">
        <f t="shared" si="162"/>
        <v>859.72606876661303</v>
      </c>
      <c r="R158" s="62">
        <f t="shared" si="109"/>
        <v>1153.0594020999463</v>
      </c>
      <c r="S158" s="62">
        <f ca="1">AVERAGE(OFFSET($R$3,0,0,'Données projet'!$E$9+1,1))-AVERAGE(OFFSET($H$3,0,0,'Données projet'!$E$9+1,1))</f>
        <v>401.86262166363821</v>
      </c>
      <c r="T158" s="62">
        <f t="shared" si="142"/>
        <v>208.60314230781432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71.102955740162301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71.102955740162301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6.8212102632969618E-13</v>
      </c>
      <c r="AJ158" s="14">
        <f>AI158*VLOOKUP('Données projet'!$B$10,Paramètres!$A$1:$I$89,3,0)*VLOOKUP('Données projet'!$B$10,Paramètres!$A$1:$I$89,5,0)</f>
        <v>7.3423507274128498E-13</v>
      </c>
      <c r="AK158" s="14">
        <f t="shared" si="164"/>
        <v>8.7458894232577541E-12</v>
      </c>
      <c r="AL158" s="22">
        <f t="shared" si="165"/>
        <v>1.6511216830531657E-11</v>
      </c>
      <c r="AM158" s="62">
        <f t="shared" si="113"/>
        <v>293.3333333333498</v>
      </c>
      <c r="AN158" s="62">
        <f ca="1">AVERAGE(OFFSET($AM$3,0,0,'Données projet'!$E$10+1,1))-AVERAGE(OFFSET($H$3,0,0,'Données projet'!$E$10+1,1))</f>
        <v>407.22515465568205</v>
      </c>
      <c r="AO158" s="62">
        <f t="shared" si="144"/>
        <v>251.6218558398258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105.09894407454821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105.09894407454821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6.8212102632969618E-13</v>
      </c>
      <c r="BE158" s="14">
        <f>BD158*VLOOKUP('Données projet'!$B$11,Paramètres!$A$1:$I$89,3,0)*VLOOKUP('Données projet'!$B$11,Paramètres!$A$1:$I$89,5,0)</f>
        <v>6.5974745666608208E-13</v>
      </c>
      <c r="BF158" s="14">
        <f t="shared" si="167"/>
        <v>7.9570891233345703E-12</v>
      </c>
      <c r="BG158" s="22">
        <f t="shared" si="168"/>
        <v>1.5007657043501137E-11</v>
      </c>
      <c r="BH158" s="62">
        <f t="shared" si="116"/>
        <v>293.33333333334832</v>
      </c>
      <c r="BI158" s="62">
        <f ca="1">AVERAGE(OFFSET($BH$3,0,0,'Données projet'!$E$11+1,1))-AVERAGE(OFFSET($H$3,0,0,'Données projet'!$E$11+1,1))</f>
        <v>357.76044008074308</v>
      </c>
      <c r="BJ158" s="62">
        <f t="shared" si="146"/>
        <v>224.26555772810445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94.436732356840452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94.436732356840452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6.8212102632969618E-13</v>
      </c>
      <c r="BZ158" s="14">
        <f>BY158*VLOOKUP('Données projet'!$B$12,Paramètres!$A$1:$I$89,3,0)*VLOOKUP('Données projet'!$B$12,Paramètres!$A$1:$I$89,5,0)</f>
        <v>4.5756678446196019E-13</v>
      </c>
      <c r="CA158" s="14">
        <f t="shared" si="170"/>
        <v>5.7587689306883675E-12</v>
      </c>
      <c r="CB158" s="22">
        <f t="shared" si="171"/>
        <v>1.0826784703886818E-11</v>
      </c>
      <c r="CC158" s="62">
        <f t="shared" si="119"/>
        <v>293.33333333334411</v>
      </c>
      <c r="CD158" s="62">
        <f ca="1">AVERAGE(OFFSET($CC$3,0,0,'Données projet'!$E$12+1,1))-AVERAGE(OFFSET($H$3,0,0,'Données projet'!$E$12+1,1))</f>
        <v>222.86701323374945</v>
      </c>
      <c r="CE158" s="62">
        <f t="shared" si="148"/>
        <v>149.63671045240511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80.728174434073296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80.728174434073296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8.5265128291212022E-14</v>
      </c>
      <c r="CU158" s="18">
        <f>CT158*VLOOKUP('Données projet'!$B$13,Paramètres!$A$1:$I$89,3,0)*VLOOKUP('Données projet'!$B$13,Paramètres!$A$1:$I$89,5,0)</f>
        <v>5.5865712056402117E-14</v>
      </c>
      <c r="CV158" s="14">
        <f t="shared" si="173"/>
        <v>8.9811031843713517E-13</v>
      </c>
      <c r="CW158" s="22">
        <f t="shared" si="174"/>
        <v>1.6615082531095774E-12</v>
      </c>
      <c r="CX158" s="62">
        <f t="shared" si="122"/>
        <v>293.33333333333496</v>
      </c>
      <c r="CY158" s="62">
        <f ca="1">AVERAGE(OFFSET($CX$3,0,0,'Données projet'!$E$13+1,1))-AVERAGE(OFFSET($H$3,0,0,'Données projet'!$E$13+1,1))</f>
        <v>173.15672762188746</v>
      </c>
      <c r="CZ158" s="62">
        <f t="shared" si="150"/>
        <v>208.54841796921414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22.734560360793527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22.734560360793527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269.18638759204373</v>
      </c>
      <c r="EP158" s="62">
        <f t="shared" si="154"/>
        <v>197.07126167823969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45.709190817371294</v>
      </c>
      <c r="EW158" s="23">
        <f>EXP(-LN(2)/25)*EW157+(1-EXP(-LN(2)/25))/(LN(2)/25)*Calculateur!ER158*Calculateur!ET158*VLOOKUP('Données projet'!$B$15,Paramètres!$A$1:$I$89,3,0)*0.475*44/12</f>
        <v>3.944020151782381</v>
      </c>
      <c r="EX158" s="23">
        <f>EXP(-LN(2)/2)*EX157+(1-EXP(-LN(2)/2))/(LN(2)/2)*ER158*EU158*VLOOKUP('Données projet'!$B$15,Paramètres!$A$1:$I$89,3,0)*0.475*44/12</f>
        <v>1.637137832159E-10</v>
      </c>
      <c r="EY158" s="24">
        <f t="shared" si="181"/>
        <v>49.653210969317392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1.1368683772161603E-13</v>
      </c>
      <c r="FF158" s="18">
        <f>FE158*VLOOKUP('Données projet'!$B$16,Paramètres!$A$1:$I$89,3,0)*VLOOKUP('Données projet'!$B$16,Paramètres!$A$1:$I$89,5,0)</f>
        <v>6.7984728957526396E-14</v>
      </c>
      <c r="FG158" s="14">
        <f t="shared" si="182"/>
        <v>1.0682447123141398E-12</v>
      </c>
      <c r="FH158" s="22">
        <f t="shared" si="183"/>
        <v>1.978932943548152E-12</v>
      </c>
      <c r="FI158" s="62">
        <f t="shared" si="131"/>
        <v>293.3333333333353</v>
      </c>
      <c r="FJ158" s="62">
        <f ca="1">AVERAGE(OFFSET($FI$3,0,0,'Données projet'!$E$16+1,1))-AVERAGE(OFFSET($H$3,0,0,'Données projet'!$E$16+1,1))</f>
        <v>330.48891719033065</v>
      </c>
      <c r="FK158" s="62">
        <f t="shared" si="156"/>
        <v>419.35494198427284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32.390204759565449</v>
      </c>
      <c r="FR158" s="23">
        <f>EXP(-LN(2)/25)*FR157+(1-EXP(-LN(2)/25))/(LN(2)/25)*Calculateur!FM158*Calculateur!FO158*VLOOKUP('Données projet'!$B$16,Paramètres!$A$1:$I$89,3,0)*0.475*44/12</f>
        <v>2.5794775359744904</v>
      </c>
      <c r="FS158" s="23">
        <f>EXP(-LN(2)/2)*FS157+(1-EXP(-LN(2)/2))/(LN(2)/2)*FM158*FP158*VLOOKUP('Données projet'!$B$16,Paramètres!$A$1:$I$89,3,0)*0.475*44/12</f>
        <v>4.3634166541560276E-14</v>
      </c>
      <c r="FT158" s="24">
        <f t="shared" si="184"/>
        <v>34.969682295539982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>
        <f>FZ158*VLOOKUP('Données projet'!$B$17,Paramètres!$A$1:$I$89,3,0)*VLOOKUP('Données projet'!$B$17,Paramètres!$A$1:$I$89,5,0)</f>
        <v>0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132.18258156780018</v>
      </c>
      <c r="GF158" s="62">
        <f t="shared" si="158"/>
        <v>315.58133946947294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3.6486767902613053</v>
      </c>
      <c r="GM158" s="23">
        <f>EXP(-LN(2)/25)*GM157+(1-EXP(-LN(2)/25))/(LN(2)/25)*Calculateur!GH158*Calculateur!GJ158*VLOOKUP('Données projet'!$B$17,Paramètres!$A$1:$I$89,3,0)*0.475*44/12</f>
        <v>0.57982763159356698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4.228504421854872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9">
        <f t="shared" si="110"/>
        <v>560.96669238005484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8.4429999999999943</v>
      </c>
      <c r="N159" s="14">
        <f>IF('Données projet'!$A$36&gt;35,N158+M159-V158,IF(A159&lt;'Données projet'!$A$36,$K$205^A159,IF(A159='Données projet'!$A$36,'Données projet'!$B$36,N158+M159-V158)))</f>
        <v>452.22600000000045</v>
      </c>
      <c r="O159" s="14">
        <f>N159*VLOOKUP('Données projet'!$B$9,Paramètres!$A$1:$I$89,3,0)*VLOOKUP('Données projet'!$B$9,Paramètres!$A$1:$I$89,5,0)</f>
        <v>409.1740848000004</v>
      </c>
      <c r="P159" s="14">
        <f t="shared" si="141"/>
        <v>93.634108404325715</v>
      </c>
      <c r="Q159" s="22">
        <f t="shared" si="162"/>
        <v>875.72426983086791</v>
      </c>
      <c r="R159" s="62">
        <f t="shared" si="109"/>
        <v>1169.0576031642013</v>
      </c>
      <c r="S159" s="62">
        <f ca="1">AVERAGE(OFFSET($R$3,0,0,'Données projet'!$E$9+1,1))-AVERAGE(OFFSET($H$3,0,0,'Données projet'!$E$9+1,1))</f>
        <v>401.86262166363821</v>
      </c>
      <c r="T159" s="62">
        <f t="shared" si="142"/>
        <v>208.60314230781432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69.708670146618431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69.708670146618431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6.8212102632969618E-13</v>
      </c>
      <c r="AJ159" s="14">
        <f>AI159*VLOOKUP('Données projet'!$B$10,Paramètres!$A$1:$I$89,3,0)*VLOOKUP('Données projet'!$B$10,Paramètres!$A$1:$I$89,5,0)</f>
        <v>7.3423507274128498E-13</v>
      </c>
      <c r="AK159" s="14">
        <f t="shared" si="164"/>
        <v>8.7458894232577541E-12</v>
      </c>
      <c r="AL159" s="22">
        <f t="shared" si="165"/>
        <v>1.6511216830531657E-11</v>
      </c>
      <c r="AM159" s="62">
        <f t="shared" si="113"/>
        <v>293.3333333333498</v>
      </c>
      <c r="AN159" s="62">
        <f ca="1">AVERAGE(OFFSET($AM$3,0,0,'Données projet'!$E$10+1,1))-AVERAGE(OFFSET($H$3,0,0,'Données projet'!$E$10+1,1))</f>
        <v>407.22515465568205</v>
      </c>
      <c r="AO159" s="62">
        <f t="shared" si="144"/>
        <v>251.6218558398258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103.03801788527247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103.03801788527247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6.8212102632969618E-13</v>
      </c>
      <c r="BE159" s="14">
        <f>BD159*VLOOKUP('Données projet'!$B$11,Paramètres!$A$1:$I$89,3,0)*VLOOKUP('Données projet'!$B$11,Paramètres!$A$1:$I$89,5,0)</f>
        <v>6.5974745666608208E-13</v>
      </c>
      <c r="BF159" s="14">
        <f t="shared" si="167"/>
        <v>7.9570891233345703E-12</v>
      </c>
      <c r="BG159" s="22">
        <f t="shared" si="168"/>
        <v>1.5007657043501137E-11</v>
      </c>
      <c r="BH159" s="62">
        <f t="shared" si="116"/>
        <v>293.33333333334832</v>
      </c>
      <c r="BI159" s="62">
        <f ca="1">AVERAGE(OFFSET($BH$3,0,0,'Données projet'!$E$11+1,1))-AVERAGE(OFFSET($H$3,0,0,'Données projet'!$E$11+1,1))</f>
        <v>357.76044008074308</v>
      </c>
      <c r="BJ159" s="62">
        <f t="shared" si="146"/>
        <v>224.26555772810445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92.584885636041946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92.584885636041946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6.8212102632969618E-13</v>
      </c>
      <c r="BZ159" s="14">
        <f>BY159*VLOOKUP('Données projet'!$B$12,Paramètres!$A$1:$I$89,3,0)*VLOOKUP('Données projet'!$B$12,Paramètres!$A$1:$I$89,5,0)</f>
        <v>4.5756678446196019E-13</v>
      </c>
      <c r="CA159" s="14">
        <f t="shared" si="170"/>
        <v>5.7587689306883675E-12</v>
      </c>
      <c r="CB159" s="22">
        <f t="shared" si="171"/>
        <v>1.0826784703886818E-11</v>
      </c>
      <c r="CC159" s="62">
        <f t="shared" si="119"/>
        <v>293.33333333334411</v>
      </c>
      <c r="CD159" s="62">
        <f ca="1">AVERAGE(OFFSET($CC$3,0,0,'Données projet'!$E$12+1,1))-AVERAGE(OFFSET($H$3,0,0,'Données projet'!$E$12+1,1))</f>
        <v>222.86701323374945</v>
      </c>
      <c r="CE159" s="62">
        <f t="shared" si="148"/>
        <v>149.63671045240511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79.145144172745546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79.145144172745546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8.5265128291212022E-14</v>
      </c>
      <c r="CU159" s="18">
        <f>CT159*VLOOKUP('Données projet'!$B$13,Paramètres!$A$1:$I$89,3,0)*VLOOKUP('Données projet'!$B$13,Paramètres!$A$1:$I$89,5,0)</f>
        <v>5.5865712056402117E-14</v>
      </c>
      <c r="CV159" s="14">
        <f t="shared" si="173"/>
        <v>8.9811031843713517E-13</v>
      </c>
      <c r="CW159" s="22">
        <f t="shared" si="174"/>
        <v>1.6615082531095774E-12</v>
      </c>
      <c r="CX159" s="62">
        <f t="shared" si="122"/>
        <v>293.33333333333496</v>
      </c>
      <c r="CY159" s="62">
        <f ca="1">AVERAGE(OFFSET($CX$3,0,0,'Données projet'!$E$13+1,1))-AVERAGE(OFFSET($H$3,0,0,'Données projet'!$E$13+1,1))</f>
        <v>173.15672762188746</v>
      </c>
      <c r="CZ159" s="62">
        <f t="shared" si="150"/>
        <v>208.54841796921414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22.288749498830963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22.288749498830963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269.18638759204373</v>
      </c>
      <c r="EP159" s="62">
        <f t="shared" si="154"/>
        <v>197.07126167823969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44.812861465296137</v>
      </c>
      <c r="EW159" s="23">
        <f>EXP(-LN(2)/25)*EW158+(1-EXP(-LN(2)/25))/(LN(2)/25)*Calculateur!ER159*Calculateur!ET159*VLOOKUP('Données projet'!$B$15,Paramètres!$A$1:$I$89,3,0)*0.475*44/12</f>
        <v>3.8361707133248863</v>
      </c>
      <c r="EX159" s="23">
        <f>EXP(-LN(2)/2)*EX158+(1-EXP(-LN(2)/2))/(LN(2)/2)*ER159*EU159*VLOOKUP('Données projet'!$B$15,Paramètres!$A$1:$I$89,3,0)*0.475*44/12</f>
        <v>1.1576312628566728E-10</v>
      </c>
      <c r="EY159" s="24">
        <f t="shared" si="181"/>
        <v>48.649032178736789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1.1368683772161603E-13</v>
      </c>
      <c r="FF159" s="18">
        <f>FE159*VLOOKUP('Données projet'!$B$16,Paramètres!$A$1:$I$89,3,0)*VLOOKUP('Données projet'!$B$16,Paramètres!$A$1:$I$89,5,0)</f>
        <v>6.7984728957526396E-14</v>
      </c>
      <c r="FG159" s="14">
        <f t="shared" si="182"/>
        <v>1.0682447123141398E-12</v>
      </c>
      <c r="FH159" s="22">
        <f t="shared" si="183"/>
        <v>1.978932943548152E-12</v>
      </c>
      <c r="FI159" s="62">
        <f t="shared" si="131"/>
        <v>293.3333333333353</v>
      </c>
      <c r="FJ159" s="62">
        <f ca="1">AVERAGE(OFFSET($FI$3,0,0,'Données projet'!$E$16+1,1))-AVERAGE(OFFSET($H$3,0,0,'Données projet'!$E$16+1,1))</f>
        <v>330.48891719033065</v>
      </c>
      <c r="FK159" s="62">
        <f t="shared" si="156"/>
        <v>419.35494198427284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31.755052600304523</v>
      </c>
      <c r="FR159" s="23">
        <f>EXP(-LN(2)/25)*FR158+(1-EXP(-LN(2)/25))/(LN(2)/25)*Calculateur!FM159*Calculateur!FO159*VLOOKUP('Données projet'!$B$16,Paramètres!$A$1:$I$89,3,0)*0.475*44/12</f>
        <v>2.5089415871044398</v>
      </c>
      <c r="FS159" s="23">
        <f>EXP(-LN(2)/2)*FS158+(1-EXP(-LN(2)/2))/(LN(2)/2)*FM159*FP159*VLOOKUP('Données projet'!$B$16,Paramètres!$A$1:$I$89,3,0)*0.475*44/12</f>
        <v>3.0854015052960435E-14</v>
      </c>
      <c r="FT159" s="24">
        <f t="shared" si="184"/>
        <v>34.26399418740899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>
        <f>FZ159*VLOOKUP('Données projet'!$B$17,Paramètres!$A$1:$I$89,3,0)*VLOOKUP('Données projet'!$B$17,Paramètres!$A$1:$I$89,5,0)</f>
        <v>0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132.18258156780018</v>
      </c>
      <c r="GF159" s="62">
        <f t="shared" si="158"/>
        <v>315.58133946947294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3.5771284638773762</v>
      </c>
      <c r="GM159" s="23">
        <f>EXP(-LN(2)/25)*GM158+(1-EXP(-LN(2)/25))/(LN(2)/25)*Calculateur!GH159*Calculateur!GJ159*VLOOKUP('Données projet'!$B$17,Paramètres!$A$1:$I$89,3,0)*0.475*44/12</f>
        <v>0.56397221451583102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4.1411006783932072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9">
        <f t="shared" si="110"/>
        <v>562.8704142634507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8.4429999999999943</v>
      </c>
      <c r="N160" s="14">
        <f>IF('Données projet'!$A$36&gt;35,N159+M160-V159,IF(A160&lt;'Données projet'!$A$36,$K$205^A160,IF(A160='Données projet'!$A$36,'Données projet'!$B$36,N159+M160-V159)))</f>
        <v>460.66900000000044</v>
      </c>
      <c r="O160" s="14">
        <f>N160*VLOOKUP('Données projet'!$B$9,Paramètres!$A$1:$I$89,3,0)*VLOOKUP('Données projet'!$B$9,Paramètres!$A$1:$I$89,5,0)</f>
        <v>416.81331120000038</v>
      </c>
      <c r="P160" s="14">
        <f t="shared" si="141"/>
        <v>95.177094964322421</v>
      </c>
      <c r="Q160" s="22">
        <f t="shared" si="162"/>
        <v>891.71662406952885</v>
      </c>
      <c r="R160" s="62">
        <f t="shared" si="109"/>
        <v>1185.0499574028622</v>
      </c>
      <c r="S160" s="62">
        <f ca="1">AVERAGE(OFFSET($R$3,0,0,'Données projet'!$E$9+1,1))-AVERAGE(OFFSET($H$3,0,0,'Données projet'!$E$9+1,1))</f>
        <v>401.86262166363821</v>
      </c>
      <c r="T160" s="62">
        <f t="shared" si="142"/>
        <v>208.60314230781432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68.341725643133714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68.341725643133714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6.8212102632969618E-13</v>
      </c>
      <c r="AJ160" s="14">
        <f>AI160*VLOOKUP('Données projet'!$B$10,Paramètres!$A$1:$I$89,3,0)*VLOOKUP('Données projet'!$B$10,Paramètres!$A$1:$I$89,5,0)</f>
        <v>7.3423507274128498E-13</v>
      </c>
      <c r="AK160" s="14">
        <f t="shared" si="164"/>
        <v>8.7458894232577541E-12</v>
      </c>
      <c r="AL160" s="22">
        <f t="shared" si="165"/>
        <v>1.6511216830531657E-11</v>
      </c>
      <c r="AM160" s="62">
        <f t="shared" si="113"/>
        <v>293.3333333333498</v>
      </c>
      <c r="AN160" s="62">
        <f ca="1">AVERAGE(OFFSET($AM$3,0,0,'Données projet'!$E$10+1,1))-AVERAGE(OFFSET($H$3,0,0,'Données projet'!$E$10+1,1))</f>
        <v>407.22515465568205</v>
      </c>
      <c r="AO160" s="62">
        <f t="shared" si="144"/>
        <v>251.6218558398258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101.01750520152756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101.01750520152756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6.8212102632969618E-13</v>
      </c>
      <c r="BE160" s="14">
        <f>BD160*VLOOKUP('Données projet'!$B$11,Paramètres!$A$1:$I$89,3,0)*VLOOKUP('Données projet'!$B$11,Paramètres!$A$1:$I$89,5,0)</f>
        <v>6.5974745666608208E-13</v>
      </c>
      <c r="BF160" s="14">
        <f t="shared" si="167"/>
        <v>7.9570891233345703E-12</v>
      </c>
      <c r="BG160" s="22">
        <f t="shared" si="168"/>
        <v>1.5007657043501137E-11</v>
      </c>
      <c r="BH160" s="62">
        <f t="shared" si="116"/>
        <v>293.33333333334832</v>
      </c>
      <c r="BI160" s="62">
        <f ca="1">AVERAGE(OFFSET($BH$3,0,0,'Données projet'!$E$11+1,1))-AVERAGE(OFFSET($H$3,0,0,'Données projet'!$E$11+1,1))</f>
        <v>357.76044008074308</v>
      </c>
      <c r="BJ160" s="62">
        <f t="shared" si="146"/>
        <v>224.26555772810445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90.769352499923329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90.769352499923329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6.8212102632969618E-13</v>
      </c>
      <c r="BZ160" s="14">
        <f>BY160*VLOOKUP('Données projet'!$B$12,Paramètres!$A$1:$I$89,3,0)*VLOOKUP('Données projet'!$B$12,Paramètres!$A$1:$I$89,5,0)</f>
        <v>4.5756678446196019E-13</v>
      </c>
      <c r="CA160" s="14">
        <f t="shared" si="170"/>
        <v>5.7587689306883675E-12</v>
      </c>
      <c r="CB160" s="22">
        <f t="shared" si="171"/>
        <v>1.0826784703886818E-11</v>
      </c>
      <c r="CC160" s="62">
        <f t="shared" si="119"/>
        <v>293.33333333334411</v>
      </c>
      <c r="CD160" s="62">
        <f ca="1">AVERAGE(OFFSET($CC$3,0,0,'Données projet'!$E$12+1,1))-AVERAGE(OFFSET($H$3,0,0,'Données projet'!$E$12+1,1))</f>
        <v>222.86701323374945</v>
      </c>
      <c r="CE160" s="62">
        <f t="shared" si="148"/>
        <v>149.63671045240511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77.593156169289315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77.593156169289315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8.5265128291212022E-14</v>
      </c>
      <c r="CU160" s="18">
        <f>CT160*VLOOKUP('Données projet'!$B$13,Paramètres!$A$1:$I$89,3,0)*VLOOKUP('Données projet'!$B$13,Paramètres!$A$1:$I$89,5,0)</f>
        <v>5.5865712056402117E-14</v>
      </c>
      <c r="CV160" s="14">
        <f t="shared" si="173"/>
        <v>8.9811031843713517E-13</v>
      </c>
      <c r="CW160" s="22">
        <f t="shared" si="174"/>
        <v>1.6615082531095774E-12</v>
      </c>
      <c r="CX160" s="62">
        <f t="shared" si="122"/>
        <v>293.33333333333496</v>
      </c>
      <c r="CY160" s="62">
        <f ca="1">AVERAGE(OFFSET($CX$3,0,0,'Données projet'!$E$13+1,1))-AVERAGE(OFFSET($H$3,0,0,'Données projet'!$E$13+1,1))</f>
        <v>173.15672762188746</v>
      </c>
      <c r="CZ160" s="62">
        <f t="shared" si="150"/>
        <v>208.54841796921414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21.851680715953709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21.851680715953709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269.18638759204373</v>
      </c>
      <c r="EP160" s="62">
        <f t="shared" si="154"/>
        <v>197.07126167823969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43.934108585108248</v>
      </c>
      <c r="EW160" s="23">
        <f>EXP(-LN(2)/25)*EW159+(1-EXP(-LN(2)/25))/(LN(2)/25)*Calculateur!ER160*Calculateur!ET160*VLOOKUP('Données projet'!$B$15,Paramètres!$A$1:$I$89,3,0)*0.475*44/12</f>
        <v>3.7312704234335672</v>
      </c>
      <c r="EX160" s="23">
        <f>EXP(-LN(2)/2)*EX159+(1-EXP(-LN(2)/2))/(LN(2)/2)*ER160*EU160*VLOOKUP('Données projet'!$B$15,Paramètres!$A$1:$I$89,3,0)*0.475*44/12</f>
        <v>8.1856891607950011E-11</v>
      </c>
      <c r="EY160" s="24">
        <f t="shared" si="181"/>
        <v>47.665379008623667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1.1368683772161603E-13</v>
      </c>
      <c r="FF160" s="18">
        <f>FE160*VLOOKUP('Données projet'!$B$16,Paramètres!$A$1:$I$89,3,0)*VLOOKUP('Données projet'!$B$16,Paramètres!$A$1:$I$89,5,0)</f>
        <v>6.7984728957526396E-14</v>
      </c>
      <c r="FG160" s="14">
        <f t="shared" si="182"/>
        <v>1.0682447123141398E-12</v>
      </c>
      <c r="FH160" s="22">
        <f t="shared" si="183"/>
        <v>1.978932943548152E-12</v>
      </c>
      <c r="FI160" s="62">
        <f t="shared" si="131"/>
        <v>293.3333333333353</v>
      </c>
      <c r="FJ160" s="62">
        <f ca="1">AVERAGE(OFFSET($FI$3,0,0,'Données projet'!$E$16+1,1))-AVERAGE(OFFSET($H$3,0,0,'Données projet'!$E$16+1,1))</f>
        <v>330.48891719033065</v>
      </c>
      <c r="FK160" s="62">
        <f t="shared" si="156"/>
        <v>419.35494198427284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31.132355387482139</v>
      </c>
      <c r="FR160" s="23">
        <f>EXP(-LN(2)/25)*FR159+(1-EXP(-LN(2)/25))/(LN(2)/25)*Calculateur!FM160*Calculateur!FO160*VLOOKUP('Données projet'!$B$16,Paramètres!$A$1:$I$89,3,0)*0.475*44/12</f>
        <v>2.440334447465565</v>
      </c>
      <c r="FS160" s="23">
        <f>EXP(-LN(2)/2)*FS159+(1-EXP(-LN(2)/2))/(LN(2)/2)*FM160*FP160*VLOOKUP('Données projet'!$B$16,Paramètres!$A$1:$I$89,3,0)*0.475*44/12</f>
        <v>2.1817083270780138E-14</v>
      </c>
      <c r="FT160" s="24">
        <f t="shared" si="184"/>
        <v>33.572689834947724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>
        <f>FZ160*VLOOKUP('Données projet'!$B$17,Paramètres!$A$1:$I$89,3,0)*VLOOKUP('Données projet'!$B$17,Paramètres!$A$1:$I$89,5,0)</f>
        <v>0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132.18258156780018</v>
      </c>
      <c r="GF160" s="62">
        <f t="shared" si="158"/>
        <v>315.58133946947294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3.5069831565336655</v>
      </c>
      <c r="GM160" s="23">
        <f>EXP(-LN(2)/25)*GM159+(1-EXP(-LN(2)/25))/(LN(2)/25)*Calculateur!GH160*Calculateur!GJ160*VLOOKUP('Données projet'!$B$17,Paramètres!$A$1:$I$89,3,0)*0.475*44/12</f>
        <v>0.54855036465188578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4.0555335211855512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9">
        <f t="shared" si="110"/>
        <v>564.77387302142597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8.4429999999999943</v>
      </c>
      <c r="N161" s="14">
        <f>IF('Données projet'!$A$36&gt;35,N160+M161-V160,IF(A161&lt;'Données projet'!$A$36,$K$205^A161,IF(A161='Données projet'!$A$36,'Données projet'!$B$36,N160+M161-V160)))</f>
        <v>469.11200000000042</v>
      </c>
      <c r="O161" s="14">
        <f>N161*VLOOKUP('Données projet'!$B$9,Paramètres!$A$1:$I$89,3,0)*VLOOKUP('Données projet'!$B$9,Paramètres!$A$1:$I$89,5,0)</f>
        <v>424.45253760000043</v>
      </c>
      <c r="P161" s="14">
        <f t="shared" si="141"/>
        <v>96.716793118095666</v>
      </c>
      <c r="Q161" s="22">
        <f t="shared" si="162"/>
        <v>907.70325100068385</v>
      </c>
      <c r="R161" s="62">
        <f t="shared" si="109"/>
        <v>1201.0365843340171</v>
      </c>
      <c r="S161" s="62">
        <f ca="1">AVERAGE(OFFSET($R$3,0,0,'Données projet'!$E$9+1,1))-AVERAGE(OFFSET($H$3,0,0,'Données projet'!$E$9+1,1))</f>
        <v>401.86262166363821</v>
      </c>
      <c r="T161" s="62">
        <f t="shared" si="142"/>
        <v>208.60314230781432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67.001586087608516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67.001586087608516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6.8212102632969618E-13</v>
      </c>
      <c r="AJ161" s="14">
        <f>AI161*VLOOKUP('Données projet'!$B$10,Paramètres!$A$1:$I$89,3,0)*VLOOKUP('Données projet'!$B$10,Paramètres!$A$1:$I$89,5,0)</f>
        <v>7.3423507274128498E-13</v>
      </c>
      <c r="AK161" s="14">
        <f t="shared" si="164"/>
        <v>8.7458894232577541E-12</v>
      </c>
      <c r="AL161" s="22">
        <f t="shared" si="165"/>
        <v>1.6511216830531657E-11</v>
      </c>
      <c r="AM161" s="62">
        <f t="shared" si="113"/>
        <v>293.3333333333498</v>
      </c>
      <c r="AN161" s="62">
        <f ca="1">AVERAGE(OFFSET($AM$3,0,0,'Données projet'!$E$10+1,1))-AVERAGE(OFFSET($H$3,0,0,'Données projet'!$E$10+1,1))</f>
        <v>407.22515465568205</v>
      </c>
      <c r="AO161" s="62">
        <f t="shared" si="144"/>
        <v>251.6218558398258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99.036613539119841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99.036613539119841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6.8212102632969618E-13</v>
      </c>
      <c r="BE161" s="14">
        <f>BD161*VLOOKUP('Données projet'!$B$11,Paramètres!$A$1:$I$89,3,0)*VLOOKUP('Données projet'!$B$11,Paramètres!$A$1:$I$89,5,0)</f>
        <v>6.5974745666608208E-13</v>
      </c>
      <c r="BF161" s="14">
        <f t="shared" si="167"/>
        <v>7.9570891233345703E-12</v>
      </c>
      <c r="BG161" s="22">
        <f t="shared" si="168"/>
        <v>1.5007657043501137E-11</v>
      </c>
      <c r="BH161" s="62">
        <f t="shared" si="116"/>
        <v>293.33333333334832</v>
      </c>
      <c r="BI161" s="62">
        <f ca="1">AVERAGE(OFFSET($BH$3,0,0,'Données projet'!$E$11+1,1))-AVERAGE(OFFSET($H$3,0,0,'Données projet'!$E$11+1,1))</f>
        <v>357.76044008074308</v>
      </c>
      <c r="BJ161" s="62">
        <f t="shared" si="146"/>
        <v>224.26555772810445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88.989420861238131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88.989420861238131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6.8212102632969618E-13</v>
      </c>
      <c r="BZ161" s="14">
        <f>BY161*VLOOKUP('Données projet'!$B$12,Paramètres!$A$1:$I$89,3,0)*VLOOKUP('Données projet'!$B$12,Paramètres!$A$1:$I$89,5,0)</f>
        <v>4.5756678446196019E-13</v>
      </c>
      <c r="CA161" s="14">
        <f t="shared" si="170"/>
        <v>5.7587689306883675E-12</v>
      </c>
      <c r="CB161" s="22">
        <f t="shared" si="171"/>
        <v>1.0826784703886818E-11</v>
      </c>
      <c r="CC161" s="62">
        <f t="shared" si="119"/>
        <v>293.33333333334411</v>
      </c>
      <c r="CD161" s="62">
        <f ca="1">AVERAGE(OFFSET($CC$3,0,0,'Données projet'!$E$12+1,1))-AVERAGE(OFFSET($H$3,0,0,'Données projet'!$E$12+1,1))</f>
        <v>222.86701323374945</v>
      </c>
      <c r="CE161" s="62">
        <f t="shared" si="148"/>
        <v>149.63671045240511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76.071601703961647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76.071601703961647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8.5265128291212022E-14</v>
      </c>
      <c r="CU161" s="18">
        <f>CT161*VLOOKUP('Données projet'!$B$13,Paramètres!$A$1:$I$89,3,0)*VLOOKUP('Données projet'!$B$13,Paramètres!$A$1:$I$89,5,0)</f>
        <v>5.5865712056402117E-14</v>
      </c>
      <c r="CV161" s="14">
        <f t="shared" si="173"/>
        <v>8.9811031843713517E-13</v>
      </c>
      <c r="CW161" s="22">
        <f t="shared" si="174"/>
        <v>1.6615082531095774E-12</v>
      </c>
      <c r="CX161" s="62">
        <f t="shared" si="122"/>
        <v>293.33333333333496</v>
      </c>
      <c r="CY161" s="62">
        <f ca="1">AVERAGE(OFFSET($CX$3,0,0,'Données projet'!$E$13+1,1))-AVERAGE(OFFSET($H$3,0,0,'Données projet'!$E$13+1,1))</f>
        <v>173.15672762188746</v>
      </c>
      <c r="CZ161" s="62">
        <f t="shared" si="150"/>
        <v>208.54841796921414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21.42318258532304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21.42318258532304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269.18638759204373</v>
      </c>
      <c r="EP161" s="62">
        <f t="shared" si="154"/>
        <v>197.07126167823969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43.072587512914509</v>
      </c>
      <c r="EW161" s="23">
        <f>EXP(-LN(2)/25)*EW160+(1-EXP(-LN(2)/25))/(LN(2)/25)*Calculateur!ER161*Calculateur!ET161*VLOOKUP('Données projet'!$B$15,Paramètres!$A$1:$I$89,3,0)*0.475*44/12</f>
        <v>3.6292386374857926</v>
      </c>
      <c r="EX161" s="23">
        <f>EXP(-LN(2)/2)*EX160+(1-EXP(-LN(2)/2))/(LN(2)/2)*ER161*EU161*VLOOKUP('Données projet'!$B$15,Paramètres!$A$1:$I$89,3,0)*0.475*44/12</f>
        <v>5.7881563142833654E-11</v>
      </c>
      <c r="EY161" s="24">
        <f t="shared" si="181"/>
        <v>46.701826150458182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1.1368683772161603E-13</v>
      </c>
      <c r="FF161" s="18">
        <f>FE161*VLOOKUP('Données projet'!$B$16,Paramètres!$A$1:$I$89,3,0)*VLOOKUP('Données projet'!$B$16,Paramètres!$A$1:$I$89,5,0)</f>
        <v>6.7984728957526396E-14</v>
      </c>
      <c r="FG161" s="14">
        <f t="shared" si="182"/>
        <v>1.0682447123141398E-12</v>
      </c>
      <c r="FH161" s="22">
        <f t="shared" si="183"/>
        <v>1.978932943548152E-12</v>
      </c>
      <c r="FI161" s="62">
        <f t="shared" si="131"/>
        <v>293.3333333333353</v>
      </c>
      <c r="FJ161" s="62">
        <f ca="1">AVERAGE(OFFSET($FI$3,0,0,'Données projet'!$E$16+1,1))-AVERAGE(OFFSET($H$3,0,0,'Données projet'!$E$16+1,1))</f>
        <v>330.48891719033065</v>
      </c>
      <c r="FK161" s="62">
        <f t="shared" si="156"/>
        <v>419.35494198427284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30.521868887195406</v>
      </c>
      <c r="FR161" s="23">
        <f>EXP(-LN(2)/25)*FR160+(1-EXP(-LN(2)/25))/(LN(2)/25)*Calculateur!FM161*Calculateur!FO161*VLOOKUP('Données projet'!$B$16,Paramètres!$A$1:$I$89,3,0)*0.475*44/12</f>
        <v>2.3736033736680082</v>
      </c>
      <c r="FS161" s="23">
        <f>EXP(-LN(2)/2)*FS160+(1-EXP(-LN(2)/2))/(LN(2)/2)*FM161*FP161*VLOOKUP('Données projet'!$B$16,Paramètres!$A$1:$I$89,3,0)*0.475*44/12</f>
        <v>1.5427007526480217E-14</v>
      </c>
      <c r="FT161" s="24">
        <f t="shared" si="184"/>
        <v>32.895472260863428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>
        <f>FZ161*VLOOKUP('Données projet'!$B$17,Paramètres!$A$1:$I$89,3,0)*VLOOKUP('Données projet'!$B$17,Paramètres!$A$1:$I$89,5,0)</f>
        <v>0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132.18258156780018</v>
      </c>
      <c r="GF161" s="62">
        <f t="shared" si="158"/>
        <v>315.58133946947294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3.4382133558825525</v>
      </c>
      <c r="GM161" s="23">
        <f>EXP(-LN(2)/25)*GM160+(1-EXP(-LN(2)/25))/(LN(2)/25)*Calculateur!GH161*Calculateur!GJ161*VLOOKUP('Données projet'!$B$17,Paramètres!$A$1:$I$89,3,0)*0.475*44/12</f>
        <v>0.53355022608347002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3.9717635819660226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9">
        <f t="shared" si="110"/>
        <v>566.67707051251875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8.4429999999999943</v>
      </c>
      <c r="N162" s="14">
        <f>IF('Données projet'!$A$36&gt;35,N161+M162-V161,IF(A162&lt;'Données projet'!$A$36,$K$205^A162,IF(A162='Données projet'!$A$36,'Données projet'!$B$36,N161+M162-V161)))</f>
        <v>477.5550000000004</v>
      </c>
      <c r="O162" s="14">
        <f>N162*VLOOKUP('Données projet'!$B$9,Paramètres!$A$1:$I$89,3,0)*VLOOKUP('Données projet'!$B$9,Paramètres!$A$1:$I$89,5,0)</f>
        <v>432.09176400000035</v>
      </c>
      <c r="P162" s="14">
        <f t="shared" si="141"/>
        <v>98.253268876899142</v>
      </c>
      <c r="Q162" s="22">
        <f t="shared" si="162"/>
        <v>923.68426559393322</v>
      </c>
      <c r="R162" s="62">
        <f t="shared" si="109"/>
        <v>1217.0175989272666</v>
      </c>
      <c r="S162" s="62">
        <f ca="1">AVERAGE(OFFSET($R$3,0,0,'Données projet'!$E$9+1,1))-AVERAGE(OFFSET($H$3,0,0,'Données projet'!$E$9+1,1))</f>
        <v>401.86262166363821</v>
      </c>
      <c r="T162" s="62">
        <f t="shared" si="142"/>
        <v>208.60314230781432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65.687725851362757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65.687725851362757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6.8212102632969618E-13</v>
      </c>
      <c r="AJ162" s="14">
        <f>AI162*VLOOKUP('Données projet'!$B$10,Paramètres!$A$1:$I$89,3,0)*VLOOKUP('Données projet'!$B$10,Paramètres!$A$1:$I$89,5,0)</f>
        <v>7.3423507274128498E-13</v>
      </c>
      <c r="AK162" s="14">
        <f t="shared" si="164"/>
        <v>8.7458894232577541E-12</v>
      </c>
      <c r="AL162" s="22">
        <f t="shared" si="165"/>
        <v>1.6511216830531657E-11</v>
      </c>
      <c r="AM162" s="62">
        <f t="shared" si="113"/>
        <v>293.3333333333498</v>
      </c>
      <c r="AN162" s="62">
        <f ca="1">AVERAGE(OFFSET($AM$3,0,0,'Données projet'!$E$10+1,1))-AVERAGE(OFFSET($H$3,0,0,'Données projet'!$E$10+1,1))</f>
        <v>407.22515465568205</v>
      </c>
      <c r="AO162" s="62">
        <f t="shared" si="144"/>
        <v>251.6218558398258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97.094565953987328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97.094565953987328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6.8212102632969618E-13</v>
      </c>
      <c r="BE162" s="14">
        <f>BD162*VLOOKUP('Données projet'!$B$11,Paramètres!$A$1:$I$89,3,0)*VLOOKUP('Données projet'!$B$11,Paramètres!$A$1:$I$89,5,0)</f>
        <v>6.5974745666608208E-13</v>
      </c>
      <c r="BF162" s="14">
        <f t="shared" si="167"/>
        <v>7.9570891233345703E-12</v>
      </c>
      <c r="BG162" s="22">
        <f t="shared" si="168"/>
        <v>1.5007657043501137E-11</v>
      </c>
      <c r="BH162" s="62">
        <f t="shared" si="116"/>
        <v>293.33333333334832</v>
      </c>
      <c r="BI162" s="62">
        <f ca="1">AVERAGE(OFFSET($BH$3,0,0,'Données projet'!$E$11+1,1))-AVERAGE(OFFSET($H$3,0,0,'Données projet'!$E$11+1,1))</f>
        <v>357.76044008074308</v>
      </c>
      <c r="BJ162" s="62">
        <f t="shared" si="146"/>
        <v>224.26555772810445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87.244392596336453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87.244392596336453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6.8212102632969618E-13</v>
      </c>
      <c r="BZ162" s="14">
        <f>BY162*VLOOKUP('Données projet'!$B$12,Paramètres!$A$1:$I$89,3,0)*VLOOKUP('Données projet'!$B$12,Paramètres!$A$1:$I$89,5,0)</f>
        <v>4.5756678446196019E-13</v>
      </c>
      <c r="CA162" s="14">
        <f t="shared" si="170"/>
        <v>5.7587689306883675E-12</v>
      </c>
      <c r="CB162" s="22">
        <f t="shared" si="171"/>
        <v>1.0826784703886818E-11</v>
      </c>
      <c r="CC162" s="62">
        <f t="shared" si="119"/>
        <v>293.33333333334411</v>
      </c>
      <c r="CD162" s="62">
        <f ca="1">AVERAGE(OFFSET($CC$3,0,0,'Données projet'!$E$12+1,1))-AVERAGE(OFFSET($H$3,0,0,'Données projet'!$E$12+1,1))</f>
        <v>222.86701323374945</v>
      </c>
      <c r="CE162" s="62">
        <f t="shared" si="148"/>
        <v>149.63671045240511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74.579883993642468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74.579883993642468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8.5265128291212022E-14</v>
      </c>
      <c r="CU162" s="18">
        <f>CT162*VLOOKUP('Données projet'!$B$13,Paramètres!$A$1:$I$89,3,0)*VLOOKUP('Données projet'!$B$13,Paramètres!$A$1:$I$89,5,0)</f>
        <v>5.5865712056402117E-14</v>
      </c>
      <c r="CV162" s="14">
        <f t="shared" si="173"/>
        <v>8.9811031843713517E-13</v>
      </c>
      <c r="CW162" s="22">
        <f t="shared" si="174"/>
        <v>1.6615082531095774E-12</v>
      </c>
      <c r="CX162" s="62">
        <f t="shared" si="122"/>
        <v>293.33333333333496</v>
      </c>
      <c r="CY162" s="62">
        <f ca="1">AVERAGE(OFFSET($CX$3,0,0,'Données projet'!$E$13+1,1))-AVERAGE(OFFSET($H$3,0,0,'Données projet'!$E$13+1,1))</f>
        <v>173.15672762188746</v>
      </c>
      <c r="CZ162" s="62">
        <f t="shared" si="150"/>
        <v>208.54841796921414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21.00308704167599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21.00308704167599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269.18638759204373</v>
      </c>
      <c r="EP162" s="62">
        <f t="shared" si="154"/>
        <v>197.07126167823969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42.227960343470528</v>
      </c>
      <c r="EW162" s="23">
        <f>EXP(-LN(2)/25)*EW161+(1-EXP(-LN(2)/25))/(LN(2)/25)*Calculateur!ER162*Calculateur!ET162*VLOOKUP('Données projet'!$B$15,Paramètres!$A$1:$I$89,3,0)*0.475*44/12</f>
        <v>3.5299969160903784</v>
      </c>
      <c r="EX162" s="23">
        <f>EXP(-LN(2)/2)*EX161+(1-EXP(-LN(2)/2))/(LN(2)/2)*ER162*EU162*VLOOKUP('Données projet'!$B$15,Paramètres!$A$1:$I$89,3,0)*0.475*44/12</f>
        <v>4.0928445803975012E-11</v>
      </c>
      <c r="EY162" s="24">
        <f t="shared" si="181"/>
        <v>45.757957259601831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1.1368683772161603E-13</v>
      </c>
      <c r="FF162" s="18">
        <f>FE162*VLOOKUP('Données projet'!$B$16,Paramètres!$A$1:$I$89,3,0)*VLOOKUP('Données projet'!$B$16,Paramètres!$A$1:$I$89,5,0)</f>
        <v>6.7984728957526396E-14</v>
      </c>
      <c r="FG162" s="14">
        <f t="shared" si="182"/>
        <v>1.0682447123141398E-12</v>
      </c>
      <c r="FH162" s="22">
        <f t="shared" si="183"/>
        <v>1.978932943548152E-12</v>
      </c>
      <c r="FI162" s="62">
        <f t="shared" si="131"/>
        <v>293.3333333333353</v>
      </c>
      <c r="FJ162" s="62">
        <f ca="1">AVERAGE(OFFSET($FI$3,0,0,'Données projet'!$E$16+1,1))-AVERAGE(OFFSET($H$3,0,0,'Données projet'!$E$16+1,1))</f>
        <v>330.48891719033065</v>
      </c>
      <c r="FK162" s="62">
        <f t="shared" si="156"/>
        <v>419.35494198427284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29.923353654819298</v>
      </c>
      <c r="FR162" s="23">
        <f>EXP(-LN(2)/25)*FR161+(1-EXP(-LN(2)/25))/(LN(2)/25)*Calculateur!FM162*Calculateur!FO162*VLOOKUP('Données projet'!$B$16,Paramètres!$A$1:$I$89,3,0)*0.475*44/12</f>
        <v>2.3086970645926801</v>
      </c>
      <c r="FS162" s="23">
        <f>EXP(-LN(2)/2)*FS161+(1-EXP(-LN(2)/2))/(LN(2)/2)*FM162*FP162*VLOOKUP('Données projet'!$B$16,Paramètres!$A$1:$I$89,3,0)*0.475*44/12</f>
        <v>1.0908541635390069E-14</v>
      </c>
      <c r="FT162" s="24">
        <f t="shared" si="184"/>
        <v>32.232050719411994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>
        <f>FZ162*VLOOKUP('Données projet'!$B$17,Paramètres!$A$1:$I$89,3,0)*VLOOKUP('Données projet'!$B$17,Paramètres!$A$1:$I$89,5,0)</f>
        <v>0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132.18258156780018</v>
      </c>
      <c r="GF162" s="62">
        <f t="shared" si="158"/>
        <v>315.58133946947294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3.3707920890767711</v>
      </c>
      <c r="GM162" s="23">
        <f>EXP(-LN(2)/25)*GM161+(1-EXP(-LN(2)/25))/(LN(2)/25)*Calculateur!GH162*Calculateur!GJ162*VLOOKUP('Données projet'!$B$17,Paramètres!$A$1:$I$89,3,0)*0.475*44/12</f>
        <v>0.51896026709303056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3.8897523561698018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9">
        <f t="shared" si="110"/>
        <v>568.58000857053662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8.4429999999999943</v>
      </c>
      <c r="N163" s="14">
        <f>IF('Données projet'!$A$36&gt;35,N162+M163-V162,IF(A163&lt;'Données projet'!$A$36,$K$205^A163,IF(A163='Données projet'!$A$36,'Données projet'!$B$36,N162+M163-V162)))</f>
        <v>485.99800000000039</v>
      </c>
      <c r="O163" s="14">
        <f>N163*VLOOKUP('Données projet'!$B$9,Paramètres!$A$1:$I$89,3,0)*VLOOKUP('Données projet'!$B$9,Paramètres!$A$1:$I$89,5,0)</f>
        <v>439.73099040000034</v>
      </c>
      <c r="P163" s="14">
        <f t="shared" si="141"/>
        <v>99.786585784186272</v>
      </c>
      <c r="Q163" s="22">
        <f t="shared" si="162"/>
        <v>939.65977852079175</v>
      </c>
      <c r="R163" s="62">
        <f t="shared" si="109"/>
        <v>1232.9931118541251</v>
      </c>
      <c r="S163" s="62">
        <f ca="1">AVERAGE(OFFSET($R$3,0,0,'Données projet'!$E$9+1,1))-AVERAGE(OFFSET($H$3,0,0,'Données projet'!$E$9+1,1))</f>
        <v>401.86262166363821</v>
      </c>
      <c r="T163" s="62">
        <f t="shared" si="142"/>
        <v>208.60314230781432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64.399629612974152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64.399629612974152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6.8212102632969618E-13</v>
      </c>
      <c r="AJ163" s="14">
        <f>AI163*VLOOKUP('Données projet'!$B$10,Paramètres!$A$1:$I$89,3,0)*VLOOKUP('Données projet'!$B$10,Paramètres!$A$1:$I$89,5,0)</f>
        <v>7.3423507274128498E-13</v>
      </c>
      <c r="AK163" s="14">
        <f t="shared" si="164"/>
        <v>8.7458894232577541E-12</v>
      </c>
      <c r="AL163" s="22">
        <f t="shared" si="165"/>
        <v>1.6511216830531657E-11</v>
      </c>
      <c r="AM163" s="62">
        <f t="shared" si="113"/>
        <v>293.3333333333498</v>
      </c>
      <c r="AN163" s="62">
        <f ca="1">AVERAGE(OFFSET($AM$3,0,0,'Données projet'!$E$10+1,1))-AVERAGE(OFFSET($H$3,0,0,'Données projet'!$E$10+1,1))</f>
        <v>407.22515465568205</v>
      </c>
      <c r="AO163" s="62">
        <f t="shared" si="144"/>
        <v>251.6218558398258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95.190600737467193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95.190600737467193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6.8212102632969618E-13</v>
      </c>
      <c r="BE163" s="14">
        <f>BD163*VLOOKUP('Données projet'!$B$11,Paramètres!$A$1:$I$89,3,0)*VLOOKUP('Données projet'!$B$11,Paramètres!$A$1:$I$89,5,0)</f>
        <v>6.5974745666608208E-13</v>
      </c>
      <c r="BF163" s="14">
        <f t="shared" si="167"/>
        <v>7.9570891233345703E-12</v>
      </c>
      <c r="BG163" s="22">
        <f t="shared" si="168"/>
        <v>1.5007657043501137E-11</v>
      </c>
      <c r="BH163" s="62">
        <f t="shared" si="116"/>
        <v>293.33333333334832</v>
      </c>
      <c r="BI163" s="62">
        <f ca="1">AVERAGE(OFFSET($BH$3,0,0,'Données projet'!$E$11+1,1))-AVERAGE(OFFSET($H$3,0,0,'Données projet'!$E$11+1,1))</f>
        <v>357.76044008074308</v>
      </c>
      <c r="BJ163" s="62">
        <f t="shared" si="146"/>
        <v>224.26555772810445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85.533583271347354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85.533583271347354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6.8212102632969618E-13</v>
      </c>
      <c r="BZ163" s="14">
        <f>BY163*VLOOKUP('Données projet'!$B$12,Paramètres!$A$1:$I$89,3,0)*VLOOKUP('Données projet'!$B$12,Paramètres!$A$1:$I$89,5,0)</f>
        <v>4.5756678446196019E-13</v>
      </c>
      <c r="CA163" s="14">
        <f t="shared" si="170"/>
        <v>5.7587689306883675E-12</v>
      </c>
      <c r="CB163" s="22">
        <f t="shared" si="171"/>
        <v>1.0826784703886818E-11</v>
      </c>
      <c r="CC163" s="62">
        <f t="shared" si="119"/>
        <v>293.33333333334411</v>
      </c>
      <c r="CD163" s="62">
        <f ca="1">AVERAGE(OFFSET($CC$3,0,0,'Données projet'!$E$12+1,1))-AVERAGE(OFFSET($H$3,0,0,'Données projet'!$E$12+1,1))</f>
        <v>222.86701323374945</v>
      </c>
      <c r="CE163" s="62">
        <f t="shared" si="148"/>
        <v>149.63671045240511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73.117417957764687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73.117417957764687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8.5265128291212022E-14</v>
      </c>
      <c r="CU163" s="18">
        <f>CT163*VLOOKUP('Données projet'!$B$13,Paramètres!$A$1:$I$89,3,0)*VLOOKUP('Données projet'!$B$13,Paramètres!$A$1:$I$89,5,0)</f>
        <v>5.5865712056402117E-14</v>
      </c>
      <c r="CV163" s="14">
        <f t="shared" si="173"/>
        <v>8.9811031843713517E-13</v>
      </c>
      <c r="CW163" s="22">
        <f t="shared" si="174"/>
        <v>1.6615082531095774E-12</v>
      </c>
      <c r="CX163" s="62">
        <f t="shared" si="122"/>
        <v>293.33333333333496</v>
      </c>
      <c r="CY163" s="62">
        <f ca="1">AVERAGE(OFFSET($CX$3,0,0,'Données projet'!$E$13+1,1))-AVERAGE(OFFSET($H$3,0,0,'Données projet'!$E$13+1,1))</f>
        <v>173.15672762188746</v>
      </c>
      <c r="CZ163" s="62">
        <f t="shared" si="150"/>
        <v>208.54841796921414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20.591229315406874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20.591229315406874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269.18638759204373</v>
      </c>
      <c r="EP163" s="62">
        <f t="shared" si="154"/>
        <v>197.07126167823969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41.399895797647638</v>
      </c>
      <c r="EW163" s="23">
        <f>EXP(-LN(2)/25)*EW162+(1-EXP(-LN(2)/25))/(LN(2)/25)*Calculateur!ER163*Calculateur!ET163*VLOOKUP('Données projet'!$B$15,Paramètres!$A$1:$I$89,3,0)*0.475*44/12</f>
        <v>3.4334689647854169</v>
      </c>
      <c r="EX163" s="23">
        <f>EXP(-LN(2)/2)*EX162+(1-EXP(-LN(2)/2))/(LN(2)/2)*ER163*EU163*VLOOKUP('Données projet'!$B$15,Paramètres!$A$1:$I$89,3,0)*0.475*44/12</f>
        <v>2.894078157141683E-11</v>
      </c>
      <c r="EY163" s="24">
        <f t="shared" si="181"/>
        <v>44.833364762461997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1.1368683772161603E-13</v>
      </c>
      <c r="FF163" s="18">
        <f>FE163*VLOOKUP('Données projet'!$B$16,Paramètres!$A$1:$I$89,3,0)*VLOOKUP('Données projet'!$B$16,Paramètres!$A$1:$I$89,5,0)</f>
        <v>6.7984728957526396E-14</v>
      </c>
      <c r="FG163" s="14">
        <f t="shared" si="182"/>
        <v>1.0682447123141398E-12</v>
      </c>
      <c r="FH163" s="22">
        <f t="shared" si="183"/>
        <v>1.978932943548152E-12</v>
      </c>
      <c r="FI163" s="62">
        <f t="shared" si="131"/>
        <v>293.3333333333353</v>
      </c>
      <c r="FJ163" s="62">
        <f ca="1">AVERAGE(OFFSET($FI$3,0,0,'Données projet'!$E$16+1,1))-AVERAGE(OFFSET($H$3,0,0,'Données projet'!$E$16+1,1))</f>
        <v>330.48891719033065</v>
      </c>
      <c r="FK163" s="62">
        <f t="shared" si="156"/>
        <v>419.35494198427284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29.33657494109184</v>
      </c>
      <c r="FR163" s="23">
        <f>EXP(-LN(2)/25)*FR162+(1-EXP(-LN(2)/25))/(LN(2)/25)*Calculateur!FM163*Calculateur!FO163*VLOOKUP('Données projet'!$B$16,Paramètres!$A$1:$I$89,3,0)*0.475*44/12</f>
        <v>2.245565621952291</v>
      </c>
      <c r="FS163" s="23">
        <f>EXP(-LN(2)/2)*FS162+(1-EXP(-LN(2)/2))/(LN(2)/2)*FM163*FP163*VLOOKUP('Données projet'!$B$16,Paramètres!$A$1:$I$89,3,0)*0.475*44/12</f>
        <v>7.7135037632401086E-15</v>
      </c>
      <c r="FT163" s="24">
        <f t="shared" si="184"/>
        <v>31.582140563044138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>
        <f>FZ163*VLOOKUP('Données projet'!$B$17,Paramètres!$A$1:$I$89,3,0)*VLOOKUP('Données projet'!$B$17,Paramètres!$A$1:$I$89,5,0)</f>
        <v>0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132.18258156780018</v>
      </c>
      <c r="GF163" s="62">
        <f t="shared" si="158"/>
        <v>315.58133946947294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3.3046929121901387</v>
      </c>
      <c r="GM163" s="23">
        <f>EXP(-LN(2)/25)*GM162+(1-EXP(-LN(2)/25))/(LN(2)/25)*Calculateur!GH163*Calculateur!GJ163*VLOOKUP('Données projet'!$B$17,Paramètres!$A$1:$I$89,3,0)*0.475*44/12</f>
        <v>0.50476927129843729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3.8094621834885762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9">
        <f t="shared" si="110"/>
        <v>570.48268900503945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8.4429999999999943</v>
      </c>
      <c r="N164" s="14">
        <f>IF('Données projet'!$A$36&gt;35,N163+M164-V163,IF(A164&lt;'Données projet'!$A$36,$K$205^A164,IF(A164='Données projet'!$A$36,'Données projet'!$B$36,N163+M164-V163)))</f>
        <v>494.44100000000037</v>
      </c>
      <c r="O164" s="14">
        <f>N164*VLOOKUP('Données projet'!$B$9,Paramètres!$A$1:$I$89,3,0)*VLOOKUP('Données projet'!$B$9,Paramètres!$A$1:$I$89,5,0)</f>
        <v>447.37021680000026</v>
      </c>
      <c r="P164" s="14">
        <f t="shared" si="141"/>
        <v>101.3168050491076</v>
      </c>
      <c r="Q164" s="22">
        <f t="shared" si="162"/>
        <v>955.62989638719603</v>
      </c>
      <c r="R164" s="62">
        <f t="shared" si="109"/>
        <v>1248.9632297205294</v>
      </c>
      <c r="S164" s="62">
        <f ca="1">AVERAGE(OFFSET($R$3,0,0,'Données projet'!$E$9+1,1))-AVERAGE(OFFSET($H$3,0,0,'Données projet'!$E$9+1,1))</f>
        <v>401.86262166363821</v>
      </c>
      <c r="T164" s="62">
        <f t="shared" si="142"/>
        <v>208.60314230781432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63.136792156159224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63.136792156159224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6.8212102632969618E-13</v>
      </c>
      <c r="AJ164" s="14">
        <f>AI164*VLOOKUP('Données projet'!$B$10,Paramètres!$A$1:$I$89,3,0)*VLOOKUP('Données projet'!$B$10,Paramètres!$A$1:$I$89,5,0)</f>
        <v>7.3423507274128498E-13</v>
      </c>
      <c r="AK164" s="14">
        <f t="shared" si="164"/>
        <v>8.7458894232577541E-12</v>
      </c>
      <c r="AL164" s="22">
        <f t="shared" si="165"/>
        <v>1.6511216830531657E-11</v>
      </c>
      <c r="AM164" s="62">
        <f t="shared" si="113"/>
        <v>293.3333333333498</v>
      </c>
      <c r="AN164" s="62">
        <f ca="1">AVERAGE(OFFSET($AM$3,0,0,'Données projet'!$E$10+1,1))-AVERAGE(OFFSET($H$3,0,0,'Données projet'!$E$10+1,1))</f>
        <v>407.22515465568205</v>
      </c>
      <c r="AO164" s="62">
        <f t="shared" si="144"/>
        <v>251.6218558398258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93.323971117538903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93.323971117538903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6.8212102632969618E-13</v>
      </c>
      <c r="BE164" s="14">
        <f>BD164*VLOOKUP('Données projet'!$B$11,Paramètres!$A$1:$I$89,3,0)*VLOOKUP('Données projet'!$B$11,Paramètres!$A$1:$I$89,5,0)</f>
        <v>6.5974745666608208E-13</v>
      </c>
      <c r="BF164" s="14">
        <f t="shared" si="167"/>
        <v>7.9570891233345703E-12</v>
      </c>
      <c r="BG164" s="22">
        <f t="shared" si="168"/>
        <v>1.5007657043501137E-11</v>
      </c>
      <c r="BH164" s="62">
        <f t="shared" si="116"/>
        <v>293.33333333334832</v>
      </c>
      <c r="BI164" s="62">
        <f ca="1">AVERAGE(OFFSET($BH$3,0,0,'Données projet'!$E$11+1,1))-AVERAGE(OFFSET($H$3,0,0,'Données projet'!$E$11+1,1))</f>
        <v>357.76044008074308</v>
      </c>
      <c r="BJ164" s="62">
        <f t="shared" si="146"/>
        <v>224.26555772810445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83.856321873730636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83.856321873730636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6.8212102632969618E-13</v>
      </c>
      <c r="BZ164" s="14">
        <f>BY164*VLOOKUP('Données projet'!$B$12,Paramètres!$A$1:$I$89,3,0)*VLOOKUP('Données projet'!$B$12,Paramètres!$A$1:$I$89,5,0)</f>
        <v>4.5756678446196019E-13</v>
      </c>
      <c r="CA164" s="14">
        <f t="shared" si="170"/>
        <v>5.7587689306883675E-12</v>
      </c>
      <c r="CB164" s="22">
        <f t="shared" si="171"/>
        <v>1.0826784703886818E-11</v>
      </c>
      <c r="CC164" s="62">
        <f t="shared" si="119"/>
        <v>293.33333333334411</v>
      </c>
      <c r="CD164" s="62">
        <f ca="1">AVERAGE(OFFSET($CC$3,0,0,'Données projet'!$E$12+1,1))-AVERAGE(OFFSET($H$3,0,0,'Données projet'!$E$12+1,1))</f>
        <v>222.86701323374945</v>
      </c>
      <c r="CE164" s="62">
        <f t="shared" si="148"/>
        <v>149.63671045240511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71.683629988834269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71.683629988834269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8.5265128291212022E-14</v>
      </c>
      <c r="CU164" s="18">
        <f>CT164*VLOOKUP('Données projet'!$B$13,Paramètres!$A$1:$I$89,3,0)*VLOOKUP('Données projet'!$B$13,Paramètres!$A$1:$I$89,5,0)</f>
        <v>5.5865712056402117E-14</v>
      </c>
      <c r="CV164" s="14">
        <f t="shared" si="173"/>
        <v>8.9811031843713517E-13</v>
      </c>
      <c r="CW164" s="22">
        <f t="shared" si="174"/>
        <v>1.6615082531095774E-12</v>
      </c>
      <c r="CX164" s="62">
        <f t="shared" si="122"/>
        <v>293.33333333333496</v>
      </c>
      <c r="CY164" s="62">
        <f ca="1">AVERAGE(OFFSET($CX$3,0,0,'Données projet'!$E$13+1,1))-AVERAGE(OFFSET($H$3,0,0,'Données projet'!$E$13+1,1))</f>
        <v>173.15672762188746</v>
      </c>
      <c r="CZ164" s="62">
        <f t="shared" si="150"/>
        <v>208.54841796921414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20.18744786794149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20.18744786794149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269.18638759204373</v>
      </c>
      <c r="EP164" s="62">
        <f t="shared" si="154"/>
        <v>197.07126167823969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40.588069092498834</v>
      </c>
      <c r="EW164" s="23">
        <f>EXP(-LN(2)/25)*EW163+(1-EXP(-LN(2)/25))/(LN(2)/25)*Calculateur!ER164*Calculateur!ET164*VLOOKUP('Données projet'!$B$15,Paramètres!$A$1:$I$89,3,0)*0.475*44/12</f>
        <v>3.339580575385074</v>
      </c>
      <c r="EX164" s="23">
        <f>EXP(-LN(2)/2)*EX163+(1-EXP(-LN(2)/2))/(LN(2)/2)*ER164*EU164*VLOOKUP('Données projet'!$B$15,Paramètres!$A$1:$I$89,3,0)*0.475*44/12</f>
        <v>2.0464222901987509E-11</v>
      </c>
      <c r="EY164" s="24">
        <f t="shared" si="181"/>
        <v>43.927649667904369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1.1368683772161603E-13</v>
      </c>
      <c r="FF164" s="18">
        <f>FE164*VLOOKUP('Données projet'!$B$16,Paramètres!$A$1:$I$89,3,0)*VLOOKUP('Données projet'!$B$16,Paramètres!$A$1:$I$89,5,0)</f>
        <v>6.7984728957526396E-14</v>
      </c>
      <c r="FG164" s="14">
        <f t="shared" si="182"/>
        <v>1.0682447123141398E-12</v>
      </c>
      <c r="FH164" s="22">
        <f t="shared" si="183"/>
        <v>1.978932943548152E-12</v>
      </c>
      <c r="FI164" s="62">
        <f t="shared" si="131"/>
        <v>293.3333333333353</v>
      </c>
      <c r="FJ164" s="62">
        <f ca="1">AVERAGE(OFFSET($FI$3,0,0,'Données projet'!$E$16+1,1))-AVERAGE(OFFSET($H$3,0,0,'Données projet'!$E$16+1,1))</f>
        <v>330.48891719033065</v>
      </c>
      <c r="FK164" s="62">
        <f t="shared" si="156"/>
        <v>419.35494198427284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28.761302600040903</v>
      </c>
      <c r="FR164" s="23">
        <f>EXP(-LN(2)/25)*FR163+(1-EXP(-LN(2)/25))/(LN(2)/25)*Calculateur!FM164*Calculateur!FO164*VLOOKUP('Données projet'!$B$16,Paramètres!$A$1:$I$89,3,0)*0.475*44/12</f>
        <v>2.184160511930842</v>
      </c>
      <c r="FS164" s="23">
        <f>EXP(-LN(2)/2)*FS163+(1-EXP(-LN(2)/2))/(LN(2)/2)*FM164*FP164*VLOOKUP('Données projet'!$B$16,Paramètres!$A$1:$I$89,3,0)*0.475*44/12</f>
        <v>5.4542708176950344E-15</v>
      </c>
      <c r="FT164" s="24">
        <f t="shared" si="184"/>
        <v>30.945463111971751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>
        <f>FZ164*VLOOKUP('Données projet'!$B$17,Paramètres!$A$1:$I$89,3,0)*VLOOKUP('Données projet'!$B$17,Paramètres!$A$1:$I$89,5,0)</f>
        <v>0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132.18258156780018</v>
      </c>
      <c r="GF164" s="62">
        <f t="shared" si="158"/>
        <v>315.58133946947294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3.2398898998457364</v>
      </c>
      <c r="GM164" s="23">
        <f>EXP(-LN(2)/25)*GM163+(1-EXP(-LN(2)/25))/(LN(2)/25)*Calculateur!GH164*Calculateur!GJ164*VLOOKUP('Données projet'!$B$17,Paramètres!$A$1:$I$89,3,0)*0.475*44/12</f>
        <v>0.49096632903011922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3.7308562288758558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9">
        <f t="shared" si="110"/>
        <v>572.38511360180746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8.4429999999999943</v>
      </c>
      <c r="N165" s="14">
        <f>IF('Données projet'!$A$36&gt;35,N164+M165-V164,IF(A165&lt;'Données projet'!$A$36,$K$205^A165,IF(A165='Données projet'!$A$36,'Données projet'!$B$36,N164+M165-V164)))</f>
        <v>502.88400000000036</v>
      </c>
      <c r="O165" s="14">
        <f>N165*VLOOKUP('Données projet'!$B$9,Paramètres!$A$1:$I$89,3,0)*VLOOKUP('Données projet'!$B$9,Paramètres!$A$1:$I$89,5,0)</f>
        <v>455.00944320000031</v>
      </c>
      <c r="P165" s="14">
        <f t="shared" si="141"/>
        <v>102.84398567063174</v>
      </c>
      <c r="Q165" s="22">
        <f t="shared" si="162"/>
        <v>971.59472194968396</v>
      </c>
      <c r="R165" s="62">
        <f t="shared" si="109"/>
        <v>1264.9280552830173</v>
      </c>
      <c r="S165" s="62">
        <f ca="1">AVERAGE(OFFSET($R$3,0,0,'Données projet'!$E$9+1,1))-AVERAGE(OFFSET($H$3,0,0,'Données projet'!$E$9+1,1))</f>
        <v>401.86262166363821</v>
      </c>
      <c r="T165" s="62">
        <f t="shared" si="142"/>
        <v>208.60314230781432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61.898718171617645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61.898718171617645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6.8212102632969618E-13</v>
      </c>
      <c r="AJ165" s="14">
        <f>AI165*VLOOKUP('Données projet'!$B$10,Paramètres!$A$1:$I$89,3,0)*VLOOKUP('Données projet'!$B$10,Paramètres!$A$1:$I$89,5,0)</f>
        <v>7.3423507274128498E-13</v>
      </c>
      <c r="AK165" s="14">
        <f t="shared" si="164"/>
        <v>8.7458894232577541E-12</v>
      </c>
      <c r="AL165" s="22">
        <f t="shared" si="165"/>
        <v>1.6511216830531657E-11</v>
      </c>
      <c r="AM165" s="62">
        <f t="shared" si="113"/>
        <v>293.3333333333498</v>
      </c>
      <c r="AN165" s="62">
        <f ca="1">AVERAGE(OFFSET($AM$3,0,0,'Données projet'!$E$10+1,1))-AVERAGE(OFFSET($H$3,0,0,'Données projet'!$E$10+1,1))</f>
        <v>407.22515465568205</v>
      </c>
      <c r="AO165" s="62">
        <f t="shared" si="144"/>
        <v>251.6218558398258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91.493944965925763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91.493944965925763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6.8212102632969618E-13</v>
      </c>
      <c r="BE165" s="14">
        <f>BD165*VLOOKUP('Données projet'!$B$11,Paramètres!$A$1:$I$89,3,0)*VLOOKUP('Données projet'!$B$11,Paramètres!$A$1:$I$89,5,0)</f>
        <v>6.5974745666608208E-13</v>
      </c>
      <c r="BF165" s="14">
        <f t="shared" si="167"/>
        <v>7.9570891233345703E-12</v>
      </c>
      <c r="BG165" s="22">
        <f t="shared" si="168"/>
        <v>1.5007657043501137E-11</v>
      </c>
      <c r="BH165" s="62">
        <f t="shared" si="116"/>
        <v>293.33333333334832</v>
      </c>
      <c r="BI165" s="62">
        <f ca="1">AVERAGE(OFFSET($BH$3,0,0,'Données projet'!$E$11+1,1))-AVERAGE(OFFSET($H$3,0,0,'Données projet'!$E$11+1,1))</f>
        <v>357.76044008074308</v>
      </c>
      <c r="BJ165" s="62">
        <f t="shared" si="146"/>
        <v>224.26555772810445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82.211950549092748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82.211950549092748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6.8212102632969618E-13</v>
      </c>
      <c r="BZ165" s="14">
        <f>BY165*VLOOKUP('Données projet'!$B$12,Paramètres!$A$1:$I$89,3,0)*VLOOKUP('Données projet'!$B$12,Paramètres!$A$1:$I$89,5,0)</f>
        <v>4.5756678446196019E-13</v>
      </c>
      <c r="CA165" s="14">
        <f t="shared" si="170"/>
        <v>5.7587689306883675E-12</v>
      </c>
      <c r="CB165" s="22">
        <f t="shared" si="171"/>
        <v>1.0826784703886818E-11</v>
      </c>
      <c r="CC165" s="62">
        <f t="shared" si="119"/>
        <v>293.33333333334411</v>
      </c>
      <c r="CD165" s="62">
        <f ca="1">AVERAGE(OFFSET($CC$3,0,0,'Données projet'!$E$12+1,1))-AVERAGE(OFFSET($H$3,0,0,'Données projet'!$E$12+1,1))</f>
        <v>222.86701323374945</v>
      </c>
      <c r="CE165" s="62">
        <f t="shared" si="148"/>
        <v>149.63671045240511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70.277957727450271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70.277957727450271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8.5265128291212022E-14</v>
      </c>
      <c r="CU165" s="18">
        <f>CT165*VLOOKUP('Données projet'!$B$13,Paramètres!$A$1:$I$89,3,0)*VLOOKUP('Données projet'!$B$13,Paramètres!$A$1:$I$89,5,0)</f>
        <v>5.5865712056402117E-14</v>
      </c>
      <c r="CV165" s="14">
        <f t="shared" si="173"/>
        <v>8.9811031843713517E-13</v>
      </c>
      <c r="CW165" s="22">
        <f t="shared" si="174"/>
        <v>1.6615082531095774E-12</v>
      </c>
      <c r="CX165" s="62">
        <f t="shared" si="122"/>
        <v>293.33333333333496</v>
      </c>
      <c r="CY165" s="62">
        <f ca="1">AVERAGE(OFFSET($CX$3,0,0,'Données projet'!$E$13+1,1))-AVERAGE(OFFSET($H$3,0,0,'Données projet'!$E$13+1,1))</f>
        <v>173.15672762188746</v>
      </c>
      <c r="CZ165" s="62">
        <f t="shared" si="150"/>
        <v>208.54841796921414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19.791584328378537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19.791584328378537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269.18638759204373</v>
      </c>
      <c r="EP165" s="62">
        <f t="shared" si="154"/>
        <v>197.07126167823969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39.792161813872596</v>
      </c>
      <c r="EW165" s="23">
        <f>EXP(-LN(2)/25)*EW164+(1-EXP(-LN(2)/25))/(LN(2)/25)*Calculateur!ER165*Calculateur!ET165*VLOOKUP('Données projet'!$B$15,Paramètres!$A$1:$I$89,3,0)*0.475*44/12</f>
        <v>3.2482595689302594</v>
      </c>
      <c r="EX165" s="23">
        <f>EXP(-LN(2)/2)*EX164+(1-EXP(-LN(2)/2))/(LN(2)/2)*ER165*EU165*VLOOKUP('Données projet'!$B$15,Paramètres!$A$1:$I$89,3,0)*0.475*44/12</f>
        <v>1.4470390785708417E-11</v>
      </c>
      <c r="EY165" s="24">
        <f t="shared" si="181"/>
        <v>43.040421382817328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1.1368683772161603E-13</v>
      </c>
      <c r="FF165" s="18">
        <f>FE165*VLOOKUP('Données projet'!$B$16,Paramètres!$A$1:$I$89,3,0)*VLOOKUP('Données projet'!$B$16,Paramètres!$A$1:$I$89,5,0)</f>
        <v>6.7984728957526396E-14</v>
      </c>
      <c r="FG165" s="14">
        <f t="shared" si="182"/>
        <v>1.0682447123141398E-12</v>
      </c>
      <c r="FH165" s="22">
        <f t="shared" si="183"/>
        <v>1.978932943548152E-12</v>
      </c>
      <c r="FI165" s="62">
        <f t="shared" si="131"/>
        <v>293.3333333333353</v>
      </c>
      <c r="FJ165" s="62">
        <f ca="1">AVERAGE(OFFSET($FI$3,0,0,'Données projet'!$E$16+1,1))-AVERAGE(OFFSET($H$3,0,0,'Données projet'!$E$16+1,1))</f>
        <v>330.48891719033065</v>
      </c>
      <c r="FK165" s="62">
        <f t="shared" si="156"/>
        <v>419.35494198427284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28.197310998716492</v>
      </c>
      <c r="FR165" s="23">
        <f>EXP(-LN(2)/25)*FR164+(1-EXP(-LN(2)/25))/(LN(2)/25)*Calculateur!FM165*Calculateur!FO165*VLOOKUP('Données projet'!$B$16,Paramètres!$A$1:$I$89,3,0)*0.475*44/12</f>
        <v>2.1244345278720838</v>
      </c>
      <c r="FS165" s="23">
        <f>EXP(-LN(2)/2)*FS164+(1-EXP(-LN(2)/2))/(LN(2)/2)*FM165*FP165*VLOOKUP('Données projet'!$B$16,Paramètres!$A$1:$I$89,3,0)*0.475*44/12</f>
        <v>3.8567518816200543E-15</v>
      </c>
      <c r="FT165" s="24">
        <f t="shared" si="184"/>
        <v>30.321745526588579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>
        <f>FZ165*VLOOKUP('Données projet'!$B$17,Paramètres!$A$1:$I$89,3,0)*VLOOKUP('Données projet'!$B$17,Paramètres!$A$1:$I$89,5,0)</f>
        <v>0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132.18258156780018</v>
      </c>
      <c r="GF165" s="62">
        <f t="shared" si="158"/>
        <v>315.58133946947294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3.1763576350474731</v>
      </c>
      <c r="GM165" s="23">
        <f>EXP(-LN(2)/25)*GM164+(1-EXP(-LN(2)/25))/(LN(2)/25)*Calculateur!GH165*Calculateur!GJ165*VLOOKUP('Données projet'!$B$17,Paramètres!$A$1:$I$89,3,0)*0.475*44/12</f>
        <v>0.47754082894399347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3.6538984639914664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9">
        <f t="shared" si="110"/>
        <v>574.28728412329951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8.4429999999999943</v>
      </c>
      <c r="N166" s="14">
        <f>IF('Données projet'!$A$36&gt;35,N165+M166-V165,IF(A166&lt;'Données projet'!$A$36,$K$205^A166,IF(A166='Données projet'!$A$36,'Données projet'!$B$36,N165+M166-V165)))</f>
        <v>511.32700000000034</v>
      </c>
      <c r="O166" s="14">
        <f>N166*VLOOKUP('Données projet'!$B$9,Paramètres!$A$1:$I$89,3,0)*VLOOKUP('Données projet'!$B$9,Paramètres!$A$1:$I$89,5,0)</f>
        <v>462.64866960000029</v>
      </c>
      <c r="P166" s="14">
        <f t="shared" si="141"/>
        <v>104.36818455309495</v>
      </c>
      <c r="Q166" s="22">
        <f t="shared" si="162"/>
        <v>987.5543543166408</v>
      </c>
      <c r="R166" s="62">
        <f t="shared" si="109"/>
        <v>1280.8876876499742</v>
      </c>
      <c r="S166" s="62">
        <f ca="1">AVERAGE(OFFSET($R$3,0,0,'Données projet'!$E$9+1,1))-AVERAGE(OFFSET($H$3,0,0,'Données projet'!$E$9+1,1))</f>
        <v>401.86262166363821</v>
      </c>
      <c r="T166" s="62">
        <f t="shared" si="142"/>
        <v>208.60314230781432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60.684922062762361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60.684922062762361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6.8212102632969618E-13</v>
      </c>
      <c r="AJ166" s="14">
        <f>AI166*VLOOKUP('Données projet'!$B$10,Paramètres!$A$1:$I$89,3,0)*VLOOKUP('Données projet'!$B$10,Paramètres!$A$1:$I$89,5,0)</f>
        <v>7.3423507274128498E-13</v>
      </c>
      <c r="AK166" s="14">
        <f t="shared" si="164"/>
        <v>8.7458894232577541E-12</v>
      </c>
      <c r="AL166" s="22">
        <f t="shared" si="165"/>
        <v>1.6511216830531657E-11</v>
      </c>
      <c r="AM166" s="62">
        <f t="shared" si="113"/>
        <v>293.3333333333498</v>
      </c>
      <c r="AN166" s="62">
        <f ca="1">AVERAGE(OFFSET($AM$3,0,0,'Données projet'!$E$10+1,1))-AVERAGE(OFFSET($H$3,0,0,'Données projet'!$E$10+1,1))</f>
        <v>407.22515465568205</v>
      </c>
      <c r="AO166" s="62">
        <f t="shared" si="144"/>
        <v>251.6218558398258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89.699804510940027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89.699804510940027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6.8212102632969618E-13</v>
      </c>
      <c r="BE166" s="14">
        <f>BD166*VLOOKUP('Données projet'!$B$11,Paramètres!$A$1:$I$89,3,0)*VLOOKUP('Données projet'!$B$11,Paramètres!$A$1:$I$89,5,0)</f>
        <v>6.5974745666608208E-13</v>
      </c>
      <c r="BF166" s="14">
        <f t="shared" si="167"/>
        <v>7.9570891233345703E-12</v>
      </c>
      <c r="BG166" s="22">
        <f t="shared" si="168"/>
        <v>1.5007657043501137E-11</v>
      </c>
      <c r="BH166" s="62">
        <f t="shared" si="116"/>
        <v>293.33333333334832</v>
      </c>
      <c r="BI166" s="62">
        <f ca="1">AVERAGE(OFFSET($BH$3,0,0,'Données projet'!$E$11+1,1))-AVERAGE(OFFSET($H$3,0,0,'Données projet'!$E$11+1,1))</f>
        <v>357.76044008074308</v>
      </c>
      <c r="BJ166" s="62">
        <f t="shared" si="146"/>
        <v>224.26555772810445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80.599824343163533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80.599824343163533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6.8212102632969618E-13</v>
      </c>
      <c r="BZ166" s="14">
        <f>BY166*VLOOKUP('Données projet'!$B$12,Paramètres!$A$1:$I$89,3,0)*VLOOKUP('Données projet'!$B$12,Paramètres!$A$1:$I$89,5,0)</f>
        <v>4.5756678446196019E-13</v>
      </c>
      <c r="CA166" s="14">
        <f t="shared" si="170"/>
        <v>5.7587689306883675E-12</v>
      </c>
      <c r="CB166" s="22">
        <f t="shared" si="171"/>
        <v>1.0826784703886818E-11</v>
      </c>
      <c r="CC166" s="62">
        <f t="shared" si="119"/>
        <v>293.33333333334411</v>
      </c>
      <c r="CD166" s="62">
        <f ca="1">AVERAGE(OFFSET($CC$3,0,0,'Données projet'!$E$12+1,1))-AVERAGE(OFFSET($H$3,0,0,'Données projet'!$E$12+1,1))</f>
        <v>222.86701323374945</v>
      </c>
      <c r="CE166" s="62">
        <f t="shared" si="148"/>
        <v>149.63671045240511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68.899849841736582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68.899849841736582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8.5265128291212022E-14</v>
      </c>
      <c r="CU166" s="18">
        <f>CT166*VLOOKUP('Données projet'!$B$13,Paramètres!$A$1:$I$89,3,0)*VLOOKUP('Données projet'!$B$13,Paramètres!$A$1:$I$89,5,0)</f>
        <v>5.5865712056402117E-14</v>
      </c>
      <c r="CV166" s="14">
        <f t="shared" si="173"/>
        <v>8.9811031843713517E-13</v>
      </c>
      <c r="CW166" s="22">
        <f t="shared" si="174"/>
        <v>1.6615082531095774E-12</v>
      </c>
      <c r="CX166" s="62">
        <f t="shared" si="122"/>
        <v>293.33333333333496</v>
      </c>
      <c r="CY166" s="62">
        <f ca="1">AVERAGE(OFFSET($CX$3,0,0,'Données projet'!$E$13+1,1))-AVERAGE(OFFSET($H$3,0,0,'Données projet'!$E$13+1,1))</f>
        <v>173.15672762188746</v>
      </c>
      <c r="CZ166" s="62">
        <f t="shared" si="150"/>
        <v>208.54841796921414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19.403483431373495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19.403483431373495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269.18638759204373</v>
      </c>
      <c r="EP166" s="62">
        <f t="shared" si="154"/>
        <v>197.07126167823969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39.011861791524716</v>
      </c>
      <c r="EW166" s="23">
        <f>EXP(-LN(2)/25)*EW165+(1-EXP(-LN(2)/25))/(LN(2)/25)*Calculateur!ER166*Calculateur!ET166*VLOOKUP('Données projet'!$B$15,Paramètres!$A$1:$I$89,3,0)*0.475*44/12</f>
        <v>3.1594357401993145</v>
      </c>
      <c r="EX166" s="23">
        <f>EXP(-LN(2)/2)*EX165+(1-EXP(-LN(2)/2))/(LN(2)/2)*ER166*EU166*VLOOKUP('Données projet'!$B$15,Paramètres!$A$1:$I$89,3,0)*0.475*44/12</f>
        <v>1.0232111450993756E-11</v>
      </c>
      <c r="EY166" s="24">
        <f t="shared" si="181"/>
        <v>42.171297531734261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1.1368683772161603E-13</v>
      </c>
      <c r="FF166" s="18">
        <f>FE166*VLOOKUP('Données projet'!$B$16,Paramètres!$A$1:$I$89,3,0)*VLOOKUP('Données projet'!$B$16,Paramètres!$A$1:$I$89,5,0)</f>
        <v>6.7984728957526396E-14</v>
      </c>
      <c r="FG166" s="14">
        <f t="shared" si="182"/>
        <v>1.0682447123141398E-12</v>
      </c>
      <c r="FH166" s="22">
        <f t="shared" si="183"/>
        <v>1.978932943548152E-12</v>
      </c>
      <c r="FI166" s="62">
        <f t="shared" si="131"/>
        <v>293.3333333333353</v>
      </c>
      <c r="FJ166" s="62">
        <f ca="1">AVERAGE(OFFSET($FI$3,0,0,'Données projet'!$E$16+1,1))-AVERAGE(OFFSET($H$3,0,0,'Données projet'!$E$16+1,1))</f>
        <v>330.48891719033065</v>
      </c>
      <c r="FK166" s="62">
        <f t="shared" si="156"/>
        <v>419.35494198427284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27.644378928693143</v>
      </c>
      <c r="FR166" s="23">
        <f>EXP(-LN(2)/25)*FR165+(1-EXP(-LN(2)/25))/(LN(2)/25)*Calculateur!FM166*Calculateur!FO166*VLOOKUP('Données projet'!$B$16,Paramètres!$A$1:$I$89,3,0)*0.475*44/12</f>
        <v>2.0663417539882651</v>
      </c>
      <c r="FS166" s="23">
        <f>EXP(-LN(2)/2)*FS165+(1-EXP(-LN(2)/2))/(LN(2)/2)*FM166*FP166*VLOOKUP('Données projet'!$B$16,Paramètres!$A$1:$I$89,3,0)*0.475*44/12</f>
        <v>2.7271354088475172E-15</v>
      </c>
      <c r="FT166" s="24">
        <f t="shared" si="184"/>
        <v>29.710720682681412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>
        <f>FZ166*VLOOKUP('Données projet'!$B$17,Paramètres!$A$1:$I$89,3,0)*VLOOKUP('Données projet'!$B$17,Paramètres!$A$1:$I$89,5,0)</f>
        <v>0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132.18258156780018</v>
      </c>
      <c r="GF166" s="62">
        <f t="shared" si="158"/>
        <v>315.58133946947294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3.1140711992110486</v>
      </c>
      <c r="GM166" s="23">
        <f>EXP(-LN(2)/25)*GM165+(1-EXP(-LN(2)/25))/(LN(2)/25)*Calculateur!GH166*Calculateur!GJ166*VLOOKUP('Données projet'!$B$17,Paramètres!$A$1:$I$89,3,0)*0.475*44/12</f>
        <v>0.46448244986373921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3.578553649074788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9">
        <f t="shared" si="110"/>
        <v>576.18920230909794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>
        <f>VLOOKUP(A167,'Données projet'!$A$35:$I$55,2,0)</f>
        <v>519.77</v>
      </c>
      <c r="L167" s="13">
        <f>VLOOKUP(A167,'Données projet'!$A$35:$I$55,9,0)</f>
        <v>8.4429999999999943</v>
      </c>
      <c r="M167" s="13">
        <f t="array" ref="M167">INDEX(L:L,MIN(IF(ISNUMBER(L167:L363),ROW(L167:L363),"")))</f>
        <v>8.4429999999999943</v>
      </c>
      <c r="N167" s="14">
        <f>IF('Données projet'!$A$36&gt;35,N166+M167-V166,IF(A167&lt;'Données projet'!$A$36,$K$205^A167,IF(A167='Données projet'!$A$36,'Données projet'!$B$36,N166+M167-V166)))</f>
        <v>519.77000000000032</v>
      </c>
      <c r="O167" s="14">
        <f>N167*VLOOKUP('Données projet'!$B$9,Paramètres!$A$1:$I$89,3,0)*VLOOKUP('Données projet'!$B$9,Paramètres!$A$1:$I$89,5,0)</f>
        <v>470.28789600000022</v>
      </c>
      <c r="P167" s="14">
        <f t="shared" si="141"/>
        <v>105.88945661390174</v>
      </c>
      <c r="Q167" s="22">
        <f t="shared" si="162"/>
        <v>1003.5088891358791</v>
      </c>
      <c r="R167" s="62">
        <f t="shared" si="109"/>
        <v>1296.8422224692124</v>
      </c>
      <c r="S167" s="62">
        <f ca="1">AVERAGE(OFFSET($R$3,0,0,'Données projet'!$E$9+1,1))-AVERAGE(OFFSET($H$3,0,0,'Données projet'!$E$9+1,1))</f>
        <v>401.86262166363821</v>
      </c>
      <c r="T167" s="62">
        <f t="shared" si="142"/>
        <v>208.60314230781432</v>
      </c>
      <c r="U167" s="16">
        <f>IF(ISNA(VLOOKUP(A167,'Données projet'!$A$35:$I$55,3,0)),0,VLOOKUP(A167,'Données projet'!$A$35:$I$55,3,0))</f>
        <v>14</v>
      </c>
      <c r="V167" s="16">
        <f>IF(ISNA(VLOOKUP(A167,'Données projet'!$A$35:$I$55,4,0)),0,VLOOKUP(A167,'Données projet'!$A$35:$I$55,4,0))</f>
        <v>59.58</v>
      </c>
      <c r="W167" s="17">
        <f>IF(ISNA(VLOOKUP(A167,'Données projet'!$A$35:$I$55,5,0)),0%,VLOOKUP(A167,'Données projet'!$A$35:$I$55,5,0)*VLOOKUP('Données projet'!$B$9,Paramètres!$A$1:$I$89,7,0))</f>
        <v>0.34400000000000003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79.995153514382864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79.995153514382864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6.8212102632969618E-13</v>
      </c>
      <c r="AJ167" s="14">
        <f>AI167*VLOOKUP('Données projet'!$B$10,Paramètres!$A$1:$I$89,3,0)*VLOOKUP('Données projet'!$B$10,Paramètres!$A$1:$I$89,5,0)</f>
        <v>7.3423507274128498E-13</v>
      </c>
      <c r="AK167" s="14">
        <f t="shared" si="164"/>
        <v>8.7458894232577541E-12</v>
      </c>
      <c r="AL167" s="22">
        <f t="shared" si="165"/>
        <v>1.6511216830531657E-11</v>
      </c>
      <c r="AM167" s="62">
        <f t="shared" si="113"/>
        <v>293.3333333333498</v>
      </c>
      <c r="AN167" s="62">
        <f ca="1">AVERAGE(OFFSET($AM$3,0,0,'Données projet'!$E$10+1,1))-AVERAGE(OFFSET($H$3,0,0,'Données projet'!$E$10+1,1))</f>
        <v>407.22515465568205</v>
      </c>
      <c r="AO167" s="62">
        <f t="shared" si="144"/>
        <v>251.6218558398258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87.940846055958929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87.940846055958929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6.8212102632969618E-13</v>
      </c>
      <c r="BE167" s="14">
        <f>BD167*VLOOKUP('Données projet'!$B$11,Paramètres!$A$1:$I$89,3,0)*VLOOKUP('Données projet'!$B$11,Paramètres!$A$1:$I$89,5,0)</f>
        <v>6.5974745666608208E-13</v>
      </c>
      <c r="BF167" s="14">
        <f t="shared" si="167"/>
        <v>7.9570891233345703E-12</v>
      </c>
      <c r="BG167" s="22">
        <f t="shared" si="168"/>
        <v>1.5007657043501137E-11</v>
      </c>
      <c r="BH167" s="62">
        <f t="shared" si="116"/>
        <v>293.33333333334832</v>
      </c>
      <c r="BI167" s="62">
        <f ca="1">AVERAGE(OFFSET($BH$3,0,0,'Données projet'!$E$11+1,1))-AVERAGE(OFFSET($H$3,0,0,'Données projet'!$E$11+1,1))</f>
        <v>357.76044008074308</v>
      </c>
      <c r="BJ167" s="62">
        <f t="shared" si="146"/>
        <v>224.26555772810445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79.019310948832697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79.019310948832697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6.8212102632969618E-13</v>
      </c>
      <c r="BZ167" s="14">
        <f>BY167*VLOOKUP('Données projet'!$B$12,Paramètres!$A$1:$I$89,3,0)*VLOOKUP('Données projet'!$B$12,Paramètres!$A$1:$I$89,5,0)</f>
        <v>4.5756678446196019E-13</v>
      </c>
      <c r="CA167" s="14">
        <f t="shared" si="170"/>
        <v>5.7587689306883675E-12</v>
      </c>
      <c r="CB167" s="22">
        <f t="shared" si="171"/>
        <v>1.0826784703886818E-11</v>
      </c>
      <c r="CC167" s="62">
        <f t="shared" si="119"/>
        <v>293.33333333334411</v>
      </c>
      <c r="CD167" s="62">
        <f ca="1">AVERAGE(OFFSET($CC$3,0,0,'Données projet'!$E$12+1,1))-AVERAGE(OFFSET($H$3,0,0,'Données projet'!$E$12+1,1))</f>
        <v>222.86701323374945</v>
      </c>
      <c r="CE167" s="62">
        <f t="shared" si="148"/>
        <v>149.63671045240511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67.548765811098932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67.548765811098932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8.5265128291212022E-14</v>
      </c>
      <c r="CU167" s="18">
        <f>CT167*VLOOKUP('Données projet'!$B$13,Paramètres!$A$1:$I$89,3,0)*VLOOKUP('Données projet'!$B$13,Paramètres!$A$1:$I$89,5,0)</f>
        <v>5.5865712056402117E-14</v>
      </c>
      <c r="CV167" s="14">
        <f t="shared" si="173"/>
        <v>8.9811031843713517E-13</v>
      </c>
      <c r="CW167" s="22">
        <f t="shared" si="174"/>
        <v>1.6615082531095774E-12</v>
      </c>
      <c r="CX167" s="62">
        <f t="shared" si="122"/>
        <v>293.33333333333496</v>
      </c>
      <c r="CY167" s="62">
        <f ca="1">AVERAGE(OFFSET($CX$3,0,0,'Données projet'!$E$13+1,1))-AVERAGE(OFFSET($H$3,0,0,'Données projet'!$E$13+1,1))</f>
        <v>173.15672762188746</v>
      </c>
      <c r="CZ167" s="62">
        <f t="shared" si="150"/>
        <v>208.54841796921414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19.02299295624055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19.02299295624055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269.18638759204373</v>
      </c>
      <c r="EP167" s="62">
        <f t="shared" si="154"/>
        <v>197.07126167823969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38.246862976679061</v>
      </c>
      <c r="EW167" s="23">
        <f>EXP(-LN(2)/25)*EW166+(1-EXP(-LN(2)/25))/(LN(2)/25)*Calculateur!ER167*Calculateur!ET167*VLOOKUP('Données projet'!$B$15,Paramètres!$A$1:$I$89,3,0)*0.475*44/12</f>
        <v>3.0730408037360597</v>
      </c>
      <c r="EX167" s="23">
        <f>EXP(-LN(2)/2)*EX166+(1-EXP(-LN(2)/2))/(LN(2)/2)*ER167*EU167*VLOOKUP('Données projet'!$B$15,Paramètres!$A$1:$I$89,3,0)*0.475*44/12</f>
        <v>7.2351953928542099E-12</v>
      </c>
      <c r="EY167" s="24">
        <f t="shared" si="181"/>
        <v>41.319903780422351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1.1368683772161603E-13</v>
      </c>
      <c r="FF167" s="18">
        <f>FE167*VLOOKUP('Données projet'!$B$16,Paramètres!$A$1:$I$89,3,0)*VLOOKUP('Données projet'!$B$16,Paramètres!$A$1:$I$89,5,0)</f>
        <v>6.7984728957526396E-14</v>
      </c>
      <c r="FG167" s="14">
        <f t="shared" si="182"/>
        <v>1.0682447123141398E-12</v>
      </c>
      <c r="FH167" s="22">
        <f t="shared" si="183"/>
        <v>1.978932943548152E-12</v>
      </c>
      <c r="FI167" s="62">
        <f t="shared" si="131"/>
        <v>293.3333333333353</v>
      </c>
      <c r="FJ167" s="62">
        <f ca="1">AVERAGE(OFFSET($FI$3,0,0,'Données projet'!$E$16+1,1))-AVERAGE(OFFSET($H$3,0,0,'Données projet'!$E$16+1,1))</f>
        <v>330.48891719033065</v>
      </c>
      <c r="FK167" s="62">
        <f t="shared" si="156"/>
        <v>419.35494198427284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27.102289519307693</v>
      </c>
      <c r="FR167" s="23">
        <f>EXP(-LN(2)/25)*FR166+(1-EXP(-LN(2)/25))/(LN(2)/25)*Calculateur!FM167*Calculateur!FO167*VLOOKUP('Données projet'!$B$16,Paramètres!$A$1:$I$89,3,0)*0.475*44/12</f>
        <v>2.0098375300612661</v>
      </c>
      <c r="FS167" s="23">
        <f>EXP(-LN(2)/2)*FS166+(1-EXP(-LN(2)/2))/(LN(2)/2)*FM167*FP167*VLOOKUP('Données projet'!$B$16,Paramètres!$A$1:$I$89,3,0)*0.475*44/12</f>
        <v>1.9283759408100272E-15</v>
      </c>
      <c r="FT167" s="24">
        <f t="shared" si="184"/>
        <v>29.112127049368961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>
        <f>FZ167*VLOOKUP('Données projet'!$B$17,Paramètres!$A$1:$I$89,3,0)*VLOOKUP('Données projet'!$B$17,Paramètres!$A$1:$I$89,5,0)</f>
        <v>0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132.18258156780018</v>
      </c>
      <c r="GF167" s="62">
        <f t="shared" si="158"/>
        <v>315.58133946947294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3.0530061623904015</v>
      </c>
      <c r="GM167" s="23">
        <f>EXP(-LN(2)/25)*GM166+(1-EXP(-LN(2)/25))/(LN(2)/25)*Calculateur!GH167*Calculateur!GJ167*VLOOKUP('Données projet'!$B$17,Paramètres!$A$1:$I$89,3,0)*0.475*44/12</f>
        <v>0.45178115284614484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3.5047873152365465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9">
        <f t="shared" si="110"/>
        <v>578.09086987634385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8.5459999999999976</v>
      </c>
      <c r="N168" s="14">
        <f>IF('Données projet'!$A$36&gt;35,N167+M168-V167,IF(A168&lt;'Données projet'!$A$36,$K$205^A168,IF(A168='Données projet'!$A$36,'Données projet'!$B$36,N167+M168-V167)))</f>
        <v>468.73600000000039</v>
      </c>
      <c r="O168" s="14">
        <f>N168*VLOOKUP('Données projet'!$B$9,Paramètres!$A$1:$I$89,3,0)*VLOOKUP('Données projet'!$B$9,Paramètres!$A$1:$I$89,5,0)</f>
        <v>424.11233280000033</v>
      </c>
      <c r="P168" s="14">
        <f t="shared" si="141"/>
        <v>96.648293340367189</v>
      </c>
      <c r="Q168" s="22">
        <f t="shared" si="162"/>
        <v>906.99142386114011</v>
      </c>
      <c r="R168" s="62">
        <f t="shared" si="109"/>
        <v>1200.3247571944735</v>
      </c>
      <c r="S168" s="62">
        <f ca="1">AVERAGE(OFFSET($R$3,0,0,'Données projet'!$E$9+1,1))-AVERAGE(OFFSET($H$3,0,0,'Données projet'!$E$9+1,1))</f>
        <v>401.86262166363821</v>
      </c>
      <c r="T168" s="62">
        <f t="shared" si="142"/>
        <v>208.60314230781432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78.426497346191624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78.426497346191624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6.8212102632969618E-13</v>
      </c>
      <c r="AJ168" s="14">
        <f>AI168*VLOOKUP('Données projet'!$B$10,Paramètres!$A$1:$I$89,3,0)*VLOOKUP('Données projet'!$B$10,Paramètres!$A$1:$I$89,5,0)</f>
        <v>7.3423507274128498E-13</v>
      </c>
      <c r="AK168" s="14">
        <f t="shared" si="164"/>
        <v>8.7458894232577541E-12</v>
      </c>
      <c r="AL168" s="22">
        <f t="shared" si="165"/>
        <v>1.6511216830531657E-11</v>
      </c>
      <c r="AM168" s="62">
        <f t="shared" si="113"/>
        <v>293.3333333333498</v>
      </c>
      <c r="AN168" s="62">
        <f ca="1">AVERAGE(OFFSET($AM$3,0,0,'Données projet'!$E$10+1,1))-AVERAGE(OFFSET($H$3,0,0,'Données projet'!$E$10+1,1))</f>
        <v>407.22515465568205</v>
      </c>
      <c r="AO168" s="62">
        <f t="shared" si="144"/>
        <v>251.6218558398258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86.216379703421296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86.216379703421296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6.8212102632969618E-13</v>
      </c>
      <c r="BE168" s="14">
        <f>BD168*VLOOKUP('Données projet'!$B$11,Paramètres!$A$1:$I$89,3,0)*VLOOKUP('Données projet'!$B$11,Paramètres!$A$1:$I$89,5,0)</f>
        <v>6.5974745666608208E-13</v>
      </c>
      <c r="BF168" s="14">
        <f t="shared" si="167"/>
        <v>7.9570891233345703E-12</v>
      </c>
      <c r="BG168" s="22">
        <f t="shared" si="168"/>
        <v>1.5007657043501137E-11</v>
      </c>
      <c r="BH168" s="62">
        <f t="shared" si="116"/>
        <v>293.33333333334832</v>
      </c>
      <c r="BI168" s="62">
        <f ca="1">AVERAGE(OFFSET($BH$3,0,0,'Données projet'!$E$11+1,1))-AVERAGE(OFFSET($H$3,0,0,'Données projet'!$E$11+1,1))</f>
        <v>357.76044008074308</v>
      </c>
      <c r="BJ168" s="62">
        <f t="shared" si="146"/>
        <v>224.26555772810445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77.469790458146704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77.469790458146704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6.8212102632969618E-13</v>
      </c>
      <c r="BZ168" s="14">
        <f>BY168*VLOOKUP('Données projet'!$B$12,Paramètres!$A$1:$I$89,3,0)*VLOOKUP('Données projet'!$B$12,Paramètres!$A$1:$I$89,5,0)</f>
        <v>4.5756678446196019E-13</v>
      </c>
      <c r="CA168" s="14">
        <f t="shared" si="170"/>
        <v>5.7587689306883675E-12</v>
      </c>
      <c r="CB168" s="22">
        <f t="shared" si="171"/>
        <v>1.0826784703886818E-11</v>
      </c>
      <c r="CC168" s="62">
        <f t="shared" si="119"/>
        <v>293.33333333334411</v>
      </c>
      <c r="CD168" s="62">
        <f ca="1">AVERAGE(OFFSET($CC$3,0,0,'Données projet'!$E$12+1,1))-AVERAGE(OFFSET($H$3,0,0,'Données projet'!$E$12+1,1))</f>
        <v>222.86701323374945</v>
      </c>
      <c r="CE168" s="62">
        <f t="shared" si="148"/>
        <v>149.63671045240511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66.224175714222199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66.224175714222199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8.5265128291212022E-14</v>
      </c>
      <c r="CU168" s="18">
        <f>CT168*VLOOKUP('Données projet'!$B$13,Paramètres!$A$1:$I$89,3,0)*VLOOKUP('Données projet'!$B$13,Paramètres!$A$1:$I$89,5,0)</f>
        <v>5.5865712056402117E-14</v>
      </c>
      <c r="CV168" s="14">
        <f t="shared" si="173"/>
        <v>8.9811031843713517E-13</v>
      </c>
      <c r="CW168" s="22">
        <f t="shared" si="174"/>
        <v>1.6615082531095774E-12</v>
      </c>
      <c r="CX168" s="62">
        <f t="shared" si="122"/>
        <v>293.33333333333496</v>
      </c>
      <c r="CY168" s="62">
        <f ca="1">AVERAGE(OFFSET($CX$3,0,0,'Données projet'!$E$13+1,1))-AVERAGE(OFFSET($H$3,0,0,'Données projet'!$E$13+1,1))</f>
        <v>173.15672762188746</v>
      </c>
      <c r="CZ168" s="62">
        <f t="shared" si="150"/>
        <v>208.54841796921414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18.649963667248688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18.649963667248688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269.18638759204373</v>
      </c>
      <c r="EP168" s="62">
        <f t="shared" si="154"/>
        <v>197.07126167823969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37.496865321989326</v>
      </c>
      <c r="EW168" s="23">
        <f>EXP(-LN(2)/25)*EW167+(1-EXP(-LN(2)/25))/(LN(2)/25)*Calculateur!ER168*Calculateur!ET168*VLOOKUP('Données projet'!$B$15,Paramètres!$A$1:$I$89,3,0)*0.475*44/12</f>
        <v>2.989008341353705</v>
      </c>
      <c r="EX168" s="23">
        <f>EXP(-LN(2)/2)*EX167+(1-EXP(-LN(2)/2))/(LN(2)/2)*ER168*EU168*VLOOKUP('Données projet'!$B$15,Paramètres!$A$1:$I$89,3,0)*0.475*44/12</f>
        <v>5.1160557254968789E-12</v>
      </c>
      <c r="EY168" s="24">
        <f t="shared" si="181"/>
        <v>40.485873663348144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1.1368683772161603E-13</v>
      </c>
      <c r="FF168" s="18">
        <f>FE168*VLOOKUP('Données projet'!$B$16,Paramètres!$A$1:$I$89,3,0)*VLOOKUP('Données projet'!$B$16,Paramètres!$A$1:$I$89,5,0)</f>
        <v>6.7984728957526396E-14</v>
      </c>
      <c r="FG168" s="14">
        <f t="shared" si="182"/>
        <v>1.0682447123141398E-12</v>
      </c>
      <c r="FH168" s="22">
        <f t="shared" si="183"/>
        <v>1.978932943548152E-12</v>
      </c>
      <c r="FI168" s="62">
        <f t="shared" si="131"/>
        <v>293.3333333333353</v>
      </c>
      <c r="FJ168" s="62">
        <f ca="1">AVERAGE(OFFSET($FI$3,0,0,'Données projet'!$E$16+1,1))-AVERAGE(OFFSET($H$3,0,0,'Données projet'!$E$16+1,1))</f>
        <v>330.48891719033065</v>
      </c>
      <c r="FK168" s="62">
        <f t="shared" si="156"/>
        <v>419.35494198427284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26.570830152598397</v>
      </c>
      <c r="FR168" s="23">
        <f>EXP(-LN(2)/25)*FR167+(1-EXP(-LN(2)/25))/(LN(2)/25)*Calculateur!FM168*Calculateur!FO168*VLOOKUP('Données projet'!$B$16,Paramètres!$A$1:$I$89,3,0)*0.475*44/12</f>
        <v>1.9548784171089786</v>
      </c>
      <c r="FS168" s="23">
        <f>EXP(-LN(2)/2)*FS167+(1-EXP(-LN(2)/2))/(LN(2)/2)*FM168*FP168*VLOOKUP('Données projet'!$B$16,Paramètres!$A$1:$I$89,3,0)*0.475*44/12</f>
        <v>1.3635677044237586E-15</v>
      </c>
      <c r="FT168" s="24">
        <f t="shared" si="184"/>
        <v>28.525708569707376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>
        <f>FZ168*VLOOKUP('Données projet'!$B$17,Paramètres!$A$1:$I$89,3,0)*VLOOKUP('Données projet'!$B$17,Paramètres!$A$1:$I$89,5,0)</f>
        <v>0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132.18258156780018</v>
      </c>
      <c r="GF168" s="62">
        <f t="shared" si="158"/>
        <v>315.58133946947294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2.9931385736958127</v>
      </c>
      <c r="GM168" s="23">
        <f>EXP(-LN(2)/25)*GM167+(1-EXP(-LN(2)/25))/(LN(2)/25)*Calculateur!GH168*Calculateur!GJ168*VLOOKUP('Données projet'!$B$17,Paramètres!$A$1:$I$89,3,0)*0.475*44/12</f>
        <v>0.43942717346342874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3.4325657471592415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9">
        <f t="shared" si="110"/>
        <v>579.99228852016029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8.5459999999999976</v>
      </c>
      <c r="N169" s="14">
        <f>IF('Données projet'!$A$36&gt;35,N168+M169-V168,IF(A169&lt;'Données projet'!$A$36,$K$205^A169,IF(A169='Données projet'!$A$36,'Données projet'!$B$36,N168+M169-V168)))</f>
        <v>477.28200000000038</v>
      </c>
      <c r="O169" s="14">
        <f>N169*VLOOKUP('Données projet'!$B$9,Paramètres!$A$1:$I$89,3,0)*VLOOKUP('Données projet'!$B$9,Paramètres!$A$1:$I$89,5,0)</f>
        <v>431.84475360000033</v>
      </c>
      <c r="P169" s="14">
        <f t="shared" si="141"/>
        <v>98.203637489221336</v>
      </c>
      <c r="Q169" s="22">
        <f t="shared" si="162"/>
        <v>923.16761448039449</v>
      </c>
      <c r="R169" s="62">
        <f t="shared" si="109"/>
        <v>1216.5009478137279</v>
      </c>
      <c r="S169" s="62">
        <f ca="1">AVERAGE(OFFSET($R$3,0,0,'Données projet'!$E$9+1,1))-AVERAGE(OFFSET($H$3,0,0,'Données projet'!$E$9+1,1))</f>
        <v>401.86262166363821</v>
      </c>
      <c r="T169" s="62">
        <f t="shared" si="142"/>
        <v>208.60314230781432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76.888601568672826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76.888601568672826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6.8212102632969618E-13</v>
      </c>
      <c r="AJ169" s="14">
        <f>AI169*VLOOKUP('Données projet'!$B$10,Paramètres!$A$1:$I$89,3,0)*VLOOKUP('Données projet'!$B$10,Paramètres!$A$1:$I$89,5,0)</f>
        <v>7.3423507274128498E-13</v>
      </c>
      <c r="AK169" s="14">
        <f t="shared" si="164"/>
        <v>8.7458894232577541E-12</v>
      </c>
      <c r="AL169" s="22">
        <f t="shared" si="165"/>
        <v>1.6511216830531657E-11</v>
      </c>
      <c r="AM169" s="62">
        <f t="shared" si="113"/>
        <v>293.3333333333498</v>
      </c>
      <c r="AN169" s="62">
        <f ca="1">AVERAGE(OFFSET($AM$3,0,0,'Données projet'!$E$10+1,1))-AVERAGE(OFFSET($H$3,0,0,'Données projet'!$E$10+1,1))</f>
        <v>407.22515465568205</v>
      </c>
      <c r="AO169" s="62">
        <f t="shared" si="144"/>
        <v>251.6218558398258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84.525729084236303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84.525729084236303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6.8212102632969618E-13</v>
      </c>
      <c r="BE169" s="14">
        <f>BD169*VLOOKUP('Données projet'!$B$11,Paramètres!$A$1:$I$89,3,0)*VLOOKUP('Données projet'!$B$11,Paramètres!$A$1:$I$89,5,0)</f>
        <v>6.5974745666608208E-13</v>
      </c>
      <c r="BF169" s="14">
        <f t="shared" si="167"/>
        <v>7.9570891233345703E-12</v>
      </c>
      <c r="BG169" s="22">
        <f t="shared" si="168"/>
        <v>1.5007657043501137E-11</v>
      </c>
      <c r="BH169" s="62">
        <f t="shared" si="116"/>
        <v>293.33333333334832</v>
      </c>
      <c r="BI169" s="62">
        <f ca="1">AVERAGE(OFFSET($BH$3,0,0,'Données projet'!$E$11+1,1))-AVERAGE(OFFSET($H$3,0,0,'Données projet'!$E$11+1,1))</f>
        <v>357.76044008074308</v>
      </c>
      <c r="BJ169" s="62">
        <f t="shared" si="146"/>
        <v>224.26555772810445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75.950655119168886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75.950655119168886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6.8212102632969618E-13</v>
      </c>
      <c r="BZ169" s="14">
        <f>BY169*VLOOKUP('Données projet'!$B$12,Paramètres!$A$1:$I$89,3,0)*VLOOKUP('Données projet'!$B$12,Paramètres!$A$1:$I$89,5,0)</f>
        <v>4.5756678446196019E-13</v>
      </c>
      <c r="CA169" s="14">
        <f t="shared" si="170"/>
        <v>5.7587689306883675E-12</v>
      </c>
      <c r="CB169" s="22">
        <f t="shared" si="171"/>
        <v>1.0826784703886818E-11</v>
      </c>
      <c r="CC169" s="62">
        <f t="shared" si="119"/>
        <v>293.33333333334411</v>
      </c>
      <c r="CD169" s="62">
        <f ca="1">AVERAGE(OFFSET($CC$3,0,0,'Données projet'!$E$12+1,1))-AVERAGE(OFFSET($H$3,0,0,'Données projet'!$E$12+1,1))</f>
        <v>222.86701323374945</v>
      </c>
      <c r="CE169" s="62">
        <f t="shared" si="148"/>
        <v>149.63671045240511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64.925560021225039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64.925560021225039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8.5265128291212022E-14</v>
      </c>
      <c r="CU169" s="18">
        <f>CT169*VLOOKUP('Données projet'!$B$13,Paramètres!$A$1:$I$89,3,0)*VLOOKUP('Données projet'!$B$13,Paramètres!$A$1:$I$89,5,0)</f>
        <v>5.5865712056402117E-14</v>
      </c>
      <c r="CV169" s="14">
        <f t="shared" si="173"/>
        <v>8.9811031843713517E-13</v>
      </c>
      <c r="CW169" s="22">
        <f t="shared" si="174"/>
        <v>1.6615082531095774E-12</v>
      </c>
      <c r="CX169" s="62">
        <f t="shared" si="122"/>
        <v>293.33333333333496</v>
      </c>
      <c r="CY169" s="62">
        <f ca="1">AVERAGE(OFFSET($CX$3,0,0,'Données projet'!$E$13+1,1))-AVERAGE(OFFSET($H$3,0,0,'Données projet'!$E$13+1,1))</f>
        <v>173.15672762188746</v>
      </c>
      <c r="CZ169" s="62">
        <f t="shared" si="150"/>
        <v>208.54841796921414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18.284249255088554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18.284249255088554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269.18638759204373</v>
      </c>
      <c r="EP169" s="62">
        <f t="shared" si="154"/>
        <v>197.07126167823969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36.761574663854653</v>
      </c>
      <c r="EW169" s="23">
        <f>EXP(-LN(2)/25)*EW168+(1-EXP(-LN(2)/25))/(LN(2)/25)*Calculateur!ER169*Calculateur!ET169*VLOOKUP('Données projet'!$B$15,Paramètres!$A$1:$I$89,3,0)*0.475*44/12</f>
        <v>2.9072737510742708</v>
      </c>
      <c r="EX169" s="23">
        <f>EXP(-LN(2)/2)*EX168+(1-EXP(-LN(2)/2))/(LN(2)/2)*ER169*EU169*VLOOKUP('Données projet'!$B$15,Paramètres!$A$1:$I$89,3,0)*0.475*44/12</f>
        <v>3.6175976964271054E-12</v>
      </c>
      <c r="EY169" s="24">
        <f t="shared" si="181"/>
        <v>39.66884841493254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1.1368683772161603E-13</v>
      </c>
      <c r="FF169" s="18">
        <f>FE169*VLOOKUP('Données projet'!$B$16,Paramètres!$A$1:$I$89,3,0)*VLOOKUP('Données projet'!$B$16,Paramètres!$A$1:$I$89,5,0)</f>
        <v>6.7984728957526396E-14</v>
      </c>
      <c r="FG169" s="14">
        <f t="shared" si="182"/>
        <v>1.0682447123141398E-12</v>
      </c>
      <c r="FH169" s="22">
        <f t="shared" si="183"/>
        <v>1.978932943548152E-12</v>
      </c>
      <c r="FI169" s="62">
        <f t="shared" si="131"/>
        <v>293.3333333333353</v>
      </c>
      <c r="FJ169" s="62">
        <f ca="1">AVERAGE(OFFSET($FI$3,0,0,'Données projet'!$E$16+1,1))-AVERAGE(OFFSET($H$3,0,0,'Données projet'!$E$16+1,1))</f>
        <v>330.48891719033065</v>
      </c>
      <c r="FK169" s="62">
        <f t="shared" si="156"/>
        <v>419.35494198427284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26.049792379912066</v>
      </c>
      <c r="FR169" s="23">
        <f>EXP(-LN(2)/25)*FR168+(1-EXP(-LN(2)/25))/(LN(2)/25)*Calculateur!FM169*Calculateur!FO169*VLOOKUP('Données projet'!$B$16,Paramètres!$A$1:$I$89,3,0)*0.475*44/12</f>
        <v>1.9014221639905455</v>
      </c>
      <c r="FS169" s="23">
        <f>EXP(-LN(2)/2)*FS168+(1-EXP(-LN(2)/2))/(LN(2)/2)*FM169*FP169*VLOOKUP('Données projet'!$B$16,Paramètres!$A$1:$I$89,3,0)*0.475*44/12</f>
        <v>9.6418797040501358E-16</v>
      </c>
      <c r="FT169" s="24">
        <f t="shared" si="184"/>
        <v>27.951214543902612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>
        <f>FZ169*VLOOKUP('Données projet'!$B$17,Paramètres!$A$1:$I$89,3,0)*VLOOKUP('Données projet'!$B$17,Paramètres!$A$1:$I$89,5,0)</f>
        <v>0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132.18258156780018</v>
      </c>
      <c r="GF169" s="62">
        <f t="shared" si="158"/>
        <v>315.58133946947294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2.9344449518999012</v>
      </c>
      <c r="GM169" s="23">
        <f>EXP(-LN(2)/25)*GM168+(1-EXP(-LN(2)/25))/(LN(2)/25)*Calculateur!GH169*Calculateur!GJ169*VLOOKUP('Données projet'!$B$17,Paramètres!$A$1:$I$89,3,0)*0.475*44/12</f>
        <v>0.42741101429660056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3.3618559661965017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9">
        <f t="shared" si="110"/>
        <v>581.89345991406594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8.5459999999999976</v>
      </c>
      <c r="N170" s="14">
        <f>IF('Données projet'!$A$36&gt;35,N169+M170-V169,IF(A170&lt;'Données projet'!$A$36,$K$205^A170,IF(A170='Données projet'!$A$36,'Données projet'!$B$36,N169+M170-V169)))</f>
        <v>485.82800000000037</v>
      </c>
      <c r="O170" s="14">
        <f>N170*VLOOKUP('Données projet'!$B$9,Paramètres!$A$1:$I$89,3,0)*VLOOKUP('Données projet'!$B$9,Paramètres!$A$1:$I$89,5,0)</f>
        <v>439.57717440000033</v>
      </c>
      <c r="P170" s="14">
        <f t="shared" si="141"/>
        <v>99.755743172047673</v>
      </c>
      <c r="Q170" s="22">
        <f t="shared" si="162"/>
        <v>939.33816477131688</v>
      </c>
      <c r="R170" s="62">
        <f t="shared" si="109"/>
        <v>1232.6714981046503</v>
      </c>
      <c r="S170" s="62">
        <f ca="1">AVERAGE(OFFSET($R$3,0,0,'Données projet'!$E$9+1,1))-AVERAGE(OFFSET($H$3,0,0,'Données projet'!$E$9+1,1))</f>
        <v>401.86262166363821</v>
      </c>
      <c r="T170" s="62">
        <f t="shared" si="142"/>
        <v>208.60314230781432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75.380862989327369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75.380862989327369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6.8212102632969618E-13</v>
      </c>
      <c r="AJ170" s="14">
        <f>AI170*VLOOKUP('Données projet'!$B$10,Paramètres!$A$1:$I$89,3,0)*VLOOKUP('Données projet'!$B$10,Paramètres!$A$1:$I$89,5,0)</f>
        <v>7.3423507274128498E-13</v>
      </c>
      <c r="AK170" s="14">
        <f t="shared" si="164"/>
        <v>8.7458894232577541E-12</v>
      </c>
      <c r="AL170" s="22">
        <f t="shared" si="165"/>
        <v>1.6511216830531657E-11</v>
      </c>
      <c r="AM170" s="62">
        <f t="shared" si="113"/>
        <v>293.3333333333498</v>
      </c>
      <c r="AN170" s="62">
        <f ca="1">AVERAGE(OFFSET($AM$3,0,0,'Données projet'!$E$10+1,1))-AVERAGE(OFFSET($H$3,0,0,'Données projet'!$E$10+1,1))</f>
        <v>407.22515465568205</v>
      </c>
      <c r="AO170" s="62">
        <f t="shared" si="144"/>
        <v>251.6218558398258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82.868231092498476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82.868231092498476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6.8212102632969618E-13</v>
      </c>
      <c r="BE170" s="14">
        <f>BD170*VLOOKUP('Données projet'!$B$11,Paramètres!$A$1:$I$89,3,0)*VLOOKUP('Données projet'!$B$11,Paramètres!$A$1:$I$89,5,0)</f>
        <v>6.5974745666608208E-13</v>
      </c>
      <c r="BF170" s="14">
        <f t="shared" si="167"/>
        <v>7.9570891233345703E-12</v>
      </c>
      <c r="BG170" s="22">
        <f t="shared" si="168"/>
        <v>1.5007657043501137E-11</v>
      </c>
      <c r="BH170" s="62">
        <f t="shared" si="116"/>
        <v>293.33333333334832</v>
      </c>
      <c r="BI170" s="62">
        <f ca="1">AVERAGE(OFFSET($BH$3,0,0,'Données projet'!$E$11+1,1))-AVERAGE(OFFSET($H$3,0,0,'Données projet'!$E$11+1,1))</f>
        <v>357.76044008074308</v>
      </c>
      <c r="BJ170" s="62">
        <f t="shared" si="146"/>
        <v>224.26555772810445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74.461309097607355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74.461309097607355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6.8212102632969618E-13</v>
      </c>
      <c r="BZ170" s="14">
        <f>BY170*VLOOKUP('Données projet'!$B$12,Paramètres!$A$1:$I$89,3,0)*VLOOKUP('Données projet'!$B$12,Paramètres!$A$1:$I$89,5,0)</f>
        <v>4.5756678446196019E-13</v>
      </c>
      <c r="CA170" s="14">
        <f t="shared" si="170"/>
        <v>5.7587689306883675E-12</v>
      </c>
      <c r="CB170" s="22">
        <f t="shared" si="171"/>
        <v>1.0826784703886818E-11</v>
      </c>
      <c r="CC170" s="62">
        <f t="shared" si="119"/>
        <v>293.33333333334411</v>
      </c>
      <c r="CD170" s="62">
        <f ca="1">AVERAGE(OFFSET($CC$3,0,0,'Données projet'!$E$12+1,1))-AVERAGE(OFFSET($H$3,0,0,'Données projet'!$E$12+1,1))</f>
        <v>222.86701323374945</v>
      </c>
      <c r="CE170" s="62">
        <f t="shared" si="148"/>
        <v>149.63671045240511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63.652409389890188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63.652409389890188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8.5265128291212022E-14</v>
      </c>
      <c r="CU170" s="18">
        <f>CT170*VLOOKUP('Données projet'!$B$13,Paramètres!$A$1:$I$89,3,0)*VLOOKUP('Données projet'!$B$13,Paramètres!$A$1:$I$89,5,0)</f>
        <v>5.5865712056402117E-14</v>
      </c>
      <c r="CV170" s="14">
        <f t="shared" si="173"/>
        <v>8.9811031843713517E-13</v>
      </c>
      <c r="CW170" s="22">
        <f t="shared" si="174"/>
        <v>1.6615082531095774E-12</v>
      </c>
      <c r="CX170" s="62">
        <f t="shared" si="122"/>
        <v>293.33333333333496</v>
      </c>
      <c r="CY170" s="62">
        <f ca="1">AVERAGE(OFFSET($CX$3,0,0,'Données projet'!$E$13+1,1))-AVERAGE(OFFSET($H$3,0,0,'Données projet'!$E$13+1,1))</f>
        <v>173.15672762188746</v>
      </c>
      <c r="CZ170" s="62">
        <f t="shared" si="150"/>
        <v>208.54841796921414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17.925706279487116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17.925706279487116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269.18638759204373</v>
      </c>
      <c r="EP170" s="62">
        <f t="shared" si="154"/>
        <v>197.07126167823969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36.040702607042988</v>
      </c>
      <c r="EW170" s="23">
        <f>EXP(-LN(2)/25)*EW169+(1-EXP(-LN(2)/25))/(LN(2)/25)*Calculateur!ER170*Calculateur!ET170*VLOOKUP('Données projet'!$B$15,Paramètres!$A$1:$I$89,3,0)*0.475*44/12</f>
        <v>2.827774197464263</v>
      </c>
      <c r="EX170" s="23">
        <f>EXP(-LN(2)/2)*EX169+(1-EXP(-LN(2)/2))/(LN(2)/2)*ER170*EU170*VLOOKUP('Données projet'!$B$15,Paramètres!$A$1:$I$89,3,0)*0.475*44/12</f>
        <v>2.5580278627484399E-12</v>
      </c>
      <c r="EY170" s="24">
        <f t="shared" si="181"/>
        <v>38.868476804509811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1.1368683772161603E-13</v>
      </c>
      <c r="FF170" s="18">
        <f>FE170*VLOOKUP('Données projet'!$B$16,Paramètres!$A$1:$I$89,3,0)*VLOOKUP('Données projet'!$B$16,Paramètres!$A$1:$I$89,5,0)</f>
        <v>6.7984728957526396E-14</v>
      </c>
      <c r="FG170" s="14">
        <f t="shared" si="182"/>
        <v>1.0682447123141398E-12</v>
      </c>
      <c r="FH170" s="22">
        <f t="shared" si="183"/>
        <v>1.978932943548152E-12</v>
      </c>
      <c r="FI170" s="62">
        <f t="shared" si="131"/>
        <v>293.3333333333353</v>
      </c>
      <c r="FJ170" s="62">
        <f ca="1">AVERAGE(OFFSET($FI$3,0,0,'Données projet'!$E$16+1,1))-AVERAGE(OFFSET($H$3,0,0,'Données projet'!$E$16+1,1))</f>
        <v>330.48891719033065</v>
      </c>
      <c r="FK170" s="62">
        <f t="shared" si="156"/>
        <v>419.35494198427284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25.538971840146452</v>
      </c>
      <c r="FR170" s="23">
        <f>EXP(-LN(2)/25)*FR169+(1-EXP(-LN(2)/25))/(LN(2)/25)*Calculateur!FM170*Calculateur!FO170*VLOOKUP('Données projet'!$B$16,Paramètres!$A$1:$I$89,3,0)*0.475*44/12</f>
        <v>1.8494276749247782</v>
      </c>
      <c r="FS170" s="23">
        <f>EXP(-LN(2)/2)*FS169+(1-EXP(-LN(2)/2))/(LN(2)/2)*FM170*FP170*VLOOKUP('Données projet'!$B$16,Paramètres!$A$1:$I$89,3,0)*0.475*44/12</f>
        <v>6.8178385221187931E-16</v>
      </c>
      <c r="FT170" s="24">
        <f t="shared" si="184"/>
        <v>27.388399515071232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>
        <f>FZ170*VLOOKUP('Données projet'!$B$17,Paramètres!$A$1:$I$89,3,0)*VLOOKUP('Données projet'!$B$17,Paramètres!$A$1:$I$89,5,0)</f>
        <v>0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132.18258156780018</v>
      </c>
      <c r="GF170" s="62">
        <f t="shared" si="158"/>
        <v>315.58133946947294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2.8769022762278333</v>
      </c>
      <c r="GM170" s="23">
        <f>EXP(-LN(2)/25)*GM169+(1-EXP(-LN(2)/25))/(LN(2)/25)*Calculateur!GH170*Calculateur!GJ170*VLOOKUP('Données projet'!$B$17,Paramètres!$A$1:$I$89,3,0)*0.475*44/12</f>
        <v>0.41572343763409164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3.2926257138619248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9">
        <f t="shared" si="110"/>
        <v>583.79438571037758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8.5459999999999976</v>
      </c>
      <c r="N171" s="14">
        <f>IF('Données projet'!$A$36&gt;35,N170+M171-V170,IF(A171&lt;'Données projet'!$A$36,$K$205^A171,IF(A171='Données projet'!$A$36,'Données projet'!$B$36,N170+M171-V170)))</f>
        <v>494.37400000000036</v>
      </c>
      <c r="O171" s="14">
        <f>N171*VLOOKUP('Données projet'!$B$9,Paramètres!$A$1:$I$89,3,0)*VLOOKUP('Données projet'!$B$9,Paramètres!$A$1:$I$89,5,0)</f>
        <v>447.30959520000027</v>
      </c>
      <c r="P171" s="14">
        <f t="shared" si="141"/>
        <v>101.30467392781068</v>
      </c>
      <c r="Q171" s="22">
        <f t="shared" si="162"/>
        <v>955.50318539760417</v>
      </c>
      <c r="R171" s="62">
        <f t="shared" si="109"/>
        <v>1248.8365187309375</v>
      </c>
      <c r="S171" s="62">
        <f ca="1">AVERAGE(OFFSET($R$3,0,0,'Données projet'!$E$9+1,1))-AVERAGE(OFFSET($H$3,0,0,'Données projet'!$E$9+1,1))</f>
        <v>401.86262166363821</v>
      </c>
      <c r="T171" s="62">
        <f t="shared" si="142"/>
        <v>208.60314230781432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73.902690243893147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73.902690243893147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6.8212102632969618E-13</v>
      </c>
      <c r="AJ171" s="14">
        <f>AI171*VLOOKUP('Données projet'!$B$10,Paramètres!$A$1:$I$89,3,0)*VLOOKUP('Données projet'!$B$10,Paramètres!$A$1:$I$89,5,0)</f>
        <v>7.3423507274128498E-13</v>
      </c>
      <c r="AK171" s="14">
        <f t="shared" si="164"/>
        <v>8.7458894232577541E-12</v>
      </c>
      <c r="AL171" s="22">
        <f t="shared" si="165"/>
        <v>1.6511216830531657E-11</v>
      </c>
      <c r="AM171" s="62">
        <f t="shared" si="113"/>
        <v>293.3333333333498</v>
      </c>
      <c r="AN171" s="62">
        <f ca="1">AVERAGE(OFFSET($AM$3,0,0,'Données projet'!$E$10+1,1))-AVERAGE(OFFSET($H$3,0,0,'Données projet'!$E$10+1,1))</f>
        <v>407.22515465568205</v>
      </c>
      <c r="AO171" s="62">
        <f t="shared" si="144"/>
        <v>251.6218558398258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81.243235625404679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81.243235625404679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6.8212102632969618E-13</v>
      </c>
      <c r="BE171" s="14">
        <f>BD171*VLOOKUP('Données projet'!$B$11,Paramètres!$A$1:$I$89,3,0)*VLOOKUP('Données projet'!$B$11,Paramètres!$A$1:$I$89,5,0)</f>
        <v>6.5974745666608208E-13</v>
      </c>
      <c r="BF171" s="14">
        <f t="shared" si="167"/>
        <v>7.9570891233345703E-12</v>
      </c>
      <c r="BG171" s="22">
        <f t="shared" si="168"/>
        <v>1.5007657043501137E-11</v>
      </c>
      <c r="BH171" s="62">
        <f t="shared" si="116"/>
        <v>293.33333333334832</v>
      </c>
      <c r="BI171" s="62">
        <f ca="1">AVERAGE(OFFSET($BH$3,0,0,'Données projet'!$E$11+1,1))-AVERAGE(OFFSET($H$3,0,0,'Données projet'!$E$11+1,1))</f>
        <v>357.76044008074308</v>
      </c>
      <c r="BJ171" s="62">
        <f t="shared" si="146"/>
        <v>224.26555772810445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73.001168243117277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73.001168243117277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6.8212102632969618E-13</v>
      </c>
      <c r="BZ171" s="14">
        <f>BY171*VLOOKUP('Données projet'!$B$12,Paramètres!$A$1:$I$89,3,0)*VLOOKUP('Données projet'!$B$12,Paramètres!$A$1:$I$89,5,0)</f>
        <v>4.5756678446196019E-13</v>
      </c>
      <c r="CA171" s="14">
        <f t="shared" si="170"/>
        <v>5.7587689306883675E-12</v>
      </c>
      <c r="CB171" s="22">
        <f t="shared" si="171"/>
        <v>1.0826784703886818E-11</v>
      </c>
      <c r="CC171" s="62">
        <f t="shared" si="119"/>
        <v>293.33333333334411</v>
      </c>
      <c r="CD171" s="62">
        <f ca="1">AVERAGE(OFFSET($CC$3,0,0,'Données projet'!$E$12+1,1))-AVERAGE(OFFSET($H$3,0,0,'Données projet'!$E$12+1,1))</f>
        <v>222.86701323374945</v>
      </c>
      <c r="CE171" s="62">
        <f t="shared" si="148"/>
        <v>149.63671045240511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62.404224465890607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62.404224465890607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8.5265128291212022E-14</v>
      </c>
      <c r="CU171" s="18">
        <f>CT171*VLOOKUP('Données projet'!$B$13,Paramètres!$A$1:$I$89,3,0)*VLOOKUP('Données projet'!$B$13,Paramètres!$A$1:$I$89,5,0)</f>
        <v>5.5865712056402117E-14</v>
      </c>
      <c r="CV171" s="14">
        <f t="shared" si="173"/>
        <v>8.9811031843713517E-13</v>
      </c>
      <c r="CW171" s="22">
        <f t="shared" si="174"/>
        <v>1.6615082531095774E-12</v>
      </c>
      <c r="CX171" s="62">
        <f t="shared" si="122"/>
        <v>293.33333333333496</v>
      </c>
      <c r="CY171" s="62">
        <f ca="1">AVERAGE(OFFSET($CX$3,0,0,'Données projet'!$E$13+1,1))-AVERAGE(OFFSET($H$3,0,0,'Données projet'!$E$13+1,1))</f>
        <v>173.15672762188746</v>
      </c>
      <c r="CZ171" s="62">
        <f t="shared" si="150"/>
        <v>208.54841796921414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17.574194112947602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17.574194112947602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269.18638759204373</v>
      </c>
      <c r="EP171" s="62">
        <f t="shared" si="154"/>
        <v>197.07126167823969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35.33396641157686</v>
      </c>
      <c r="EW171" s="23">
        <f>EXP(-LN(2)/25)*EW170+(1-EXP(-LN(2)/25))/(LN(2)/25)*Calculateur!ER171*Calculateur!ET171*VLOOKUP('Données projet'!$B$15,Paramètres!$A$1:$I$89,3,0)*0.475*44/12</f>
        <v>2.7504485633284208</v>
      </c>
      <c r="EX171" s="23">
        <f>EXP(-LN(2)/2)*EX170+(1-EXP(-LN(2)/2))/(LN(2)/2)*ER171*EU171*VLOOKUP('Données projet'!$B$15,Paramètres!$A$1:$I$89,3,0)*0.475*44/12</f>
        <v>1.8087988482135531E-12</v>
      </c>
      <c r="EY171" s="24">
        <f t="shared" si="181"/>
        <v>38.084414974907091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1.1368683772161603E-13</v>
      </c>
      <c r="FF171" s="18">
        <f>FE171*VLOOKUP('Données projet'!$B$16,Paramètres!$A$1:$I$89,3,0)*VLOOKUP('Données projet'!$B$16,Paramètres!$A$1:$I$89,5,0)</f>
        <v>6.7984728957526396E-14</v>
      </c>
      <c r="FG171" s="14">
        <f t="shared" si="182"/>
        <v>1.0682447123141398E-12</v>
      </c>
      <c r="FH171" s="22">
        <f t="shared" si="183"/>
        <v>1.978932943548152E-12</v>
      </c>
      <c r="FI171" s="62">
        <f t="shared" si="131"/>
        <v>293.3333333333353</v>
      </c>
      <c r="FJ171" s="62">
        <f ca="1">AVERAGE(OFFSET($FI$3,0,0,'Données projet'!$E$16+1,1))-AVERAGE(OFFSET($H$3,0,0,'Données projet'!$E$16+1,1))</f>
        <v>330.48891719033065</v>
      </c>
      <c r="FK171" s="62">
        <f t="shared" si="156"/>
        <v>419.35494198427284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25.038168179595878</v>
      </c>
      <c r="FR171" s="23">
        <f>EXP(-LN(2)/25)*FR170+(1-EXP(-LN(2)/25))/(LN(2)/25)*Calculateur!FM171*Calculateur!FO171*VLOOKUP('Données projet'!$B$16,Paramètres!$A$1:$I$89,3,0)*0.475*44/12</f>
        <v>1.7988549778967857</v>
      </c>
      <c r="FS171" s="23">
        <f>EXP(-LN(2)/2)*FS170+(1-EXP(-LN(2)/2))/(LN(2)/2)*FM171*FP171*VLOOKUP('Données projet'!$B$16,Paramètres!$A$1:$I$89,3,0)*0.475*44/12</f>
        <v>4.8209398520250679E-16</v>
      </c>
      <c r="FT171" s="24">
        <f t="shared" si="184"/>
        <v>26.837023157492663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>
        <f>FZ171*VLOOKUP('Données projet'!$B$17,Paramètres!$A$1:$I$89,3,0)*VLOOKUP('Données projet'!$B$17,Paramètres!$A$1:$I$89,5,0)</f>
        <v>0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132.18258156780018</v>
      </c>
      <c r="GF171" s="62">
        <f t="shared" si="158"/>
        <v>315.58133946947294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2.8204879773281282</v>
      </c>
      <c r="GM171" s="23">
        <f>EXP(-LN(2)/25)*GM170+(1-EXP(-LN(2)/25))/(LN(2)/25)*Calculateur!GH171*Calculateur!GJ171*VLOOKUP('Données projet'!$B$17,Paramètres!$A$1:$I$89,3,0)*0.475*44/12</f>
        <v>0.40435545837004194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3.2248434356981699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9">
        <f t="shared" si="110"/>
        <v>585.69506754060376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8.5459999999999976</v>
      </c>
      <c r="N172" s="14">
        <f>IF('Données projet'!$A$36&gt;35,N171+M172-V171,IF(A172&lt;'Données projet'!$A$36,$K$205^A172,IF(A172='Données projet'!$A$36,'Données projet'!$B$36,N171+M172-V171)))</f>
        <v>502.92000000000036</v>
      </c>
      <c r="O172" s="14">
        <f>N172*VLOOKUP('Données projet'!$B$9,Paramètres!$A$1:$I$89,3,0)*VLOOKUP('Données projet'!$B$9,Paramètres!$A$1:$I$89,5,0)</f>
        <v>455.04201600000027</v>
      </c>
      <c r="P172" s="14">
        <f t="shared" si="141"/>
        <v>102.85049097288233</v>
      </c>
      <c r="Q172" s="22">
        <f t="shared" si="162"/>
        <v>971.66278297777069</v>
      </c>
      <c r="R172" s="62">
        <f t="shared" si="109"/>
        <v>1264.9961163111041</v>
      </c>
      <c r="S172" s="62">
        <f ca="1">AVERAGE(OFFSET($R$3,0,0,'Données projet'!$E$9+1,1))-AVERAGE(OFFSET($H$3,0,0,'Données projet'!$E$9+1,1))</f>
        <v>401.86262166363821</v>
      </c>
      <c r="T172" s="62">
        <f t="shared" si="142"/>
        <v>208.60314230781432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72.453503564400549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72.453503564400549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6.8212102632969618E-13</v>
      </c>
      <c r="AJ172" s="14">
        <f>AI172*VLOOKUP('Données projet'!$B$10,Paramètres!$A$1:$I$89,3,0)*VLOOKUP('Données projet'!$B$10,Paramètres!$A$1:$I$89,5,0)</f>
        <v>7.3423507274128498E-13</v>
      </c>
      <c r="AK172" s="14">
        <f t="shared" si="164"/>
        <v>8.7458894232577541E-12</v>
      </c>
      <c r="AL172" s="22">
        <f t="shared" si="165"/>
        <v>1.6511216830531657E-11</v>
      </c>
      <c r="AM172" s="62">
        <f t="shared" si="113"/>
        <v>293.3333333333498</v>
      </c>
      <c r="AN172" s="62">
        <f ca="1">AVERAGE(OFFSET($AM$3,0,0,'Données projet'!$E$10+1,1))-AVERAGE(OFFSET($H$3,0,0,'Données projet'!$E$10+1,1))</f>
        <v>407.22515465568205</v>
      </c>
      <c r="AO172" s="62">
        <f t="shared" si="144"/>
        <v>251.6218558398258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79.650105328271223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79.650105328271223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6.8212102632969618E-13</v>
      </c>
      <c r="BE172" s="14">
        <f>BD172*VLOOKUP('Données projet'!$B$11,Paramètres!$A$1:$I$89,3,0)*VLOOKUP('Données projet'!$B$11,Paramètres!$A$1:$I$89,5,0)</f>
        <v>6.5974745666608208E-13</v>
      </c>
      <c r="BF172" s="14">
        <f t="shared" si="167"/>
        <v>7.9570891233345703E-12</v>
      </c>
      <c r="BG172" s="22">
        <f t="shared" si="168"/>
        <v>1.5007657043501137E-11</v>
      </c>
      <c r="BH172" s="62">
        <f t="shared" si="116"/>
        <v>293.33333333334832</v>
      </c>
      <c r="BI172" s="62">
        <f ca="1">AVERAGE(OFFSET($BH$3,0,0,'Données projet'!$E$11+1,1))-AVERAGE(OFFSET($H$3,0,0,'Données projet'!$E$11+1,1))</f>
        <v>357.76044008074308</v>
      </c>
      <c r="BJ172" s="62">
        <f t="shared" si="146"/>
        <v>224.26555772810445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71.569659860185766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71.569659860185766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6.8212102632969618E-13</v>
      </c>
      <c r="BZ172" s="14">
        <f>BY172*VLOOKUP('Données projet'!$B$12,Paramètres!$A$1:$I$89,3,0)*VLOOKUP('Données projet'!$B$12,Paramètres!$A$1:$I$89,5,0)</f>
        <v>4.5756678446196019E-13</v>
      </c>
      <c r="CA172" s="14">
        <f t="shared" si="170"/>
        <v>5.7587689306883675E-12</v>
      </c>
      <c r="CB172" s="22">
        <f t="shared" si="171"/>
        <v>1.0826784703886818E-11</v>
      </c>
      <c r="CC172" s="62">
        <f t="shared" si="119"/>
        <v>293.33333333334411</v>
      </c>
      <c r="CD172" s="62">
        <f ca="1">AVERAGE(OFFSET($CC$3,0,0,'Données projet'!$E$12+1,1))-AVERAGE(OFFSET($H$3,0,0,'Données projet'!$E$12+1,1))</f>
        <v>222.86701323374945</v>
      </c>
      <c r="CE172" s="62">
        <f t="shared" si="148"/>
        <v>149.63671045240511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61.180515686933028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61.180515686933028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8.5265128291212022E-14</v>
      </c>
      <c r="CU172" s="18">
        <f>CT172*VLOOKUP('Données projet'!$B$13,Paramètres!$A$1:$I$89,3,0)*VLOOKUP('Données projet'!$B$13,Paramètres!$A$1:$I$89,5,0)</f>
        <v>5.5865712056402117E-14</v>
      </c>
      <c r="CV172" s="14">
        <f t="shared" si="173"/>
        <v>8.9811031843713517E-13</v>
      </c>
      <c r="CW172" s="22">
        <f t="shared" si="174"/>
        <v>1.6615082531095774E-12</v>
      </c>
      <c r="CX172" s="62">
        <f t="shared" si="122"/>
        <v>293.33333333333496</v>
      </c>
      <c r="CY172" s="62">
        <f ca="1">AVERAGE(OFFSET($CX$3,0,0,'Données projet'!$E$13+1,1))-AVERAGE(OFFSET($H$3,0,0,'Données projet'!$E$13+1,1))</f>
        <v>173.15672762188746</v>
      </c>
      <c r="CZ172" s="62">
        <f t="shared" si="150"/>
        <v>208.54841796921414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17.229574885592676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17.229574885592676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269.18638759204373</v>
      </c>
      <c r="EP172" s="62">
        <f t="shared" si="154"/>
        <v>197.07126167823969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34.641088881837305</v>
      </c>
      <c r="EW172" s="23">
        <f>EXP(-LN(2)/25)*EW171+(1-EXP(-LN(2)/25))/(LN(2)/25)*Calculateur!ER172*Calculateur!ET172*VLOOKUP('Données projet'!$B$15,Paramètres!$A$1:$I$89,3,0)*0.475*44/12</f>
        <v>2.6752374027244015</v>
      </c>
      <c r="EX172" s="23">
        <f>EXP(-LN(2)/2)*EX171+(1-EXP(-LN(2)/2))/(LN(2)/2)*ER172*EU172*VLOOKUP('Données projet'!$B$15,Paramètres!$A$1:$I$89,3,0)*0.475*44/12</f>
        <v>1.2790139313742201E-12</v>
      </c>
      <c r="EY172" s="24">
        <f t="shared" si="181"/>
        <v>37.316326284562983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1.1368683772161603E-13</v>
      </c>
      <c r="FF172" s="18">
        <f>FE172*VLOOKUP('Données projet'!$B$16,Paramètres!$A$1:$I$89,3,0)*VLOOKUP('Données projet'!$B$16,Paramètres!$A$1:$I$89,5,0)</f>
        <v>6.7984728957526396E-14</v>
      </c>
      <c r="FG172" s="14">
        <f t="shared" si="182"/>
        <v>1.0682447123141398E-12</v>
      </c>
      <c r="FH172" s="22">
        <f t="shared" si="183"/>
        <v>1.978932943548152E-12</v>
      </c>
      <c r="FI172" s="62">
        <f t="shared" si="131"/>
        <v>293.3333333333353</v>
      </c>
      <c r="FJ172" s="62">
        <f ca="1">AVERAGE(OFFSET($FI$3,0,0,'Données projet'!$E$16+1,1))-AVERAGE(OFFSET($H$3,0,0,'Données projet'!$E$16+1,1))</f>
        <v>330.48891719033065</v>
      </c>
      <c r="FK172" s="62">
        <f t="shared" si="156"/>
        <v>419.35494198427284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24.54718497336863</v>
      </c>
      <c r="FR172" s="23">
        <f>EXP(-LN(2)/25)*FR171+(1-EXP(-LN(2)/25))/(LN(2)/25)*Calculateur!FM172*Calculateur!FO172*VLOOKUP('Données projet'!$B$16,Paramètres!$A$1:$I$89,3,0)*0.475*44/12</f>
        <v>1.7496651939285262</v>
      </c>
      <c r="FS172" s="23">
        <f>EXP(-LN(2)/2)*FS171+(1-EXP(-LN(2)/2))/(LN(2)/2)*FM172*FP172*VLOOKUP('Données projet'!$B$16,Paramètres!$A$1:$I$89,3,0)*0.475*44/12</f>
        <v>3.4089192610593965E-16</v>
      </c>
      <c r="FT172" s="24">
        <f t="shared" si="184"/>
        <v>26.296850167297155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>
        <f>FZ172*VLOOKUP('Données projet'!$B$17,Paramètres!$A$1:$I$89,3,0)*VLOOKUP('Données projet'!$B$17,Paramètres!$A$1:$I$89,5,0)</f>
        <v>0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132.18258156780018</v>
      </c>
      <c r="GF172" s="62">
        <f t="shared" si="158"/>
        <v>315.58133946947294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2.7651799284205216</v>
      </c>
      <c r="GM172" s="23">
        <f>EXP(-LN(2)/25)*GM171+(1-EXP(-LN(2)/25))/(LN(2)/25)*Calculateur!GH172*Calculateur!GJ172*VLOOKUP('Données projet'!$B$17,Paramètres!$A$1:$I$89,3,0)*0.475*44/12</f>
        <v>0.39329833709678375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3.1584782655173056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9">
        <f t="shared" si="110"/>
        <v>587.5955070158285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8.5459999999999976</v>
      </c>
      <c r="N173" s="14">
        <f>IF('Données projet'!$A$36&gt;35,N172+M173-V172,IF(A173&lt;'Données projet'!$A$36,$K$205^A173,IF(A173='Données projet'!$A$36,'Données projet'!$B$36,N172+M173-V172)))</f>
        <v>511.46600000000035</v>
      </c>
      <c r="O173" s="14">
        <f>N173*VLOOKUP('Données projet'!$B$9,Paramètres!$A$1:$I$89,3,0)*VLOOKUP('Données projet'!$B$9,Paramètres!$A$1:$I$89,5,0)</f>
        <v>462.77443680000027</v>
      </c>
      <c r="P173" s="14">
        <f t="shared" si="141"/>
        <v>104.39325332394039</v>
      </c>
      <c r="Q173" s="22">
        <f t="shared" si="162"/>
        <v>987.81706029919678</v>
      </c>
      <c r="R173" s="62">
        <f t="shared" si="109"/>
        <v>1281.15039363253</v>
      </c>
      <c r="S173" s="62">
        <f ca="1">AVERAGE(OFFSET($R$3,0,0,'Données projet'!$E$9+1,1))-AVERAGE(OFFSET($H$3,0,0,'Données projet'!$E$9+1,1))</f>
        <v>401.86262166363821</v>
      </c>
      <c r="T173" s="62">
        <f t="shared" si="142"/>
        <v>208.60314230781432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71.032734551776201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71.032734551776201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6.8212102632969618E-13</v>
      </c>
      <c r="AJ173" s="14">
        <f>AI173*VLOOKUP('Données projet'!$B$10,Paramètres!$A$1:$I$89,3,0)*VLOOKUP('Données projet'!$B$10,Paramètres!$A$1:$I$89,5,0)</f>
        <v>7.3423507274128498E-13</v>
      </c>
      <c r="AK173" s="14">
        <f t="shared" si="164"/>
        <v>8.7458894232577541E-12</v>
      </c>
      <c r="AL173" s="22">
        <f t="shared" si="165"/>
        <v>1.6511216830531657E-11</v>
      </c>
      <c r="AM173" s="62">
        <f t="shared" si="113"/>
        <v>293.3333333333498</v>
      </c>
      <c r="AN173" s="62">
        <f ca="1">AVERAGE(OFFSET($AM$3,0,0,'Données projet'!$E$10+1,1))-AVERAGE(OFFSET($H$3,0,0,'Données projet'!$E$10+1,1))</f>
        <v>407.22515465568205</v>
      </c>
      <c r="AO173" s="62">
        <f t="shared" si="144"/>
        <v>251.6218558398258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78.088215344551017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78.088215344551017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6.8212102632969618E-13</v>
      </c>
      <c r="BE173" s="14">
        <f>BD173*VLOOKUP('Données projet'!$B$11,Paramètres!$A$1:$I$89,3,0)*VLOOKUP('Données projet'!$B$11,Paramètres!$A$1:$I$89,5,0)</f>
        <v>6.5974745666608208E-13</v>
      </c>
      <c r="BF173" s="14">
        <f t="shared" si="167"/>
        <v>7.9570891233345703E-12</v>
      </c>
      <c r="BG173" s="22">
        <f t="shared" si="168"/>
        <v>1.5007657043501137E-11</v>
      </c>
      <c r="BH173" s="62">
        <f t="shared" si="116"/>
        <v>293.33333333334832</v>
      </c>
      <c r="BI173" s="62">
        <f ca="1">AVERAGE(OFFSET($BH$3,0,0,'Données projet'!$E$11+1,1))-AVERAGE(OFFSET($H$3,0,0,'Données projet'!$E$11+1,1))</f>
        <v>357.76044008074308</v>
      </c>
      <c r="BJ173" s="62">
        <f t="shared" si="146"/>
        <v>224.26555772810445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70.166222483509642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70.166222483509642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6.8212102632969618E-13</v>
      </c>
      <c r="BZ173" s="14">
        <f>BY173*VLOOKUP('Données projet'!$B$12,Paramètres!$A$1:$I$89,3,0)*VLOOKUP('Données projet'!$B$12,Paramètres!$A$1:$I$89,5,0)</f>
        <v>4.5756678446196019E-13</v>
      </c>
      <c r="CA173" s="14">
        <f t="shared" si="170"/>
        <v>5.7587689306883675E-12</v>
      </c>
      <c r="CB173" s="22">
        <f t="shared" si="171"/>
        <v>1.0826784703886818E-11</v>
      </c>
      <c r="CC173" s="62">
        <f t="shared" si="119"/>
        <v>293.33333333334411</v>
      </c>
      <c r="CD173" s="62">
        <f ca="1">AVERAGE(OFFSET($CC$3,0,0,'Données projet'!$E$12+1,1))-AVERAGE(OFFSET($H$3,0,0,'Données projet'!$E$12+1,1))</f>
        <v>222.86701323374945</v>
      </c>
      <c r="CE173" s="62">
        <f t="shared" si="148"/>
        <v>149.63671045240511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59.98080309074215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59.98080309074215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8.5265128291212022E-14</v>
      </c>
      <c r="CU173" s="18">
        <f>CT173*VLOOKUP('Données projet'!$B$13,Paramètres!$A$1:$I$89,3,0)*VLOOKUP('Données projet'!$B$13,Paramètres!$A$1:$I$89,5,0)</f>
        <v>5.5865712056402117E-14</v>
      </c>
      <c r="CV173" s="14">
        <f t="shared" si="173"/>
        <v>8.9811031843713517E-13</v>
      </c>
      <c r="CW173" s="22">
        <f t="shared" si="174"/>
        <v>1.6615082531095774E-12</v>
      </c>
      <c r="CX173" s="62">
        <f t="shared" si="122"/>
        <v>293.33333333333496</v>
      </c>
      <c r="CY173" s="62">
        <f ca="1">AVERAGE(OFFSET($CX$3,0,0,'Données projet'!$E$13+1,1))-AVERAGE(OFFSET($H$3,0,0,'Données projet'!$E$13+1,1))</f>
        <v>173.15672762188746</v>
      </c>
      <c r="CZ173" s="62">
        <f t="shared" si="150"/>
        <v>208.54841796921414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16.891713431089205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16.891713431089205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269.18638759204373</v>
      </c>
      <c r="EP173" s="62">
        <f t="shared" si="154"/>
        <v>197.07126167823969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33.961798257842382</v>
      </c>
      <c r="EW173" s="23">
        <f>EXP(-LN(2)/25)*EW172+(1-EXP(-LN(2)/25))/(LN(2)/25)*Calculateur!ER173*Calculateur!ET173*VLOOKUP('Données projet'!$B$15,Paramètres!$A$1:$I$89,3,0)*0.475*44/12</f>
        <v>2.6020828952622819</v>
      </c>
      <c r="EX173" s="23">
        <f>EXP(-LN(2)/2)*EX172+(1-EXP(-LN(2)/2))/(LN(2)/2)*ER173*EU173*VLOOKUP('Données projet'!$B$15,Paramètres!$A$1:$I$89,3,0)*0.475*44/12</f>
        <v>9.0439942410677664E-13</v>
      </c>
      <c r="EY173" s="24">
        <f t="shared" si="181"/>
        <v>36.563881153105569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1.1368683772161603E-13</v>
      </c>
      <c r="FF173" s="18">
        <f>FE173*VLOOKUP('Données projet'!$B$16,Paramètres!$A$1:$I$89,3,0)*VLOOKUP('Données projet'!$B$16,Paramètres!$A$1:$I$89,5,0)</f>
        <v>6.7984728957526396E-14</v>
      </c>
      <c r="FG173" s="14">
        <f t="shared" si="182"/>
        <v>1.0682447123141398E-12</v>
      </c>
      <c r="FH173" s="22">
        <f t="shared" si="183"/>
        <v>1.978932943548152E-12</v>
      </c>
      <c r="FI173" s="62">
        <f t="shared" si="131"/>
        <v>293.3333333333353</v>
      </c>
      <c r="FJ173" s="62">
        <f ca="1">AVERAGE(OFFSET($FI$3,0,0,'Données projet'!$E$16+1,1))-AVERAGE(OFFSET($H$3,0,0,'Données projet'!$E$16+1,1))</f>
        <v>330.48891719033065</v>
      </c>
      <c r="FK173" s="62">
        <f t="shared" si="156"/>
        <v>419.35494198427284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24.065829648345314</v>
      </c>
      <c r="FR173" s="23">
        <f>EXP(-LN(2)/25)*FR172+(1-EXP(-LN(2)/25))/(LN(2)/25)*Calculateur!FM173*Calculateur!FO173*VLOOKUP('Données projet'!$B$16,Paramètres!$A$1:$I$89,3,0)*0.475*44/12</f>
        <v>1.7018205071896571</v>
      </c>
      <c r="FS173" s="23">
        <f>EXP(-LN(2)/2)*FS172+(1-EXP(-LN(2)/2))/(LN(2)/2)*FM173*FP173*VLOOKUP('Données projet'!$B$16,Paramètres!$A$1:$I$89,3,0)*0.475*44/12</f>
        <v>2.4104699260125339E-16</v>
      </c>
      <c r="FT173" s="24">
        <f t="shared" si="184"/>
        <v>25.767650155534973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>
        <f>FZ173*VLOOKUP('Données projet'!$B$17,Paramètres!$A$1:$I$89,3,0)*VLOOKUP('Données projet'!$B$17,Paramètres!$A$1:$I$89,5,0)</f>
        <v>0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132.18258156780018</v>
      </c>
      <c r="GF173" s="62">
        <f t="shared" si="158"/>
        <v>315.58133946947294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2.7109564366174141</v>
      </c>
      <c r="GM173" s="23">
        <f>EXP(-LN(2)/25)*GM172+(1-EXP(-LN(2)/25))/(LN(2)/25)*Calculateur!GH173*Calculateur!GJ173*VLOOKUP('Données projet'!$B$17,Paramètres!$A$1:$I$89,3,0)*0.475*44/12</f>
        <v>0.38254357338621153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3.0935000100036256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9">
        <f t="shared" si="110"/>
        <v>589.49570572708467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8.5459999999999976</v>
      </c>
      <c r="N174" s="14">
        <f>IF('Données projet'!$A$36&gt;35,N173+M174-V173,IF(A174&lt;'Données projet'!$A$36,$K$205^A174,IF(A174='Données projet'!$A$36,'Données projet'!$B$36,N173+M174-V173)))</f>
        <v>520.0120000000004</v>
      </c>
      <c r="O174" s="14">
        <f>N174*VLOOKUP('Données projet'!$B$9,Paramètres!$A$1:$I$89,3,0)*VLOOKUP('Données projet'!$B$9,Paramètres!$A$1:$I$89,5,0)</f>
        <v>470.50685760000033</v>
      </c>
      <c r="P174" s="14">
        <f t="shared" si="141"/>
        <v>105.93301791241842</v>
      </c>
      <c r="Q174" s="22">
        <f t="shared" si="162"/>
        <v>1003.9661165174626</v>
      </c>
      <c r="R174" s="62">
        <f t="shared" si="109"/>
        <v>1297.299449850796</v>
      </c>
      <c r="S174" s="62">
        <f ca="1">AVERAGE(OFFSET($R$3,0,0,'Données projet'!$E$9+1,1))-AVERAGE(OFFSET($H$3,0,0,'Données projet'!$E$9+1,1))</f>
        <v>401.86262166363821</v>
      </c>
      <c r="T174" s="62">
        <f t="shared" si="142"/>
        <v>208.60314230781432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69.639825952905895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69.639825952905895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6.8212102632969618E-13</v>
      </c>
      <c r="AJ174" s="14">
        <f>AI174*VLOOKUP('Données projet'!$B$10,Paramètres!$A$1:$I$89,3,0)*VLOOKUP('Données projet'!$B$10,Paramètres!$A$1:$I$89,5,0)</f>
        <v>7.3423507274128498E-13</v>
      </c>
      <c r="AK174" s="14">
        <f t="shared" si="164"/>
        <v>8.7458894232577541E-12</v>
      </c>
      <c r="AL174" s="22">
        <f t="shared" si="165"/>
        <v>1.6511216830531657E-11</v>
      </c>
      <c r="AM174" s="62">
        <f t="shared" si="113"/>
        <v>293.3333333333498</v>
      </c>
      <c r="AN174" s="62">
        <f ca="1">AVERAGE(OFFSET($AM$3,0,0,'Données projet'!$E$10+1,1))-AVERAGE(OFFSET($H$3,0,0,'Données projet'!$E$10+1,1))</f>
        <v>407.22515465568205</v>
      </c>
      <c r="AO174" s="62">
        <f t="shared" si="144"/>
        <v>251.6218558398258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76.556953070752755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76.556953070752755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6.8212102632969618E-13</v>
      </c>
      <c r="BE174" s="14">
        <f>BD174*VLOOKUP('Données projet'!$B$11,Paramètres!$A$1:$I$89,3,0)*VLOOKUP('Données projet'!$B$11,Paramètres!$A$1:$I$89,5,0)</f>
        <v>6.5974745666608208E-13</v>
      </c>
      <c r="BF174" s="14">
        <f t="shared" si="167"/>
        <v>7.9570891233345703E-12</v>
      </c>
      <c r="BG174" s="22">
        <f t="shared" si="168"/>
        <v>1.5007657043501137E-11</v>
      </c>
      <c r="BH174" s="62">
        <f t="shared" si="116"/>
        <v>293.33333333334832</v>
      </c>
      <c r="BI174" s="62">
        <f ca="1">AVERAGE(OFFSET($BH$3,0,0,'Données projet'!$E$11+1,1))-AVERAGE(OFFSET($H$3,0,0,'Données projet'!$E$11+1,1))</f>
        <v>357.76044008074308</v>
      </c>
      <c r="BJ174" s="62">
        <f t="shared" si="146"/>
        <v>224.26555772810445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68.790305657777864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68.790305657777864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6.8212102632969618E-13</v>
      </c>
      <c r="BZ174" s="14">
        <f>BY174*VLOOKUP('Données projet'!$B$12,Paramètres!$A$1:$I$89,3,0)*VLOOKUP('Données projet'!$B$12,Paramètres!$A$1:$I$89,5,0)</f>
        <v>4.5756678446196019E-13</v>
      </c>
      <c r="CA174" s="14">
        <f t="shared" si="170"/>
        <v>5.7587689306883675E-12</v>
      </c>
      <c r="CB174" s="22">
        <f t="shared" si="171"/>
        <v>1.0826784703886818E-11</v>
      </c>
      <c r="CC174" s="62">
        <f t="shared" si="119"/>
        <v>293.33333333334411</v>
      </c>
      <c r="CD174" s="62">
        <f ca="1">AVERAGE(OFFSET($CC$3,0,0,'Données projet'!$E$12+1,1))-AVERAGE(OFFSET($H$3,0,0,'Données projet'!$E$12+1,1))</f>
        <v>222.86701323374945</v>
      </c>
      <c r="CE174" s="62">
        <f t="shared" si="148"/>
        <v>149.63671045240511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58.804616126810146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58.804616126810146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8.5265128291212022E-14</v>
      </c>
      <c r="CU174" s="18">
        <f>CT174*VLOOKUP('Données projet'!$B$13,Paramètres!$A$1:$I$89,3,0)*VLOOKUP('Données projet'!$B$13,Paramètres!$A$1:$I$89,5,0)</f>
        <v>5.5865712056402117E-14</v>
      </c>
      <c r="CV174" s="14">
        <f t="shared" si="173"/>
        <v>8.9811031843713517E-13</v>
      </c>
      <c r="CW174" s="22">
        <f t="shared" si="174"/>
        <v>1.6615082531095774E-12</v>
      </c>
      <c r="CX174" s="62">
        <f t="shared" si="122"/>
        <v>293.33333333333496</v>
      </c>
      <c r="CY174" s="62">
        <f ca="1">AVERAGE(OFFSET($CX$3,0,0,'Données projet'!$E$13+1,1))-AVERAGE(OFFSET($H$3,0,0,'Données projet'!$E$13+1,1))</f>
        <v>173.15672762188746</v>
      </c>
      <c r="CZ174" s="62">
        <f t="shared" si="150"/>
        <v>208.54841796921414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16.56047723363341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16.56047723363341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269.18638759204373</v>
      </c>
      <c r="EP174" s="62">
        <f t="shared" si="154"/>
        <v>197.07126167823969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33.295828108657631</v>
      </c>
      <c r="EW174" s="23">
        <f>EXP(-LN(2)/25)*EW173+(1-EXP(-LN(2)/25))/(LN(2)/25)*Calculateur!ER174*Calculateur!ET174*VLOOKUP('Données projet'!$B$15,Paramètres!$A$1:$I$89,3,0)*0.475*44/12</f>
        <v>2.5309288016537423</v>
      </c>
      <c r="EX174" s="23">
        <f>EXP(-LN(2)/2)*EX173+(1-EXP(-LN(2)/2))/(LN(2)/2)*ER174*EU174*VLOOKUP('Données projet'!$B$15,Paramètres!$A$1:$I$89,3,0)*0.475*44/12</f>
        <v>6.3950696568711017E-13</v>
      </c>
      <c r="EY174" s="24">
        <f t="shared" si="181"/>
        <v>35.826756910312014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1.1368683772161603E-13</v>
      </c>
      <c r="FF174" s="18">
        <f>FE174*VLOOKUP('Données projet'!$B$16,Paramètres!$A$1:$I$89,3,0)*VLOOKUP('Données projet'!$B$16,Paramètres!$A$1:$I$89,5,0)</f>
        <v>6.7984728957526396E-14</v>
      </c>
      <c r="FG174" s="14">
        <f t="shared" si="182"/>
        <v>1.0682447123141398E-12</v>
      </c>
      <c r="FH174" s="22">
        <f t="shared" si="183"/>
        <v>1.978932943548152E-12</v>
      </c>
      <c r="FI174" s="62">
        <f t="shared" si="131"/>
        <v>293.3333333333353</v>
      </c>
      <c r="FJ174" s="62">
        <f ca="1">AVERAGE(OFFSET($FI$3,0,0,'Données projet'!$E$16+1,1))-AVERAGE(OFFSET($H$3,0,0,'Données projet'!$E$16+1,1))</f>
        <v>330.48891719033065</v>
      </c>
      <c r="FK174" s="62">
        <f t="shared" si="156"/>
        <v>419.35494198427284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23.593913407647946</v>
      </c>
      <c r="FR174" s="23">
        <f>EXP(-LN(2)/25)*FR173+(1-EXP(-LN(2)/25))/(LN(2)/25)*Calculateur!FM174*Calculateur!FO174*VLOOKUP('Données projet'!$B$16,Paramètres!$A$1:$I$89,3,0)*0.475*44/12</f>
        <v>1.6552841359257049</v>
      </c>
      <c r="FS174" s="23">
        <f>EXP(-LN(2)/2)*FS173+(1-EXP(-LN(2)/2))/(LN(2)/2)*FM174*FP174*VLOOKUP('Données projet'!$B$16,Paramètres!$A$1:$I$89,3,0)*0.475*44/12</f>
        <v>1.7044596305296983E-16</v>
      </c>
      <c r="FT174" s="24">
        <f t="shared" si="184"/>
        <v>25.249197543573651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>
        <f>FZ174*VLOOKUP('Données projet'!$B$17,Paramètres!$A$1:$I$89,3,0)*VLOOKUP('Données projet'!$B$17,Paramètres!$A$1:$I$89,5,0)</f>
        <v>0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132.18258156780018</v>
      </c>
      <c r="GF174" s="62">
        <f t="shared" si="158"/>
        <v>315.58133946947294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2.6577962344155015</v>
      </c>
      <c r="GM174" s="23">
        <f>EXP(-LN(2)/25)*GM173+(1-EXP(-LN(2)/25))/(LN(2)/25)*Calculateur!GH174*Calculateur!GJ174*VLOOKUP('Données projet'!$B$17,Paramètres!$A$1:$I$89,3,0)*0.475*44/12</f>
        <v>0.37208289925487337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3.029879133670375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9">
        <f t="shared" si="110"/>
        <v>591.39566524572035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8.5459999999999976</v>
      </c>
      <c r="N175" s="14">
        <f>IF('Données projet'!$A$36&gt;35,N174+M175-V174,IF(A175&lt;'Données projet'!$A$36,$K$205^A175,IF(A175='Données projet'!$A$36,'Données projet'!$B$36,N174+M175-V174)))</f>
        <v>528.55800000000045</v>
      </c>
      <c r="O175" s="14">
        <f>N175*VLOOKUP('Données projet'!$B$9,Paramètres!$A$1:$I$89,3,0)*VLOOKUP('Données projet'!$B$9,Paramètres!$A$1:$I$89,5,0)</f>
        <v>478.23927840000039</v>
      </c>
      <c r="P175" s="14">
        <f t="shared" si="141"/>
        <v>107.46983969122122</v>
      </c>
      <c r="Q175" s="22">
        <f t="shared" si="162"/>
        <v>1020.110047342211</v>
      </c>
      <c r="R175" s="62">
        <f t="shared" si="109"/>
        <v>1313.4433806755444</v>
      </c>
      <c r="S175" s="62">
        <f ca="1">AVERAGE(OFFSET($R$3,0,0,'Données projet'!$E$9+1,1))-AVERAGE(OFFSET($H$3,0,0,'Données projet'!$E$9+1,1))</f>
        <v>401.86262166363821</v>
      </c>
      <c r="T175" s="62">
        <f t="shared" si="142"/>
        <v>208.60314230781432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68.27423144206908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68.27423144206908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6.8212102632969618E-13</v>
      </c>
      <c r="AJ175" s="14">
        <f>AI175*VLOOKUP('Données projet'!$B$10,Paramètres!$A$1:$I$89,3,0)*VLOOKUP('Données projet'!$B$10,Paramètres!$A$1:$I$89,5,0)</f>
        <v>7.3423507274128498E-13</v>
      </c>
      <c r="AK175" s="14">
        <f t="shared" si="164"/>
        <v>8.7458894232577541E-12</v>
      </c>
      <c r="AL175" s="22">
        <f t="shared" si="165"/>
        <v>1.6511216830531657E-11</v>
      </c>
      <c r="AM175" s="62">
        <f t="shared" si="113"/>
        <v>293.3333333333498</v>
      </c>
      <c r="AN175" s="62">
        <f ca="1">AVERAGE(OFFSET($AM$3,0,0,'Données projet'!$E$10+1,1))-AVERAGE(OFFSET($H$3,0,0,'Données projet'!$E$10+1,1))</f>
        <v>407.22515465568205</v>
      </c>
      <c r="AO175" s="62">
        <f t="shared" si="144"/>
        <v>251.6218558398258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75.055717916165904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75.055717916165904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6.8212102632969618E-13</v>
      </c>
      <c r="BE175" s="14">
        <f>BD175*VLOOKUP('Données projet'!$B$11,Paramètres!$A$1:$I$89,3,0)*VLOOKUP('Données projet'!$B$11,Paramètres!$A$1:$I$89,5,0)</f>
        <v>6.5974745666608208E-13</v>
      </c>
      <c r="BF175" s="14">
        <f t="shared" si="167"/>
        <v>7.9570891233345703E-12</v>
      </c>
      <c r="BG175" s="22">
        <f t="shared" si="168"/>
        <v>1.5007657043501137E-11</v>
      </c>
      <c r="BH175" s="62">
        <f t="shared" si="116"/>
        <v>293.33333333334832</v>
      </c>
      <c r="BI175" s="62">
        <f ca="1">AVERAGE(OFFSET($BH$3,0,0,'Données projet'!$E$11+1,1))-AVERAGE(OFFSET($H$3,0,0,'Données projet'!$E$11+1,1))</f>
        <v>357.76044008074308</v>
      </c>
      <c r="BJ175" s="62">
        <f t="shared" si="146"/>
        <v>224.26555772810445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67.44136972177229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67.44136972177229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6.8212102632969618E-13</v>
      </c>
      <c r="BZ175" s="14">
        <f>BY175*VLOOKUP('Données projet'!$B$12,Paramètres!$A$1:$I$89,3,0)*VLOOKUP('Données projet'!$B$12,Paramètres!$A$1:$I$89,5,0)</f>
        <v>4.5756678446196019E-13</v>
      </c>
      <c r="CA175" s="14">
        <f t="shared" si="170"/>
        <v>5.7587689306883675E-12</v>
      </c>
      <c r="CB175" s="22">
        <f t="shared" si="171"/>
        <v>1.0826784703886818E-11</v>
      </c>
      <c r="CC175" s="62">
        <f t="shared" si="119"/>
        <v>293.33333333334411</v>
      </c>
      <c r="CD175" s="62">
        <f ca="1">AVERAGE(OFFSET($CC$3,0,0,'Données projet'!$E$12+1,1))-AVERAGE(OFFSET($H$3,0,0,'Données projet'!$E$12+1,1))</f>
        <v>222.86701323374945</v>
      </c>
      <c r="CE175" s="62">
        <f t="shared" si="148"/>
        <v>149.63671045240511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57.65149347183764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57.65149347183764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8.5265128291212022E-14</v>
      </c>
      <c r="CU175" s="18">
        <f>CT175*VLOOKUP('Données projet'!$B$13,Paramètres!$A$1:$I$89,3,0)*VLOOKUP('Données projet'!$B$13,Paramètres!$A$1:$I$89,5,0)</f>
        <v>5.5865712056402117E-14</v>
      </c>
      <c r="CV175" s="14">
        <f t="shared" si="173"/>
        <v>8.9811031843713517E-13</v>
      </c>
      <c r="CW175" s="22">
        <f t="shared" si="174"/>
        <v>1.6615082531095774E-12</v>
      </c>
      <c r="CX175" s="62">
        <f t="shared" si="122"/>
        <v>293.33333333333496</v>
      </c>
      <c r="CY175" s="62">
        <f ca="1">AVERAGE(OFFSET($CX$3,0,0,'Données projet'!$E$13+1,1))-AVERAGE(OFFSET($H$3,0,0,'Données projet'!$E$13+1,1))</f>
        <v>173.15672762188746</v>
      </c>
      <c r="CZ175" s="62">
        <f t="shared" si="150"/>
        <v>208.54841796921414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16.235736375975591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16.235736375975591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269.18638759204373</v>
      </c>
      <c r="EP175" s="62">
        <f t="shared" si="154"/>
        <v>197.07126167823969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32.64291722789671</v>
      </c>
      <c r="EW175" s="23">
        <f>EXP(-LN(2)/25)*EW174+(1-EXP(-LN(2)/25))/(LN(2)/25)*Calculateur!ER175*Calculateur!ET175*VLOOKUP('Données projet'!$B$15,Paramètres!$A$1:$I$89,3,0)*0.475*44/12</f>
        <v>2.4617204204767598</v>
      </c>
      <c r="EX175" s="23">
        <f>EXP(-LN(2)/2)*EX174+(1-EXP(-LN(2)/2))/(LN(2)/2)*ER175*EU175*VLOOKUP('Données projet'!$B$15,Paramètres!$A$1:$I$89,3,0)*0.475*44/12</f>
        <v>4.5219971205338842E-13</v>
      </c>
      <c r="EY175" s="24">
        <f t="shared" si="181"/>
        <v>35.104637648373924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1.1368683772161603E-13</v>
      </c>
      <c r="FF175" s="18">
        <f>FE175*VLOOKUP('Données projet'!$B$16,Paramètres!$A$1:$I$89,3,0)*VLOOKUP('Données projet'!$B$16,Paramètres!$A$1:$I$89,5,0)</f>
        <v>6.7984728957526396E-14</v>
      </c>
      <c r="FG175" s="14">
        <f t="shared" si="182"/>
        <v>1.0682447123141398E-12</v>
      </c>
      <c r="FH175" s="22">
        <f t="shared" si="183"/>
        <v>1.978932943548152E-12</v>
      </c>
      <c r="FI175" s="62">
        <f t="shared" si="131"/>
        <v>293.3333333333353</v>
      </c>
      <c r="FJ175" s="62">
        <f ca="1">AVERAGE(OFFSET($FI$3,0,0,'Données projet'!$E$16+1,1))-AVERAGE(OFFSET($H$3,0,0,'Données projet'!$E$16+1,1))</f>
        <v>330.48891719033065</v>
      </c>
      <c r="FK175" s="62">
        <f t="shared" si="156"/>
        <v>419.35494198427284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23.131251156590167</v>
      </c>
      <c r="FR175" s="23">
        <f>EXP(-LN(2)/25)*FR174+(1-EXP(-LN(2)/25))/(LN(2)/25)*Calculateur!FM175*Calculateur!FO175*VLOOKUP('Données projet'!$B$16,Paramètres!$A$1:$I$89,3,0)*0.475*44/12</f>
        <v>1.6100203041812069</v>
      </c>
      <c r="FS175" s="23">
        <f>EXP(-LN(2)/2)*FS174+(1-EXP(-LN(2)/2))/(LN(2)/2)*FM175*FP175*VLOOKUP('Données projet'!$B$16,Paramètres!$A$1:$I$89,3,0)*0.475*44/12</f>
        <v>1.205234963006267E-16</v>
      </c>
      <c r="FT175" s="24">
        <f t="shared" si="184"/>
        <v>24.741271460771372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>
        <f>FZ175*VLOOKUP('Données projet'!$B$17,Paramètres!$A$1:$I$89,3,0)*VLOOKUP('Données projet'!$B$17,Paramètres!$A$1:$I$89,5,0)</f>
        <v>0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132.18258156780018</v>
      </c>
      <c r="GF175" s="62">
        <f t="shared" si="158"/>
        <v>315.58133946947294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2.6056784713542465</v>
      </c>
      <c r="GM175" s="23">
        <f>EXP(-LN(2)/25)*GM174+(1-EXP(-LN(2)/25))/(LN(2)/25)*Calculateur!GH175*Calculateur!GJ175*VLOOKUP('Données projet'!$B$17,Paramètres!$A$1:$I$89,3,0)*0.475*44/12</f>
        <v>0.36190827280775961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2.9675867441620061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9">
        <f t="shared" si="110"/>
        <v>593.29538712375495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8.5459999999999976</v>
      </c>
      <c r="N176" s="14">
        <f>IF('Données projet'!$A$36&gt;35,N175+M176-V175,IF(A176&lt;'Données projet'!$A$36,$K$205^A176,IF(A176='Données projet'!$A$36,'Données projet'!$B$36,N175+M176-V175)))</f>
        <v>537.1040000000005</v>
      </c>
      <c r="O176" s="14">
        <f>N176*VLOOKUP('Données projet'!$B$9,Paramètres!$A$1:$I$89,3,0)*VLOOKUP('Données projet'!$B$9,Paramètres!$A$1:$I$89,5,0)</f>
        <v>485.97169920000039</v>
      </c>
      <c r="P176" s="14">
        <f t="shared" si="141"/>
        <v>109.00377173434057</v>
      </c>
      <c r="Q176" s="22">
        <f t="shared" si="162"/>
        <v>1036.2489452106438</v>
      </c>
      <c r="R176" s="62">
        <f t="shared" si="109"/>
        <v>1329.5822785439771</v>
      </c>
      <c r="S176" s="62">
        <f ca="1">AVERAGE(OFFSET($R$3,0,0,'Données projet'!$E$9+1,1))-AVERAGE(OFFSET($H$3,0,0,'Données projet'!$E$9+1,1))</f>
        <v>401.86262166363821</v>
      </c>
      <c r="T176" s="62">
        <f t="shared" si="142"/>
        <v>208.60314230781432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66.935415406659359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66.935415406659359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6.8212102632969618E-13</v>
      </c>
      <c r="AJ176" s="14">
        <f>AI176*VLOOKUP('Données projet'!$B$10,Paramètres!$A$1:$I$89,3,0)*VLOOKUP('Données projet'!$B$10,Paramètres!$A$1:$I$89,5,0)</f>
        <v>7.3423507274128498E-13</v>
      </c>
      <c r="AK176" s="14">
        <f t="shared" si="164"/>
        <v>8.7458894232577541E-12</v>
      </c>
      <c r="AL176" s="22">
        <f t="shared" si="165"/>
        <v>1.6511216830531657E-11</v>
      </c>
      <c r="AM176" s="62">
        <f t="shared" si="113"/>
        <v>293.3333333333498</v>
      </c>
      <c r="AN176" s="62">
        <f ca="1">AVERAGE(OFFSET($AM$3,0,0,'Données projet'!$E$10+1,1))-AVERAGE(OFFSET($H$3,0,0,'Données projet'!$E$10+1,1))</f>
        <v>407.22515465568205</v>
      </c>
      <c r="AO176" s="62">
        <f t="shared" si="144"/>
        <v>251.6218558398258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73.583921067297467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73.583921067297467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6.8212102632969618E-13</v>
      </c>
      <c r="BE176" s="14">
        <f>BD176*VLOOKUP('Données projet'!$B$11,Paramètres!$A$1:$I$89,3,0)*VLOOKUP('Données projet'!$B$11,Paramètres!$A$1:$I$89,5,0)</f>
        <v>6.5974745666608208E-13</v>
      </c>
      <c r="BF176" s="14">
        <f t="shared" si="167"/>
        <v>7.9570891233345703E-12</v>
      </c>
      <c r="BG176" s="22">
        <f t="shared" si="168"/>
        <v>1.5007657043501137E-11</v>
      </c>
      <c r="BH176" s="62">
        <f t="shared" si="116"/>
        <v>293.33333333334832</v>
      </c>
      <c r="BI176" s="62">
        <f ca="1">AVERAGE(OFFSET($BH$3,0,0,'Données projet'!$E$11+1,1))-AVERAGE(OFFSET($H$3,0,0,'Données projet'!$E$11+1,1))</f>
        <v>357.76044008074308</v>
      </c>
      <c r="BJ176" s="62">
        <f t="shared" si="146"/>
        <v>224.26555772810445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66.1188855967021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66.1188855967021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6.8212102632969618E-13</v>
      </c>
      <c r="BZ176" s="14">
        <f>BY176*VLOOKUP('Données projet'!$B$12,Paramètres!$A$1:$I$89,3,0)*VLOOKUP('Données projet'!$B$12,Paramètres!$A$1:$I$89,5,0)</f>
        <v>4.5756678446196019E-13</v>
      </c>
      <c r="CA176" s="14">
        <f t="shared" si="170"/>
        <v>5.7587689306883675E-12</v>
      </c>
      <c r="CB176" s="22">
        <f t="shared" si="171"/>
        <v>1.0826784703886818E-11</v>
      </c>
      <c r="CC176" s="62">
        <f t="shared" si="119"/>
        <v>293.33333333334411</v>
      </c>
      <c r="CD176" s="62">
        <f ca="1">AVERAGE(OFFSET($CC$3,0,0,'Données projet'!$E$12+1,1))-AVERAGE(OFFSET($H$3,0,0,'Données projet'!$E$12+1,1))</f>
        <v>222.86701323374945</v>
      </c>
      <c r="CE176" s="62">
        <f t="shared" si="148"/>
        <v>149.63671045240511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56.520982848793771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56.520982848793771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8.5265128291212022E-14</v>
      </c>
      <c r="CU176" s="18">
        <f>CT176*VLOOKUP('Données projet'!$B$13,Paramètres!$A$1:$I$89,3,0)*VLOOKUP('Données projet'!$B$13,Paramètres!$A$1:$I$89,5,0)</f>
        <v>5.5865712056402117E-14</v>
      </c>
      <c r="CV176" s="14">
        <f t="shared" si="173"/>
        <v>8.9811031843713517E-13</v>
      </c>
      <c r="CW176" s="22">
        <f t="shared" si="174"/>
        <v>1.6615082531095774E-12</v>
      </c>
      <c r="CX176" s="62">
        <f t="shared" si="122"/>
        <v>293.33333333333496</v>
      </c>
      <c r="CY176" s="62">
        <f ca="1">AVERAGE(OFFSET($CX$3,0,0,'Données projet'!$E$13+1,1))-AVERAGE(OFFSET($H$3,0,0,'Données projet'!$E$13+1,1))</f>
        <v>173.15672762188746</v>
      </c>
      <c r="CZ176" s="62">
        <f t="shared" si="150"/>
        <v>208.54841796921414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15.917363488464076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15.917363488464076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269.18638759204373</v>
      </c>
      <c r="EP176" s="62">
        <f t="shared" si="154"/>
        <v>197.07126167823969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32.002809531271197</v>
      </c>
      <c r="EW176" s="23">
        <f>EXP(-LN(2)/25)*EW175+(1-EXP(-LN(2)/25))/(LN(2)/25)*Calculateur!ER176*Calculateur!ET176*VLOOKUP('Données projet'!$B$15,Paramètres!$A$1:$I$89,3,0)*0.475*44/12</f>
        <v>2.3944045461225723</v>
      </c>
      <c r="EX176" s="23">
        <f>EXP(-LN(2)/2)*EX175+(1-EXP(-LN(2)/2))/(LN(2)/2)*ER176*EU176*VLOOKUP('Données projet'!$B$15,Paramètres!$A$1:$I$89,3,0)*0.475*44/12</f>
        <v>3.1975348284355514E-13</v>
      </c>
      <c r="EY176" s="24">
        <f t="shared" si="181"/>
        <v>34.397214077394089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1.1368683772161603E-13</v>
      </c>
      <c r="FF176" s="18">
        <f>FE176*VLOOKUP('Données projet'!$B$16,Paramètres!$A$1:$I$89,3,0)*VLOOKUP('Données projet'!$B$16,Paramètres!$A$1:$I$89,5,0)</f>
        <v>6.7984728957526396E-14</v>
      </c>
      <c r="FG176" s="14">
        <f t="shared" si="182"/>
        <v>1.0682447123141398E-12</v>
      </c>
      <c r="FH176" s="22">
        <f t="shared" si="183"/>
        <v>1.978932943548152E-12</v>
      </c>
      <c r="FI176" s="62">
        <f t="shared" si="131"/>
        <v>293.3333333333353</v>
      </c>
      <c r="FJ176" s="62">
        <f ca="1">AVERAGE(OFFSET($FI$3,0,0,'Données projet'!$E$16+1,1))-AVERAGE(OFFSET($H$3,0,0,'Données projet'!$E$16+1,1))</f>
        <v>330.48891719033065</v>
      </c>
      <c r="FK176" s="62">
        <f t="shared" si="156"/>
        <v>419.35494198427284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22.677661430079525</v>
      </c>
      <c r="FR176" s="23">
        <f>EXP(-LN(2)/25)*FR175+(1-EXP(-LN(2)/25))/(LN(2)/25)*Calculateur!FM176*Calculateur!FO176*VLOOKUP('Données projet'!$B$16,Paramètres!$A$1:$I$89,3,0)*0.475*44/12</f>
        <v>1.5659942142960837</v>
      </c>
      <c r="FS176" s="23">
        <f>EXP(-LN(2)/2)*FS175+(1-EXP(-LN(2)/2))/(LN(2)/2)*FM176*FP176*VLOOKUP('Données projet'!$B$16,Paramètres!$A$1:$I$89,3,0)*0.475*44/12</f>
        <v>8.5222981526484913E-17</v>
      </c>
      <c r="FT176" s="24">
        <f t="shared" si="184"/>
        <v>24.243655644375607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>
        <f>FZ176*VLOOKUP('Données projet'!$B$17,Paramètres!$A$1:$I$89,3,0)*VLOOKUP('Données projet'!$B$17,Paramètres!$A$1:$I$89,5,0)</f>
        <v>0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132.18258156780018</v>
      </c>
      <c r="GF176" s="62">
        <f t="shared" si="158"/>
        <v>315.58133946947294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2.5545827058379262</v>
      </c>
      <c r="GM176" s="23">
        <f>EXP(-LN(2)/25)*GM175+(1-EXP(-LN(2)/25))/(LN(2)/25)*Calculateur!GH176*Calculateur!GJ176*VLOOKUP('Données projet'!$B$17,Paramètres!$A$1:$I$89,3,0)*0.475*44/12</f>
        <v>0.35201187205590251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2.9065945778938289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9">
        <f t="shared" si="110"/>
        <v>595.19487289422705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>
        <f>VLOOKUP(A177,'Données projet'!$A$35:$I$55,2,0)</f>
        <v>545.65</v>
      </c>
      <c r="L177" s="13">
        <f>VLOOKUP(A177,'Données projet'!$A$35:$I$55,9,0)</f>
        <v>8.5459999999999976</v>
      </c>
      <c r="M177" s="13">
        <f t="array" ref="M177">INDEX(L:L,MIN(IF(ISNUMBER(L177:L373),ROW(L177:L373),"")))</f>
        <v>8.5459999999999976</v>
      </c>
      <c r="N177" s="14">
        <f>IF('Données projet'!$A$36&gt;35,N176+M177-V176,IF(A177&lt;'Données projet'!$A$36,$K$205^A177,IF(A177='Données projet'!$A$36,'Données projet'!$B$36,N176+M177-V176)))</f>
        <v>545.65000000000055</v>
      </c>
      <c r="O177" s="14">
        <f>N177*VLOOKUP('Données projet'!$B$9,Paramètres!$A$1:$I$89,3,0)*VLOOKUP('Données projet'!$B$9,Paramètres!$A$1:$I$89,5,0)</f>
        <v>493.7041200000005</v>
      </c>
      <c r="P177" s="14">
        <f t="shared" si="141"/>
        <v>110.53486532995269</v>
      </c>
      <c r="Q177" s="22">
        <f t="shared" si="162"/>
        <v>1052.3828994496685</v>
      </c>
      <c r="R177" s="62">
        <f t="shared" si="109"/>
        <v>1345.7162327830017</v>
      </c>
      <c r="S177" s="62">
        <f ca="1">AVERAGE(OFFSET($R$3,0,0,'Données projet'!$E$9+1,1))-AVERAGE(OFFSET($H$3,0,0,'Données projet'!$E$9+1,1))</f>
        <v>401.86262166363821</v>
      </c>
      <c r="T177" s="62">
        <f t="shared" si="142"/>
        <v>208.60314230781432</v>
      </c>
      <c r="U177" s="16">
        <f>IF(ISNA(VLOOKUP(A177,'Données projet'!$A$35:$I$55,3,0)),0,VLOOKUP(A177,'Données projet'!$A$35:$I$55,3,0))</f>
        <v>15</v>
      </c>
      <c r="V177" s="16">
        <f>IF(ISNA(VLOOKUP(A177,'Données projet'!$A$35:$I$55,4,0)),0,VLOOKUP(A177,'Données projet'!$A$35:$I$55,4,0))</f>
        <v>214.77</v>
      </c>
      <c r="W177" s="17">
        <f>IF(ISNA(VLOOKUP(A177,'Données projet'!$A$35:$I$55,5,0)),0%,VLOOKUP(A177,'Données projet'!$A$35:$I$55,5,0)*VLOOKUP('Données projet'!$B$9,Paramètres!$A$1:$I$89,7,0))</f>
        <v>0.34400000000000003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139.52069574293077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139.52069574293077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6.8212102632969618E-13</v>
      </c>
      <c r="AJ177" s="14">
        <f>AI177*VLOOKUP('Données projet'!$B$10,Paramètres!$A$1:$I$89,3,0)*VLOOKUP('Données projet'!$B$10,Paramètres!$A$1:$I$89,5,0)</f>
        <v>7.3423507274128498E-13</v>
      </c>
      <c r="AK177" s="14">
        <f t="shared" si="164"/>
        <v>8.7458894232577541E-12</v>
      </c>
      <c r="AL177" s="22">
        <f t="shared" si="165"/>
        <v>1.6511216830531657E-11</v>
      </c>
      <c r="AM177" s="62">
        <f t="shared" si="113"/>
        <v>293.3333333333498</v>
      </c>
      <c r="AN177" s="62">
        <f ca="1">AVERAGE(OFFSET($AM$3,0,0,'Données projet'!$E$10+1,1))-AVERAGE(OFFSET($H$3,0,0,'Données projet'!$E$10+1,1))</f>
        <v>407.22515465568205</v>
      </c>
      <c r="AO177" s="62">
        <f t="shared" si="144"/>
        <v>251.6218558398258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72.140985256927905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72.140985256927905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6.8212102632969618E-13</v>
      </c>
      <c r="BE177" s="14">
        <f>BD177*VLOOKUP('Données projet'!$B$11,Paramètres!$A$1:$I$89,3,0)*VLOOKUP('Données projet'!$B$11,Paramètres!$A$1:$I$89,5,0)</f>
        <v>6.5974745666608208E-13</v>
      </c>
      <c r="BF177" s="14">
        <f t="shared" si="167"/>
        <v>7.9570891233345703E-12</v>
      </c>
      <c r="BG177" s="22">
        <f t="shared" si="168"/>
        <v>1.5007657043501137E-11</v>
      </c>
      <c r="BH177" s="62">
        <f t="shared" si="116"/>
        <v>293.33333333334832</v>
      </c>
      <c r="BI177" s="62">
        <f ca="1">AVERAGE(OFFSET($BH$3,0,0,'Données projet'!$E$11+1,1))-AVERAGE(OFFSET($H$3,0,0,'Données projet'!$E$11+1,1))</f>
        <v>357.76044008074308</v>
      </c>
      <c r="BJ177" s="62">
        <f t="shared" si="146"/>
        <v>224.26555772810445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64.822334578688867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64.822334578688867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6.8212102632969618E-13</v>
      </c>
      <c r="BZ177" s="14">
        <f>BY177*VLOOKUP('Données projet'!$B$12,Paramètres!$A$1:$I$89,3,0)*VLOOKUP('Données projet'!$B$12,Paramètres!$A$1:$I$89,5,0)</f>
        <v>4.5756678446196019E-13</v>
      </c>
      <c r="CA177" s="14">
        <f t="shared" si="170"/>
        <v>5.7587689306883675E-12</v>
      </c>
      <c r="CB177" s="22">
        <f t="shared" si="171"/>
        <v>1.0826784703886818E-11</v>
      </c>
      <c r="CC177" s="62">
        <f t="shared" si="119"/>
        <v>293.33333333334411</v>
      </c>
      <c r="CD177" s="62">
        <f ca="1">AVERAGE(OFFSET($CC$3,0,0,'Données projet'!$E$12+1,1))-AVERAGE(OFFSET($H$3,0,0,'Données projet'!$E$12+1,1))</f>
        <v>222.86701323374945</v>
      </c>
      <c r="CE177" s="62">
        <f t="shared" si="148"/>
        <v>149.63671045240511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55.412640849524401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55.412640849524401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8.5265128291212022E-14</v>
      </c>
      <c r="CU177" s="18">
        <f>CT177*VLOOKUP('Données projet'!$B$13,Paramètres!$A$1:$I$89,3,0)*VLOOKUP('Données projet'!$B$13,Paramètres!$A$1:$I$89,5,0)</f>
        <v>5.5865712056402117E-14</v>
      </c>
      <c r="CV177" s="14">
        <f t="shared" si="173"/>
        <v>8.9811031843713517E-13</v>
      </c>
      <c r="CW177" s="22">
        <f t="shared" si="174"/>
        <v>1.6615082531095774E-12</v>
      </c>
      <c r="CX177" s="62">
        <f t="shared" si="122"/>
        <v>293.33333333333496</v>
      </c>
      <c r="CY177" s="62">
        <f ca="1">AVERAGE(OFFSET($CX$3,0,0,'Données projet'!$E$13+1,1))-AVERAGE(OFFSET($H$3,0,0,'Données projet'!$E$13+1,1))</f>
        <v>173.15672762188746</v>
      </c>
      <c r="CZ177" s="62">
        <f t="shared" si="150"/>
        <v>208.54841796921414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15.605233699088375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15.605233699088375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269.18638759204373</v>
      </c>
      <c r="EP177" s="62">
        <f t="shared" si="154"/>
        <v>197.07126167823969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31.375253956149365</v>
      </c>
      <c r="EW177" s="23">
        <f>EXP(-LN(2)/25)*EW176+(1-EXP(-LN(2)/25))/(LN(2)/25)*Calculateur!ER177*Calculateur!ET177*VLOOKUP('Données projet'!$B$15,Paramètres!$A$1:$I$89,3,0)*0.475*44/12</f>
        <v>2.3289294278925881</v>
      </c>
      <c r="EX177" s="23">
        <f>EXP(-LN(2)/2)*EX176+(1-EXP(-LN(2)/2))/(LN(2)/2)*ER177*EU177*VLOOKUP('Données projet'!$B$15,Paramètres!$A$1:$I$89,3,0)*0.475*44/12</f>
        <v>2.2609985602669424E-13</v>
      </c>
      <c r="EY177" s="24">
        <f t="shared" si="181"/>
        <v>33.704183384042182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1.1368683772161603E-13</v>
      </c>
      <c r="FF177" s="18">
        <f>FE177*VLOOKUP('Données projet'!$B$16,Paramètres!$A$1:$I$89,3,0)*VLOOKUP('Données projet'!$B$16,Paramètres!$A$1:$I$89,5,0)</f>
        <v>6.7984728957526396E-14</v>
      </c>
      <c r="FG177" s="14">
        <f t="shared" si="182"/>
        <v>1.0682447123141398E-12</v>
      </c>
      <c r="FH177" s="22">
        <f t="shared" si="183"/>
        <v>1.978932943548152E-12</v>
      </c>
      <c r="FI177" s="62">
        <f t="shared" si="131"/>
        <v>293.3333333333353</v>
      </c>
      <c r="FJ177" s="62">
        <f ca="1">AVERAGE(OFFSET($FI$3,0,0,'Données projet'!$E$16+1,1))-AVERAGE(OFFSET($H$3,0,0,'Données projet'!$E$16+1,1))</f>
        <v>330.48891719033065</v>
      </c>
      <c r="FK177" s="62">
        <f t="shared" si="156"/>
        <v>419.35494198427284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22.232966321443339</v>
      </c>
      <c r="FR177" s="23">
        <f>EXP(-LN(2)/25)*FR176+(1-EXP(-LN(2)/25))/(LN(2)/25)*Calculateur!FM177*Calculateur!FO177*VLOOKUP('Données projet'!$B$16,Paramètres!$A$1:$I$89,3,0)*0.475*44/12</f>
        <v>1.5231720201541006</v>
      </c>
      <c r="FS177" s="23">
        <f>EXP(-LN(2)/2)*FS176+(1-EXP(-LN(2)/2))/(LN(2)/2)*FM177*FP177*VLOOKUP('Données projet'!$B$16,Paramètres!$A$1:$I$89,3,0)*0.475*44/12</f>
        <v>6.0261748150313349E-17</v>
      </c>
      <c r="FT177" s="24">
        <f t="shared" si="184"/>
        <v>23.756138341597438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>
        <f>FZ177*VLOOKUP('Données projet'!$B$17,Paramètres!$A$1:$I$89,3,0)*VLOOKUP('Données projet'!$B$17,Paramètres!$A$1:$I$89,5,0)</f>
        <v>0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132.18258156780018</v>
      </c>
      <c r="GF177" s="62">
        <f t="shared" si="158"/>
        <v>315.58133946947294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2.5044888971180415</v>
      </c>
      <c r="GM177" s="23">
        <f>EXP(-LN(2)/25)*GM176+(1-EXP(-LN(2)/25))/(LN(2)/25)*Calculateur!GH177*Calculateur!GJ177*VLOOKUP('Données projet'!$B$17,Paramètres!$A$1:$I$89,3,0)*0.475*44/12</f>
        <v>0.34238608890303401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2.8468749860210756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9">
        <f t="shared" si="110"/>
        <v>597.09412407153457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5.3866666666666747</v>
      </c>
      <c r="N178" s="14">
        <f>IF('Données projet'!$A$36&gt;35,N177+M178-V177,IF(A178&lt;'Données projet'!$A$36,$K$205^A178,IF(A178='Données projet'!$A$36,'Données projet'!$B$36,N177+M178-V177)))</f>
        <v>336.26666666666722</v>
      </c>
      <c r="O178" s="14">
        <f>N178*VLOOKUP('Données projet'!$B$9,Paramètres!$A$1:$I$89,3,0)*VLOOKUP('Données projet'!$B$9,Paramètres!$A$1:$I$89,5,0)</f>
        <v>304.2540800000005</v>
      </c>
      <c r="P178" s="14">
        <f t="shared" si="141"/>
        <v>72.067549889405967</v>
      </c>
      <c r="Q178" s="22">
        <f t="shared" si="162"/>
        <v>655.42683872404962</v>
      </c>
      <c r="R178" s="62">
        <f t="shared" si="109"/>
        <v>948.76017205738299</v>
      </c>
      <c r="S178" s="62">
        <f ca="1">AVERAGE(OFFSET($R$3,0,0,'Données projet'!$E$9+1,1))-AVERAGE(OFFSET($H$3,0,0,'Données projet'!$E$9+1,1))</f>
        <v>401.86262166363821</v>
      </c>
      <c r="T178" s="62">
        <f t="shared" si="142"/>
        <v>208.60314230781432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136.78477999863344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136.78477999863344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6.8212102632969618E-13</v>
      </c>
      <c r="AJ178" s="14">
        <f>AI178*VLOOKUP('Données projet'!$B$10,Paramètres!$A$1:$I$89,3,0)*VLOOKUP('Données projet'!$B$10,Paramètres!$A$1:$I$89,5,0)</f>
        <v>7.3423507274128498E-13</v>
      </c>
      <c r="AK178" s="14">
        <f t="shared" si="164"/>
        <v>8.7458894232577541E-12</v>
      </c>
      <c r="AL178" s="22">
        <f t="shared" si="165"/>
        <v>1.6511216830531657E-11</v>
      </c>
      <c r="AM178" s="62">
        <f t="shared" si="113"/>
        <v>293.3333333333498</v>
      </c>
      <c r="AN178" s="62">
        <f ca="1">AVERAGE(OFFSET($AM$3,0,0,'Données projet'!$E$10+1,1))-AVERAGE(OFFSET($H$3,0,0,'Données projet'!$E$10+1,1))</f>
        <v>407.22515465568205</v>
      </c>
      <c r="AO178" s="62">
        <f t="shared" si="144"/>
        <v>251.6218558398258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70.726344537695752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70.726344537695752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6.8212102632969618E-13</v>
      </c>
      <c r="BE178" s="14">
        <f>BD178*VLOOKUP('Données projet'!$B$11,Paramètres!$A$1:$I$89,3,0)*VLOOKUP('Données projet'!$B$11,Paramètres!$A$1:$I$89,5,0)</f>
        <v>6.5974745666608208E-13</v>
      </c>
      <c r="BF178" s="14">
        <f t="shared" si="167"/>
        <v>7.9570891233345703E-12</v>
      </c>
      <c r="BG178" s="22">
        <f t="shared" si="168"/>
        <v>1.5007657043501137E-11</v>
      </c>
      <c r="BH178" s="62">
        <f t="shared" si="116"/>
        <v>293.33333333334832</v>
      </c>
      <c r="BI178" s="62">
        <f ca="1">AVERAGE(OFFSET($BH$3,0,0,'Données projet'!$E$11+1,1))-AVERAGE(OFFSET($H$3,0,0,'Données projet'!$E$11+1,1))</f>
        <v>357.76044008074308</v>
      </c>
      <c r="BJ178" s="62">
        <f t="shared" si="146"/>
        <v>224.26555772810445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63.551208135320849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63.551208135320849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6.8212102632969618E-13</v>
      </c>
      <c r="BZ178" s="14">
        <f>BY178*VLOOKUP('Données projet'!$B$12,Paramètres!$A$1:$I$89,3,0)*VLOOKUP('Données projet'!$B$12,Paramètres!$A$1:$I$89,5,0)</f>
        <v>4.5756678446196019E-13</v>
      </c>
      <c r="CA178" s="14">
        <f t="shared" si="170"/>
        <v>5.7587689306883675E-12</v>
      </c>
      <c r="CB178" s="22">
        <f t="shared" si="171"/>
        <v>1.0826784703886818E-11</v>
      </c>
      <c r="CC178" s="62">
        <f t="shared" si="119"/>
        <v>293.33333333334411</v>
      </c>
      <c r="CD178" s="62">
        <f ca="1">AVERAGE(OFFSET($CC$3,0,0,'Données projet'!$E$12+1,1))-AVERAGE(OFFSET($H$3,0,0,'Données projet'!$E$12+1,1))</f>
        <v>222.86701323374945</v>
      </c>
      <c r="CE178" s="62">
        <f t="shared" si="148"/>
        <v>149.63671045240511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54.326032760838835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54.326032760838835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8.5265128291212022E-14</v>
      </c>
      <c r="CU178" s="18">
        <f>CT178*VLOOKUP('Données projet'!$B$13,Paramètres!$A$1:$I$89,3,0)*VLOOKUP('Données projet'!$B$13,Paramètres!$A$1:$I$89,5,0)</f>
        <v>5.5865712056402117E-14</v>
      </c>
      <c r="CV178" s="14">
        <f t="shared" si="173"/>
        <v>8.9811031843713517E-13</v>
      </c>
      <c r="CW178" s="22">
        <f t="shared" si="174"/>
        <v>1.6615082531095774E-12</v>
      </c>
      <c r="CX178" s="62">
        <f t="shared" si="122"/>
        <v>293.33333333333496</v>
      </c>
      <c r="CY178" s="62">
        <f ca="1">AVERAGE(OFFSET($CX$3,0,0,'Données projet'!$E$13+1,1))-AVERAGE(OFFSET($H$3,0,0,'Données projet'!$E$13+1,1))</f>
        <v>173.15672762188746</v>
      </c>
      <c r="CZ178" s="62">
        <f t="shared" si="150"/>
        <v>208.54841796921414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15.299224584501959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15.299224584501959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269.18638759204373</v>
      </c>
      <c r="EP178" s="62">
        <f t="shared" si="154"/>
        <v>197.07126167823969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30.760004363084565</v>
      </c>
      <c r="EW178" s="23">
        <f>EXP(-LN(2)/25)*EW177+(1-EXP(-LN(2)/25))/(LN(2)/25)*Calculateur!ER178*Calculateur!ET178*VLOOKUP('Données projet'!$B$15,Paramètres!$A$1:$I$89,3,0)*0.475*44/12</f>
        <v>2.2652447302137895</v>
      </c>
      <c r="EX178" s="23">
        <f>EXP(-LN(2)/2)*EX177+(1-EXP(-LN(2)/2))/(LN(2)/2)*ER178*EU178*VLOOKUP('Données projet'!$B$15,Paramètres!$A$1:$I$89,3,0)*0.475*44/12</f>
        <v>1.5987674142177759E-13</v>
      </c>
      <c r="EY178" s="24">
        <f t="shared" si="181"/>
        <v>33.02524909329852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1.1368683772161603E-13</v>
      </c>
      <c r="FF178" s="18">
        <f>FE178*VLOOKUP('Données projet'!$B$16,Paramètres!$A$1:$I$89,3,0)*VLOOKUP('Données projet'!$B$16,Paramètres!$A$1:$I$89,5,0)</f>
        <v>6.7984728957526396E-14</v>
      </c>
      <c r="FG178" s="14">
        <f t="shared" si="182"/>
        <v>1.0682447123141398E-12</v>
      </c>
      <c r="FH178" s="22">
        <f t="shared" si="183"/>
        <v>1.978932943548152E-12</v>
      </c>
      <c r="FI178" s="62">
        <f t="shared" si="131"/>
        <v>293.3333333333353</v>
      </c>
      <c r="FJ178" s="62">
        <f ca="1">AVERAGE(OFFSET($FI$3,0,0,'Données projet'!$E$16+1,1))-AVERAGE(OFFSET($H$3,0,0,'Données projet'!$E$16+1,1))</f>
        <v>330.48891719033065</v>
      </c>
      <c r="FK178" s="62">
        <f t="shared" si="156"/>
        <v>419.35494198427284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21.796991412650275</v>
      </c>
      <c r="FR178" s="23">
        <f>EXP(-LN(2)/25)*FR177+(1-EXP(-LN(2)/25))/(LN(2)/25)*Calculateur!FM178*Calculateur!FO178*VLOOKUP('Données projet'!$B$16,Paramètres!$A$1:$I$89,3,0)*0.475*44/12</f>
        <v>1.4815208011628513</v>
      </c>
      <c r="FS178" s="23">
        <f>EXP(-LN(2)/2)*FS177+(1-EXP(-LN(2)/2))/(LN(2)/2)*FM178*FP178*VLOOKUP('Données projet'!$B$16,Paramètres!$A$1:$I$89,3,0)*0.475*44/12</f>
        <v>4.2611490763242457E-17</v>
      </c>
      <c r="FT178" s="24">
        <f t="shared" si="184"/>
        <v>23.278512213813126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>
        <f>FZ178*VLOOKUP('Données projet'!$B$17,Paramètres!$A$1:$I$89,3,0)*VLOOKUP('Données projet'!$B$17,Paramètres!$A$1:$I$89,5,0)</f>
        <v>0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132.18258156780018</v>
      </c>
      <c r="GF178" s="62">
        <f t="shared" si="158"/>
        <v>315.58133946947294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2.4553773974329474</v>
      </c>
      <c r="GM178" s="23">
        <f>EXP(-LN(2)/25)*GM177+(1-EXP(-LN(2)/25))/(LN(2)/25)*Calculateur!GH178*Calculateur!GJ178*VLOOKUP('Données projet'!$B$17,Paramètres!$A$1:$I$89,3,0)*0.475*44/12</f>
        <v>0.33302352329667867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2.7884009207296261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9">
        <f t="shared" si="110"/>
        <v>598.99314215176662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5.3866666666666747</v>
      </c>
      <c r="N179" s="14">
        <f>IF('Données projet'!$A$36&gt;35,N178+M179-V178,IF(A179&lt;'Données projet'!$A$36,$K$205^A179,IF(A179='Données projet'!$A$36,'Données projet'!$B$36,N178+M179-V178)))</f>
        <v>341.65333333333388</v>
      </c>
      <c r="O179" s="14">
        <f>N179*VLOOKUP('Données projet'!$B$9,Paramètres!$A$1:$I$89,3,0)*VLOOKUP('Données projet'!$B$9,Paramètres!$A$1:$I$89,5,0)</f>
        <v>309.12793600000049</v>
      </c>
      <c r="P179" s="14">
        <f t="shared" si="141"/>
        <v>73.086678650713282</v>
      </c>
      <c r="Q179" s="22">
        <f t="shared" si="162"/>
        <v>665.6904538499931</v>
      </c>
      <c r="R179" s="62">
        <f t="shared" si="109"/>
        <v>959.02378718332648</v>
      </c>
      <c r="S179" s="62">
        <f ca="1">AVERAGE(OFFSET($R$3,0,0,'Données projet'!$E$9+1,1))-AVERAGE(OFFSET($H$3,0,0,'Données projet'!$E$9+1,1))</f>
        <v>401.86262166363821</v>
      </c>
      <c r="T179" s="62">
        <f t="shared" si="142"/>
        <v>208.60314230781432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134.10251389333797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134.10251389333797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6.8212102632969618E-13</v>
      </c>
      <c r="AJ179" s="14">
        <f>AI179*VLOOKUP('Données projet'!$B$10,Paramètres!$A$1:$I$89,3,0)*VLOOKUP('Données projet'!$B$10,Paramètres!$A$1:$I$89,5,0)</f>
        <v>7.3423507274128498E-13</v>
      </c>
      <c r="AK179" s="14">
        <f t="shared" si="164"/>
        <v>8.7458894232577541E-12</v>
      </c>
      <c r="AL179" s="22">
        <f t="shared" si="165"/>
        <v>1.6511216830531657E-11</v>
      </c>
      <c r="AM179" s="62">
        <f t="shared" si="113"/>
        <v>293.3333333333498</v>
      </c>
      <c r="AN179" s="62">
        <f ca="1">AVERAGE(OFFSET($AM$3,0,0,'Données projet'!$E$10+1,1))-AVERAGE(OFFSET($H$3,0,0,'Données projet'!$E$10+1,1))</f>
        <v>407.22515465568205</v>
      </c>
      <c r="AO179" s="62">
        <f t="shared" si="144"/>
        <v>251.6218558398258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69.339444060122105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69.339444060122105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6.8212102632969618E-13</v>
      </c>
      <c r="BE179" s="14">
        <f>BD179*VLOOKUP('Données projet'!$B$11,Paramètres!$A$1:$I$89,3,0)*VLOOKUP('Données projet'!$B$11,Paramètres!$A$1:$I$89,5,0)</f>
        <v>6.5974745666608208E-13</v>
      </c>
      <c r="BF179" s="14">
        <f t="shared" si="167"/>
        <v>7.9570891233345703E-12</v>
      </c>
      <c r="BG179" s="22">
        <f t="shared" si="168"/>
        <v>1.5007657043501137E-11</v>
      </c>
      <c r="BH179" s="62">
        <f t="shared" si="116"/>
        <v>293.33333333334832</v>
      </c>
      <c r="BI179" s="62">
        <f ca="1">AVERAGE(OFFSET($BH$3,0,0,'Données projet'!$E$11+1,1))-AVERAGE(OFFSET($H$3,0,0,'Données projet'!$E$11+1,1))</f>
        <v>357.76044008074308</v>
      </c>
      <c r="BJ179" s="62">
        <f t="shared" si="146"/>
        <v>224.26555772810445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62.305007706196697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62.305007706196697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6.8212102632969618E-13</v>
      </c>
      <c r="BZ179" s="14">
        <f>BY179*VLOOKUP('Données projet'!$B$12,Paramètres!$A$1:$I$89,3,0)*VLOOKUP('Données projet'!$B$12,Paramètres!$A$1:$I$89,5,0)</f>
        <v>4.5756678446196019E-13</v>
      </c>
      <c r="CA179" s="14">
        <f t="shared" si="170"/>
        <v>5.7587689306883675E-12</v>
      </c>
      <c r="CB179" s="22">
        <f t="shared" si="171"/>
        <v>1.0826784703886818E-11</v>
      </c>
      <c r="CC179" s="62">
        <f t="shared" si="119"/>
        <v>293.33333333334411</v>
      </c>
      <c r="CD179" s="62">
        <f ca="1">AVERAGE(OFFSET($CC$3,0,0,'Données projet'!$E$12+1,1))-AVERAGE(OFFSET($H$3,0,0,'Données projet'!$E$12+1,1))</f>
        <v>222.86701323374945</v>
      </c>
      <c r="CE179" s="62">
        <f t="shared" si="148"/>
        <v>149.63671045240511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53.260732394006901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53.260732394006901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8.5265128291212022E-14</v>
      </c>
      <c r="CU179" s="18">
        <f>CT179*VLOOKUP('Données projet'!$B$13,Paramètres!$A$1:$I$89,3,0)*VLOOKUP('Données projet'!$B$13,Paramètres!$A$1:$I$89,5,0)</f>
        <v>5.5865712056402117E-14</v>
      </c>
      <c r="CV179" s="14">
        <f t="shared" si="173"/>
        <v>8.9811031843713517E-13</v>
      </c>
      <c r="CW179" s="22">
        <f t="shared" si="174"/>
        <v>1.6615082531095774E-12</v>
      </c>
      <c r="CX179" s="62">
        <f t="shared" si="122"/>
        <v>293.33333333333496</v>
      </c>
      <c r="CY179" s="62">
        <f ca="1">AVERAGE(OFFSET($CX$3,0,0,'Données projet'!$E$13+1,1))-AVERAGE(OFFSET($H$3,0,0,'Données projet'!$E$13+1,1))</f>
        <v>173.15672762188746</v>
      </c>
      <c r="CZ179" s="62">
        <f t="shared" si="150"/>
        <v>208.54841796921414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14.999216122005452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14.999216122005452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269.18638759204373</v>
      </c>
      <c r="EP179" s="62">
        <f t="shared" si="154"/>
        <v>197.07126167823969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30.156819439274571</v>
      </c>
      <c r="EW179" s="23">
        <f>EXP(-LN(2)/25)*EW178+(1-EXP(-LN(2)/25))/(LN(2)/25)*Calculateur!ER179*Calculateur!ET179*VLOOKUP('Données projet'!$B$15,Paramètres!$A$1:$I$89,3,0)*0.475*44/12</f>
        <v>2.2033014939420501</v>
      </c>
      <c r="EX179" s="23">
        <f>EXP(-LN(2)/2)*EX178+(1-EXP(-LN(2)/2))/(LN(2)/2)*ER179*EU179*VLOOKUP('Données projet'!$B$15,Paramètres!$A$1:$I$89,3,0)*0.475*44/12</f>
        <v>1.1304992801334713E-13</v>
      </c>
      <c r="EY179" s="24">
        <f t="shared" si="181"/>
        <v>32.360120933216734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1.1368683772161603E-13</v>
      </c>
      <c r="FF179" s="18">
        <f>FE179*VLOOKUP('Données projet'!$B$16,Paramètres!$A$1:$I$89,3,0)*VLOOKUP('Données projet'!$B$16,Paramètres!$A$1:$I$89,5,0)</f>
        <v>6.7984728957526396E-14</v>
      </c>
      <c r="FG179" s="14">
        <f t="shared" si="182"/>
        <v>1.0682447123141398E-12</v>
      </c>
      <c r="FH179" s="22">
        <f t="shared" si="183"/>
        <v>1.978932943548152E-12</v>
      </c>
      <c r="FI179" s="62">
        <f t="shared" si="131"/>
        <v>293.3333333333353</v>
      </c>
      <c r="FJ179" s="62">
        <f ca="1">AVERAGE(OFFSET($FI$3,0,0,'Données projet'!$E$16+1,1))-AVERAGE(OFFSET($H$3,0,0,'Données projet'!$E$16+1,1))</f>
        <v>330.48891719033065</v>
      </c>
      <c r="FK179" s="62">
        <f t="shared" si="156"/>
        <v>419.35494198427284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21.369565705900207</v>
      </c>
      <c r="FR179" s="23">
        <f>EXP(-LN(2)/25)*FR178+(1-EXP(-LN(2)/25))/(LN(2)/25)*Calculateur!FM179*Calculateur!FO179*VLOOKUP('Données projet'!$B$16,Paramètres!$A$1:$I$89,3,0)*0.475*44/12</f>
        <v>1.4410085369452603</v>
      </c>
      <c r="FS179" s="23">
        <f>EXP(-LN(2)/2)*FS178+(1-EXP(-LN(2)/2))/(LN(2)/2)*FM179*FP179*VLOOKUP('Données projet'!$B$16,Paramètres!$A$1:$I$89,3,0)*0.475*44/12</f>
        <v>3.0130874075156674E-17</v>
      </c>
      <c r="FT179" s="24">
        <f t="shared" si="184"/>
        <v>22.810574242845469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>
        <f>FZ179*VLOOKUP('Données projet'!$B$17,Paramètres!$A$1:$I$89,3,0)*VLOOKUP('Données projet'!$B$17,Paramètres!$A$1:$I$89,5,0)</f>
        <v>0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132.18258156780018</v>
      </c>
      <c r="GF179" s="62">
        <f t="shared" si="158"/>
        <v>315.58133946947294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2.4072289443016208</v>
      </c>
      <c r="GM179" s="23">
        <f>EXP(-LN(2)/25)*GM178+(1-EXP(-LN(2)/25))/(LN(2)/25)*Calculateur!GH179*Calculateur!GJ179*VLOOKUP('Données projet'!$B$17,Paramètres!$A$1:$I$89,3,0)*0.475*44/12</f>
        <v>0.32391697753918502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2.7311459218408061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9">
        <f t="shared" si="110"/>
        <v>600.89192861302752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>
        <f>VLOOKUP(A180,'Données projet'!$A$35:$I$55,2,0)</f>
        <v>347.04</v>
      </c>
      <c r="L180" s="13">
        <f>VLOOKUP(A180,'Données projet'!$A$35:$I$55,9,0)</f>
        <v>5.3866666666666747</v>
      </c>
      <c r="M180" s="13">
        <f t="array" ref="M180">INDEX(L:L,MIN(IF(ISNUMBER(L180:L376),ROW(L180:L376),"")))</f>
        <v>5.3866666666666747</v>
      </c>
      <c r="N180" s="14">
        <f>IF('Données projet'!$A$36&gt;35,N179+M180-V179,IF(A180&lt;'Données projet'!$A$36,$K$205^A180,IF(A180='Données projet'!$A$36,'Données projet'!$B$36,N179+M180-V179)))</f>
        <v>347.04000000000053</v>
      </c>
      <c r="O180" s="14">
        <f>N180*VLOOKUP('Données projet'!$B$9,Paramètres!$A$1:$I$89,3,0)*VLOOKUP('Données projet'!$B$9,Paramètres!$A$1:$I$89,5,0)</f>
        <v>314.00179200000048</v>
      </c>
      <c r="P180" s="14">
        <f t="shared" si="141"/>
        <v>74.103938722927282</v>
      </c>
      <c r="Q180" s="22">
        <f t="shared" si="162"/>
        <v>675.95081434243241</v>
      </c>
      <c r="R180" s="62">
        <f t="shared" si="109"/>
        <v>969.28414767576578</v>
      </c>
      <c r="S180" s="62">
        <f ca="1">AVERAGE(OFFSET($R$3,0,0,'Données projet'!$E$9+1,1))-AVERAGE(OFFSET($H$3,0,0,'Données projet'!$E$9+1,1))</f>
        <v>401.86262166363821</v>
      </c>
      <c r="T180" s="62">
        <f t="shared" si="142"/>
        <v>208.60314230781432</v>
      </c>
      <c r="U180" s="16">
        <f>IF(ISNA(VLOOKUP(A180,'Données projet'!$A$35:$I$55,3,0)),0,VLOOKUP(A180,'Données projet'!$A$35:$I$55,3,0))</f>
        <v>16</v>
      </c>
      <c r="V180" s="16">
        <f>IF(ISNA(VLOOKUP(A180,'Données projet'!$A$35:$I$55,4,0)),0,VLOOKUP(A180,'Données projet'!$A$35:$I$55,4,0))</f>
        <v>115.19</v>
      </c>
      <c r="W180" s="17">
        <f>IF(ISNA(VLOOKUP(A180,'Données projet'!$A$35:$I$55,5,0)),0%,VLOOKUP(A180,'Données projet'!$A$35:$I$55,5,0)*VLOOKUP('Données projet'!$B$9,Paramètres!$A$1:$I$89,7,0))</f>
        <v>0.34400000000000003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171.10730334928334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171.10730334928334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6.8212102632969618E-13</v>
      </c>
      <c r="AJ180" s="14">
        <f>AI180*VLOOKUP('Données projet'!$B$10,Paramètres!$A$1:$I$89,3,0)*VLOOKUP('Données projet'!$B$10,Paramètres!$A$1:$I$89,5,0)</f>
        <v>7.3423507274128498E-13</v>
      </c>
      <c r="AK180" s="14">
        <f t="shared" si="164"/>
        <v>8.7458894232577541E-12</v>
      </c>
      <c r="AL180" s="22">
        <f t="shared" si="165"/>
        <v>1.6511216830531657E-11</v>
      </c>
      <c r="AM180" s="62">
        <f t="shared" si="113"/>
        <v>293.3333333333498</v>
      </c>
      <c r="AN180" s="62">
        <f ca="1">AVERAGE(OFFSET($AM$3,0,0,'Données projet'!$E$10+1,1))-AVERAGE(OFFSET($H$3,0,0,'Données projet'!$E$10+1,1))</f>
        <v>407.22515465568205</v>
      </c>
      <c r="AO180" s="62">
        <f t="shared" si="144"/>
        <v>251.6218558398258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67.979739854987912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67.979739854987912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6.8212102632969618E-13</v>
      </c>
      <c r="BE180" s="14">
        <f>BD180*VLOOKUP('Données projet'!$B$11,Paramètres!$A$1:$I$89,3,0)*VLOOKUP('Données projet'!$B$11,Paramètres!$A$1:$I$89,5,0)</f>
        <v>6.5974745666608208E-13</v>
      </c>
      <c r="BF180" s="14">
        <f t="shared" si="167"/>
        <v>7.9570891233345703E-12</v>
      </c>
      <c r="BG180" s="22">
        <f t="shared" si="168"/>
        <v>1.5007657043501137E-11</v>
      </c>
      <c r="BH180" s="62">
        <f t="shared" si="116"/>
        <v>293.33333333334832</v>
      </c>
      <c r="BI180" s="62">
        <f ca="1">AVERAGE(OFFSET($BH$3,0,0,'Données projet'!$E$11+1,1))-AVERAGE(OFFSET($H$3,0,0,'Données projet'!$E$11+1,1))</f>
        <v>357.76044008074308</v>
      </c>
      <c r="BJ180" s="62">
        <f t="shared" si="146"/>
        <v>224.26555772810445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61.083244507380464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61.083244507380464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6.8212102632969618E-13</v>
      </c>
      <c r="BZ180" s="14">
        <f>BY180*VLOOKUP('Données projet'!$B$12,Paramètres!$A$1:$I$89,3,0)*VLOOKUP('Données projet'!$B$12,Paramètres!$A$1:$I$89,5,0)</f>
        <v>4.5756678446196019E-13</v>
      </c>
      <c r="CA180" s="14">
        <f t="shared" si="170"/>
        <v>5.7587689306883675E-12</v>
      </c>
      <c r="CB180" s="22">
        <f t="shared" si="171"/>
        <v>1.0826784703886818E-11</v>
      </c>
      <c r="CC180" s="62">
        <f t="shared" si="119"/>
        <v>293.33333333334411</v>
      </c>
      <c r="CD180" s="62">
        <f ca="1">AVERAGE(OFFSET($CC$3,0,0,'Données projet'!$E$12+1,1))-AVERAGE(OFFSET($H$3,0,0,'Données projet'!$E$12+1,1))</f>
        <v>222.86701323374945</v>
      </c>
      <c r="CE180" s="62">
        <f t="shared" si="148"/>
        <v>149.63671045240511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52.216321917599473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52.216321917599473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8.5265128291212022E-14</v>
      </c>
      <c r="CU180" s="18">
        <f>CT180*VLOOKUP('Données projet'!$B$13,Paramètres!$A$1:$I$89,3,0)*VLOOKUP('Données projet'!$B$13,Paramètres!$A$1:$I$89,5,0)</f>
        <v>5.5865712056402117E-14</v>
      </c>
      <c r="CV180" s="14">
        <f t="shared" si="173"/>
        <v>8.9811031843713517E-13</v>
      </c>
      <c r="CW180" s="22">
        <f t="shared" si="174"/>
        <v>1.6615082531095774E-12</v>
      </c>
      <c r="CX180" s="62">
        <f t="shared" si="122"/>
        <v>293.33333333333496</v>
      </c>
      <c r="CY180" s="62">
        <f ca="1">AVERAGE(OFFSET($CX$3,0,0,'Données projet'!$E$13+1,1))-AVERAGE(OFFSET($H$3,0,0,'Données projet'!$E$13+1,1))</f>
        <v>173.15672762188746</v>
      </c>
      <c r="CZ180" s="62">
        <f t="shared" si="150"/>
        <v>208.54841796921414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14.705090642471408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14.705090642471408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269.18638759204373</v>
      </c>
      <c r="EP180" s="62">
        <f t="shared" si="154"/>
        <v>197.07126167823969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29.565462603914014</v>
      </c>
      <c r="EW180" s="23">
        <f>EXP(-LN(2)/25)*EW179+(1-EXP(-LN(2)/25))/(LN(2)/25)*Calculateur!ER180*Calculateur!ET180*VLOOKUP('Données projet'!$B$15,Paramètres!$A$1:$I$89,3,0)*0.475*44/12</f>
        <v>2.143052098723615</v>
      </c>
      <c r="EX180" s="23">
        <f>EXP(-LN(2)/2)*EX179+(1-EXP(-LN(2)/2))/(LN(2)/2)*ER180*EU180*VLOOKUP('Données projet'!$B$15,Paramètres!$A$1:$I$89,3,0)*0.475*44/12</f>
        <v>7.9938370710888809E-14</v>
      </c>
      <c r="EY180" s="24">
        <f t="shared" si="181"/>
        <v>31.708514702637711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1.1368683772161603E-13</v>
      </c>
      <c r="FF180" s="18">
        <f>FE180*VLOOKUP('Données projet'!$B$16,Paramètres!$A$1:$I$89,3,0)*VLOOKUP('Données projet'!$B$16,Paramètres!$A$1:$I$89,5,0)</f>
        <v>6.7984728957526396E-14</v>
      </c>
      <c r="FG180" s="14">
        <f t="shared" si="182"/>
        <v>1.0682447123141398E-12</v>
      </c>
      <c r="FH180" s="22">
        <f t="shared" si="183"/>
        <v>1.978932943548152E-12</v>
      </c>
      <c r="FI180" s="62">
        <f t="shared" si="131"/>
        <v>293.3333333333353</v>
      </c>
      <c r="FJ180" s="62">
        <f ca="1">AVERAGE(OFFSET($FI$3,0,0,'Données projet'!$E$16+1,1))-AVERAGE(OFFSET($H$3,0,0,'Données projet'!$E$16+1,1))</f>
        <v>330.48891719033065</v>
      </c>
      <c r="FK180" s="62">
        <f t="shared" si="156"/>
        <v>419.35494198427284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20.950521556555568</v>
      </c>
      <c r="FR180" s="23">
        <f>EXP(-LN(2)/25)*FR179+(1-EXP(-LN(2)/25))/(LN(2)/25)*Calculateur!FM180*Calculateur!FO180*VLOOKUP('Données projet'!$B$16,Paramètres!$A$1:$I$89,3,0)*0.475*44/12</f>
        <v>1.4016040827231466</v>
      </c>
      <c r="FS180" s="23">
        <f>EXP(-LN(2)/2)*FS179+(1-EXP(-LN(2)/2))/(LN(2)/2)*FM180*FP180*VLOOKUP('Données projet'!$B$16,Paramètres!$A$1:$I$89,3,0)*0.475*44/12</f>
        <v>2.1305745381621228E-17</v>
      </c>
      <c r="FT180" s="24">
        <f t="shared" si="184"/>
        <v>22.352125639278714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>
        <f>FZ180*VLOOKUP('Données projet'!$B$17,Paramètres!$A$1:$I$89,3,0)*VLOOKUP('Données projet'!$B$17,Paramètres!$A$1:$I$89,5,0)</f>
        <v>0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132.18258156780018</v>
      </c>
      <c r="GF180" s="62">
        <f t="shared" si="158"/>
        <v>315.58133946947294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2.3600246529685429</v>
      </c>
      <c r="GM180" s="23">
        <f>EXP(-LN(2)/25)*GM179+(1-EXP(-LN(2)/25))/(LN(2)/25)*Calculateur!GH180*Calculateur!GJ180*VLOOKUP('Données projet'!$B$17,Paramètres!$A$1:$I$89,3,0)*0.475*44/12</f>
        <v>0.31505945075432246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2.6750841037228654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9">
        <f t="shared" si="110"/>
        <v>602.79048491575327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3.2566666666666606</v>
      </c>
      <c r="N181" s="14">
        <f>IF('Données projet'!$A$36&gt;35,N180+M181-V180,IF(A181&lt;'Données projet'!$A$36,$K$205^A181,IF(A181='Données projet'!$A$36,'Données projet'!$B$36,N180+M181-V180)))</f>
        <v>235.10666666666719</v>
      </c>
      <c r="O181" s="14">
        <f>N181*VLOOKUP('Données projet'!$B$9,Paramètres!$A$1:$I$89,3,0)*VLOOKUP('Données projet'!$B$9,Paramètres!$A$1:$I$89,5,0)</f>
        <v>212.72451200000049</v>
      </c>
      <c r="P181" s="14">
        <f t="shared" si="141"/>
        <v>52.530512718953382</v>
      </c>
      <c r="Q181" s="22">
        <f t="shared" si="162"/>
        <v>461.98583471884461</v>
      </c>
      <c r="R181" s="62">
        <f t="shared" si="109"/>
        <v>755.31916805217793</v>
      </c>
      <c r="S181" s="62">
        <f ca="1">AVERAGE(OFFSET($R$3,0,0,'Données projet'!$E$9+1,1))-AVERAGE(OFFSET($H$3,0,0,'Données projet'!$E$9+1,1))</f>
        <v>401.86262166363821</v>
      </c>
      <c r="T181" s="62">
        <f t="shared" si="142"/>
        <v>208.60314230781432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167.75199349575374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167.75199349575374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6.8212102632969618E-13</v>
      </c>
      <c r="AJ181" s="14">
        <f>AI181*VLOOKUP('Données projet'!$B$10,Paramètres!$A$1:$I$89,3,0)*VLOOKUP('Données projet'!$B$10,Paramètres!$A$1:$I$89,5,0)</f>
        <v>7.3423507274128498E-13</v>
      </c>
      <c r="AK181" s="14">
        <f t="shared" si="164"/>
        <v>8.7458894232577541E-12</v>
      </c>
      <c r="AL181" s="22">
        <f t="shared" si="165"/>
        <v>1.6511216830531657E-11</v>
      </c>
      <c r="AM181" s="62">
        <f t="shared" si="113"/>
        <v>293.3333333333498</v>
      </c>
      <c r="AN181" s="62">
        <f ca="1">AVERAGE(OFFSET($AM$3,0,0,'Données projet'!$E$10+1,1))-AVERAGE(OFFSET($H$3,0,0,'Données projet'!$E$10+1,1))</f>
        <v>407.22515465568205</v>
      </c>
      <c r="AO181" s="62">
        <f t="shared" si="144"/>
        <v>251.6218558398258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66.646698619978721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66.646698619978721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6.8212102632969618E-13</v>
      </c>
      <c r="BE181" s="14">
        <f>BD181*VLOOKUP('Données projet'!$B$11,Paramètres!$A$1:$I$89,3,0)*VLOOKUP('Données projet'!$B$11,Paramètres!$A$1:$I$89,5,0)</f>
        <v>6.5974745666608208E-13</v>
      </c>
      <c r="BF181" s="14">
        <f t="shared" si="167"/>
        <v>7.9570891233345703E-12</v>
      </c>
      <c r="BG181" s="22">
        <f t="shared" si="168"/>
        <v>1.5007657043501137E-11</v>
      </c>
      <c r="BH181" s="62">
        <f t="shared" si="116"/>
        <v>293.33333333334832</v>
      </c>
      <c r="BI181" s="62">
        <f ca="1">AVERAGE(OFFSET($BH$3,0,0,'Données projet'!$E$11+1,1))-AVERAGE(OFFSET($H$3,0,0,'Données projet'!$E$11+1,1))</f>
        <v>357.76044008074308</v>
      </c>
      <c r="BJ181" s="62">
        <f t="shared" si="146"/>
        <v>224.26555772810445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59.885439339691047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59.885439339691047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6.8212102632969618E-13</v>
      </c>
      <c r="BZ181" s="14">
        <f>BY181*VLOOKUP('Données projet'!$B$12,Paramètres!$A$1:$I$89,3,0)*VLOOKUP('Données projet'!$B$12,Paramètres!$A$1:$I$89,5,0)</f>
        <v>4.5756678446196019E-13</v>
      </c>
      <c r="CA181" s="14">
        <f t="shared" si="170"/>
        <v>5.7587689306883675E-12</v>
      </c>
      <c r="CB181" s="22">
        <f t="shared" si="171"/>
        <v>1.0826784703886818E-11</v>
      </c>
      <c r="CC181" s="62">
        <f t="shared" si="119"/>
        <v>293.33333333334411</v>
      </c>
      <c r="CD181" s="62">
        <f ca="1">AVERAGE(OFFSET($CC$3,0,0,'Données projet'!$E$12+1,1))-AVERAGE(OFFSET($H$3,0,0,'Données projet'!$E$12+1,1))</f>
        <v>222.86701323374945</v>
      </c>
      <c r="CE181" s="62">
        <f t="shared" si="148"/>
        <v>149.63671045240511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51.192391693606908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51.192391693606908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8.5265128291212022E-14</v>
      </c>
      <c r="CU181" s="18">
        <f>CT181*VLOOKUP('Données projet'!$B$13,Paramètres!$A$1:$I$89,3,0)*VLOOKUP('Données projet'!$B$13,Paramètres!$A$1:$I$89,5,0)</f>
        <v>5.5865712056402117E-14</v>
      </c>
      <c r="CV181" s="14">
        <f t="shared" si="173"/>
        <v>8.9811031843713517E-13</v>
      </c>
      <c r="CW181" s="22">
        <f t="shared" si="174"/>
        <v>1.6615082531095774E-12</v>
      </c>
      <c r="CX181" s="62">
        <f t="shared" si="122"/>
        <v>293.33333333333496</v>
      </c>
      <c r="CY181" s="62">
        <f ca="1">AVERAGE(OFFSET($CX$3,0,0,'Données projet'!$E$13+1,1))-AVERAGE(OFFSET($H$3,0,0,'Données projet'!$E$13+1,1))</f>
        <v>173.15672762188746</v>
      </c>
      <c r="CZ181" s="62">
        <f t="shared" si="150"/>
        <v>208.54841796921414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14.416732784192199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14.416732784192199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269.18638759204373</v>
      </c>
      <c r="EP181" s="62">
        <f t="shared" si="154"/>
        <v>197.07126167823969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28.985701915402824</v>
      </c>
      <c r="EW181" s="23">
        <f>EXP(-LN(2)/25)*EW180+(1-EXP(-LN(2)/25))/(LN(2)/25)*Calculateur!ER181*Calculateur!ET181*VLOOKUP('Données projet'!$B$15,Paramètres!$A$1:$I$89,3,0)*0.475*44/12</f>
        <v>2.084450226385806</v>
      </c>
      <c r="EX181" s="23">
        <f>EXP(-LN(2)/2)*EX180+(1-EXP(-LN(2)/2))/(LN(2)/2)*ER181*EU181*VLOOKUP('Données projet'!$B$15,Paramètres!$A$1:$I$89,3,0)*0.475*44/12</f>
        <v>5.6524964006673578E-14</v>
      </c>
      <c r="EY181" s="24">
        <f t="shared" si="181"/>
        <v>31.070152141788686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1.1368683772161603E-13</v>
      </c>
      <c r="FF181" s="18">
        <f>FE181*VLOOKUP('Données projet'!$B$16,Paramètres!$A$1:$I$89,3,0)*VLOOKUP('Données projet'!$B$16,Paramètres!$A$1:$I$89,5,0)</f>
        <v>6.7984728957526396E-14</v>
      </c>
      <c r="FG181" s="14">
        <f t="shared" si="182"/>
        <v>1.0682447123141398E-12</v>
      </c>
      <c r="FH181" s="22">
        <f t="shared" si="183"/>
        <v>1.978932943548152E-12</v>
      </c>
      <c r="FI181" s="62">
        <f t="shared" si="131"/>
        <v>293.3333333333353</v>
      </c>
      <c r="FJ181" s="62">
        <f ca="1">AVERAGE(OFFSET($FI$3,0,0,'Données projet'!$E$16+1,1))-AVERAGE(OFFSET($H$3,0,0,'Données projet'!$E$16+1,1))</f>
        <v>330.48891719033065</v>
      </c>
      <c r="FK181" s="62">
        <f t="shared" si="156"/>
        <v>419.35494198427284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20.539694607387887</v>
      </c>
      <c r="FR181" s="23">
        <f>EXP(-LN(2)/25)*FR180+(1-EXP(-LN(2)/25))/(LN(2)/25)*Calculateur!FM181*Calculateur!FO181*VLOOKUP('Données projet'!$B$16,Paramètres!$A$1:$I$89,3,0)*0.475*44/12</f>
        <v>1.363277145373927</v>
      </c>
      <c r="FS181" s="23">
        <f>EXP(-LN(2)/2)*FS180+(1-EXP(-LN(2)/2))/(LN(2)/2)*FM181*FP181*VLOOKUP('Données projet'!$B$16,Paramètres!$A$1:$I$89,3,0)*0.475*44/12</f>
        <v>1.5065437037578337E-17</v>
      </c>
      <c r="FT181" s="24">
        <f t="shared" si="184"/>
        <v>21.902971752761815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>
        <f>FZ181*VLOOKUP('Données projet'!$B$17,Paramètres!$A$1:$I$89,3,0)*VLOOKUP('Données projet'!$B$17,Paramètres!$A$1:$I$89,5,0)</f>
        <v>0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132.18258156780018</v>
      </c>
      <c r="GF181" s="62">
        <f t="shared" si="158"/>
        <v>315.58133946947294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2.3137460089967319</v>
      </c>
      <c r="GM181" s="23">
        <f>EXP(-LN(2)/25)*GM180+(1-EXP(-LN(2)/25))/(LN(2)/25)*Calculateur!GH181*Calculateur!GJ181*VLOOKUP('Données projet'!$B$17,Paramètres!$A$1:$I$89,3,0)*0.475*44/12</f>
        <v>0.30644413350518906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2.6201901425019209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9">
        <f t="shared" si="110"/>
        <v>604.6888125030207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3.2566666666666606</v>
      </c>
      <c r="N182" s="14">
        <f>IF('Données projet'!$A$36&gt;35,N181+M182-V181,IF(A182&lt;'Données projet'!$A$36,$K$205^A182,IF(A182='Données projet'!$A$36,'Données projet'!$B$36,N181+M182-V181)))</f>
        <v>238.36333333333386</v>
      </c>
      <c r="O182" s="14">
        <f>N182*VLOOKUP('Données projet'!$B$9,Paramètres!$A$1:$I$89,3,0)*VLOOKUP('Données projet'!$B$9,Paramètres!$A$1:$I$89,5,0)</f>
        <v>215.67114400000045</v>
      </c>
      <c r="P182" s="14">
        <f t="shared" si="141"/>
        <v>53.172944836363733</v>
      </c>
      <c r="Q182" s="22">
        <f t="shared" si="162"/>
        <v>468.23678805666754</v>
      </c>
      <c r="R182" s="62">
        <f t="shared" si="109"/>
        <v>761.57012139000085</v>
      </c>
      <c r="S182" s="62">
        <f ca="1">AVERAGE(OFFSET($R$3,0,0,'Données projet'!$E$9+1,1))-AVERAGE(OFFSET($H$3,0,0,'Données projet'!$E$9+1,1))</f>
        <v>401.86262166363821</v>
      </c>
      <c r="T182" s="62">
        <f t="shared" si="142"/>
        <v>208.60314230781432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164.46247922191492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164.46247922191492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6.8212102632969618E-13</v>
      </c>
      <c r="AJ182" s="14">
        <f>AI182*VLOOKUP('Données projet'!$B$10,Paramètres!$A$1:$I$89,3,0)*VLOOKUP('Données projet'!$B$10,Paramètres!$A$1:$I$89,5,0)</f>
        <v>7.3423507274128498E-13</v>
      </c>
      <c r="AK182" s="14">
        <f t="shared" si="164"/>
        <v>8.7458894232577541E-12</v>
      </c>
      <c r="AL182" s="22">
        <f t="shared" si="165"/>
        <v>1.6511216830531657E-11</v>
      </c>
      <c r="AM182" s="62">
        <f t="shared" si="113"/>
        <v>293.3333333333498</v>
      </c>
      <c r="AN182" s="62">
        <f ca="1">AVERAGE(OFFSET($AM$3,0,0,'Données projet'!$E$10+1,1))-AVERAGE(OFFSET($H$3,0,0,'Données projet'!$E$10+1,1))</f>
        <v>407.22515465568205</v>
      </c>
      <c r="AO182" s="62">
        <f t="shared" si="144"/>
        <v>251.6218558398258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65.339797510513193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65.339797510513193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6.8212102632969618E-13</v>
      </c>
      <c r="BE182" s="14">
        <f>BD182*VLOOKUP('Données projet'!$B$11,Paramètres!$A$1:$I$89,3,0)*VLOOKUP('Données projet'!$B$11,Paramètres!$A$1:$I$89,5,0)</f>
        <v>6.5974745666608208E-13</v>
      </c>
      <c r="BF182" s="14">
        <f t="shared" si="167"/>
        <v>7.9570891233345703E-12</v>
      </c>
      <c r="BG182" s="22">
        <f t="shared" si="168"/>
        <v>1.5007657043501137E-11</v>
      </c>
      <c r="BH182" s="62">
        <f t="shared" si="116"/>
        <v>293.33333333334832</v>
      </c>
      <c r="BI182" s="62">
        <f ca="1">AVERAGE(OFFSET($BH$3,0,0,'Données projet'!$E$11+1,1))-AVERAGE(OFFSET($H$3,0,0,'Données projet'!$E$11+1,1))</f>
        <v>357.76044008074308</v>
      </c>
      <c r="BJ182" s="62">
        <f t="shared" si="146"/>
        <v>224.26555772810445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58.711122400751009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58.711122400751009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6.8212102632969618E-13</v>
      </c>
      <c r="BZ182" s="14">
        <f>BY182*VLOOKUP('Données projet'!$B$12,Paramètres!$A$1:$I$89,3,0)*VLOOKUP('Données projet'!$B$12,Paramètres!$A$1:$I$89,5,0)</f>
        <v>4.5756678446196019E-13</v>
      </c>
      <c r="CA182" s="14">
        <f t="shared" si="170"/>
        <v>5.7587689306883675E-12</v>
      </c>
      <c r="CB182" s="22">
        <f t="shared" si="171"/>
        <v>1.0826784703886818E-11</v>
      </c>
      <c r="CC182" s="62">
        <f t="shared" si="119"/>
        <v>293.33333333334411</v>
      </c>
      <c r="CD182" s="62">
        <f ca="1">AVERAGE(OFFSET($CC$3,0,0,'Données projet'!$E$12+1,1))-AVERAGE(OFFSET($H$3,0,0,'Données projet'!$E$12+1,1))</f>
        <v>222.86701323374945</v>
      </c>
      <c r="CE182" s="62">
        <f t="shared" si="148"/>
        <v>149.63671045240511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50.188540116771065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50.188540116771065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8.5265128291212022E-14</v>
      </c>
      <c r="CU182" s="18">
        <f>CT182*VLOOKUP('Données projet'!$B$13,Paramètres!$A$1:$I$89,3,0)*VLOOKUP('Données projet'!$B$13,Paramètres!$A$1:$I$89,5,0)</f>
        <v>5.5865712056402117E-14</v>
      </c>
      <c r="CV182" s="14">
        <f t="shared" si="173"/>
        <v>8.9811031843713517E-13</v>
      </c>
      <c r="CW182" s="22">
        <f t="shared" si="174"/>
        <v>1.6615082531095774E-12</v>
      </c>
      <c r="CX182" s="62">
        <f t="shared" si="122"/>
        <v>293.33333333333496</v>
      </c>
      <c r="CY182" s="62">
        <f ca="1">AVERAGE(OFFSET($CX$3,0,0,'Données projet'!$E$13+1,1))-AVERAGE(OFFSET($H$3,0,0,'Données projet'!$E$13+1,1))</f>
        <v>173.15672762188746</v>
      </c>
      <c r="CZ182" s="62">
        <f t="shared" si="150"/>
        <v>208.54841796921414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14.134029447632917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14.134029447632917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269.18638759204373</v>
      </c>
      <c r="EP182" s="62">
        <f t="shared" si="154"/>
        <v>197.07126167823969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28.417309980374235</v>
      </c>
      <c r="EW182" s="23">
        <f>EXP(-LN(2)/25)*EW181+(1-EXP(-LN(2)/25))/(LN(2)/25)*Calculateur!ER182*Calculateur!ET182*VLOOKUP('Données projet'!$B$15,Paramètres!$A$1:$I$89,3,0)*0.475*44/12</f>
        <v>2.0274508253288128</v>
      </c>
      <c r="EX182" s="23">
        <f>EXP(-LN(2)/2)*EX181+(1-EXP(-LN(2)/2))/(LN(2)/2)*ER182*EU182*VLOOKUP('Données projet'!$B$15,Paramètres!$A$1:$I$89,3,0)*0.475*44/12</f>
        <v>3.9969185355444411E-14</v>
      </c>
      <c r="EY182" s="24">
        <f t="shared" si="181"/>
        <v>30.444760805703087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1.1368683772161603E-13</v>
      </c>
      <c r="FF182" s="18">
        <f>FE182*VLOOKUP('Données projet'!$B$16,Paramètres!$A$1:$I$89,3,0)*VLOOKUP('Données projet'!$B$16,Paramètres!$A$1:$I$89,5,0)</f>
        <v>6.7984728957526396E-14</v>
      </c>
      <c r="FG182" s="14">
        <f t="shared" si="182"/>
        <v>1.0682447123141398E-12</v>
      </c>
      <c r="FH182" s="22">
        <f t="shared" si="183"/>
        <v>1.978932943548152E-12</v>
      </c>
      <c r="FI182" s="62">
        <f t="shared" si="131"/>
        <v>293.3333333333353</v>
      </c>
      <c r="FJ182" s="62">
        <f ca="1">AVERAGE(OFFSET($FI$3,0,0,'Données projet'!$E$16+1,1))-AVERAGE(OFFSET($H$3,0,0,'Données projet'!$E$16+1,1))</f>
        <v>330.48891719033065</v>
      </c>
      <c r="FK182" s="62">
        <f t="shared" si="156"/>
        <v>419.35494198427284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20.136923724113686</v>
      </c>
      <c r="FR182" s="23">
        <f>EXP(-LN(2)/25)*FR181+(1-EXP(-LN(2)/25))/(LN(2)/25)*Calculateur!FM182*Calculateur!FO182*VLOOKUP('Données projet'!$B$16,Paramètres!$A$1:$I$89,3,0)*0.475*44/12</f>
        <v>1.3259982601420477</v>
      </c>
      <c r="FS182" s="23">
        <f>EXP(-LN(2)/2)*FS181+(1-EXP(-LN(2)/2))/(LN(2)/2)*FM182*FP182*VLOOKUP('Données projet'!$B$16,Paramètres!$A$1:$I$89,3,0)*0.475*44/12</f>
        <v>1.0652872690810614E-17</v>
      </c>
      <c r="FT182" s="24">
        <f t="shared" si="184"/>
        <v>21.462921984255733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>
        <f>FZ182*VLOOKUP('Données projet'!$B$17,Paramètres!$A$1:$I$89,3,0)*VLOOKUP('Données projet'!$B$17,Paramètres!$A$1:$I$89,5,0)</f>
        <v>0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132.18258156780018</v>
      </c>
      <c r="GF182" s="62">
        <f t="shared" si="158"/>
        <v>315.58133946947294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2.2683748610060226</v>
      </c>
      <c r="GM182" s="23">
        <f>EXP(-LN(2)/25)*GM181+(1-EXP(-LN(2)/25))/(LN(2)/25)*Calculateur!GH182*Calculateur!GJ182*VLOOKUP('Données projet'!$B$17,Paramètres!$A$1:$I$89,3,0)*0.475*44/12</f>
        <v>0.29806440255929306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2.5664392635653157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9">
        <f t="shared" si="110"/>
        <v>606.58691280085009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>
        <f>VLOOKUP(A183,'Données projet'!$A$35:$I$55,2,0)</f>
        <v>241.62</v>
      </c>
      <c r="L183" s="13">
        <f>VLOOKUP(A183,'Données projet'!$A$35:$I$55,9,0)</f>
        <v>3.2566666666666606</v>
      </c>
      <c r="M183" s="13">
        <f t="array" ref="M183">INDEX(L:L,MIN(IF(ISNUMBER(L183:L379),ROW(L183:L379),"")))</f>
        <v>3.2566666666666606</v>
      </c>
      <c r="N183" s="14">
        <f>IF('Données projet'!$A$36&gt;35,N182+M183-V182,IF(A183&lt;'Données projet'!$A$36,$K$205^A183,IF(A183='Données projet'!$A$36,'Données projet'!$B$36,N182+M183-V182)))</f>
        <v>241.62000000000052</v>
      </c>
      <c r="O183" s="14">
        <f>N183*VLOOKUP('Données projet'!$B$9,Paramètres!$A$1:$I$89,3,0)*VLOOKUP('Données projet'!$B$9,Paramètres!$A$1:$I$89,5,0)</f>
        <v>218.61777600000045</v>
      </c>
      <c r="P183" s="14">
        <f t="shared" si="141"/>
        <v>53.814356054061541</v>
      </c>
      <c r="Q183" s="22">
        <f t="shared" si="162"/>
        <v>474.48596332749122</v>
      </c>
      <c r="R183" s="62">
        <f t="shared" si="109"/>
        <v>767.81929666082453</v>
      </c>
      <c r="S183" s="62">
        <f ca="1">AVERAGE(OFFSET($R$3,0,0,'Données projet'!$E$9+1,1))-AVERAGE(OFFSET($H$3,0,0,'Données projet'!$E$9+1,1))</f>
        <v>401.86262166363821</v>
      </c>
      <c r="T183" s="62">
        <f t="shared" si="142"/>
        <v>208.60314230781432</v>
      </c>
      <c r="U183" s="16">
        <f>IF(ISNA(VLOOKUP(A183,'Données projet'!$A$35:$I$55,3,0)),0,VLOOKUP(A183,'Données projet'!$A$35:$I$55,3,0))</f>
        <v>17</v>
      </c>
      <c r="V183" s="16">
        <f>IF(ISNA(VLOOKUP(A183,'Données projet'!$A$35:$I$55,4,0)),0,VLOOKUP(A183,'Données projet'!$A$35:$I$55,4,0))</f>
        <v>77.72</v>
      </c>
      <c r="W183" s="17">
        <f>IF(ISNA(VLOOKUP(A183,'Données projet'!$A$35:$I$55,5,0)),0%,VLOOKUP(A183,'Données projet'!$A$35:$I$55,5,0)*VLOOKUP('Données projet'!$B$9,Paramètres!$A$1:$I$89,7,0))</f>
        <v>0.34400000000000003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187.97928881270488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187.97928881270488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6.8212102632969618E-13</v>
      </c>
      <c r="AJ183" s="14">
        <f>AI183*VLOOKUP('Données projet'!$B$10,Paramètres!$A$1:$I$89,3,0)*VLOOKUP('Données projet'!$B$10,Paramètres!$A$1:$I$89,5,0)</f>
        <v>7.3423507274128498E-13</v>
      </c>
      <c r="AK183" s="14">
        <f t="shared" si="164"/>
        <v>8.7458894232577541E-12</v>
      </c>
      <c r="AL183" s="22">
        <f t="shared" si="165"/>
        <v>1.6511216830531657E-11</v>
      </c>
      <c r="AM183" s="62">
        <f t="shared" si="113"/>
        <v>293.3333333333498</v>
      </c>
      <c r="AN183" s="62">
        <f ca="1">AVERAGE(OFFSET($AM$3,0,0,'Données projet'!$E$10+1,1))-AVERAGE(OFFSET($H$3,0,0,'Données projet'!$E$10+1,1))</f>
        <v>407.22515465568205</v>
      </c>
      <c r="AO183" s="62">
        <f t="shared" si="144"/>
        <v>251.6218558398258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64.058523934673318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64.058523934673318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6.8212102632969618E-13</v>
      </c>
      <c r="BE183" s="14">
        <f>BD183*VLOOKUP('Données projet'!$B$11,Paramètres!$A$1:$I$89,3,0)*VLOOKUP('Données projet'!$B$11,Paramètres!$A$1:$I$89,5,0)</f>
        <v>6.5974745666608208E-13</v>
      </c>
      <c r="BF183" s="14">
        <f t="shared" si="167"/>
        <v>7.9570891233345703E-12</v>
      </c>
      <c r="BG183" s="22">
        <f t="shared" si="168"/>
        <v>1.5007657043501137E-11</v>
      </c>
      <c r="BH183" s="62">
        <f t="shared" si="116"/>
        <v>293.33333333334832</v>
      </c>
      <c r="BI183" s="62">
        <f ca="1">AVERAGE(OFFSET($BH$3,0,0,'Données projet'!$E$11+1,1))-AVERAGE(OFFSET($H$3,0,0,'Données projet'!$E$11+1,1))</f>
        <v>357.76044008074308</v>
      </c>
      <c r="BJ183" s="62">
        <f t="shared" si="146"/>
        <v>224.26555772810445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57.559833100720979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57.559833100720979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6.8212102632969618E-13</v>
      </c>
      <c r="BZ183" s="14">
        <f>BY183*VLOOKUP('Données projet'!$B$12,Paramètres!$A$1:$I$89,3,0)*VLOOKUP('Données projet'!$B$12,Paramètres!$A$1:$I$89,5,0)</f>
        <v>4.5756678446196019E-13</v>
      </c>
      <c r="CA183" s="14">
        <f t="shared" si="170"/>
        <v>5.7587689306883675E-12</v>
      </c>
      <c r="CB183" s="22">
        <f t="shared" si="171"/>
        <v>1.0826784703886818E-11</v>
      </c>
      <c r="CC183" s="62">
        <f t="shared" si="119"/>
        <v>293.33333333334411</v>
      </c>
      <c r="CD183" s="62">
        <f ca="1">AVERAGE(OFFSET($CC$3,0,0,'Données projet'!$E$12+1,1))-AVERAGE(OFFSET($H$3,0,0,'Données projet'!$E$12+1,1))</f>
        <v>222.86701323374945</v>
      </c>
      <c r="CE183" s="62">
        <f t="shared" si="148"/>
        <v>149.63671045240511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49.204373457067973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49.204373457067973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8.5265128291212022E-14</v>
      </c>
      <c r="CU183" s="18">
        <f>CT183*VLOOKUP('Données projet'!$B$13,Paramètres!$A$1:$I$89,3,0)*VLOOKUP('Données projet'!$B$13,Paramètres!$A$1:$I$89,5,0)</f>
        <v>5.5865712056402117E-14</v>
      </c>
      <c r="CV183" s="14">
        <f t="shared" si="173"/>
        <v>8.9811031843713517E-13</v>
      </c>
      <c r="CW183" s="22">
        <f t="shared" si="174"/>
        <v>1.6615082531095774E-12</v>
      </c>
      <c r="CX183" s="62">
        <f t="shared" si="122"/>
        <v>293.33333333333496</v>
      </c>
      <c r="CY183" s="62">
        <f ca="1">AVERAGE(OFFSET($CX$3,0,0,'Données projet'!$E$13+1,1))-AVERAGE(OFFSET($H$3,0,0,'Données projet'!$E$13+1,1))</f>
        <v>173.15672762188746</v>
      </c>
      <c r="CZ183" s="62">
        <f t="shared" si="150"/>
        <v>208.54841796921414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13.856869751071555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13.856869751071555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269.18638759204373</v>
      </c>
      <c r="EP183" s="62">
        <f t="shared" si="154"/>
        <v>197.07126167823969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27.860063864506706</v>
      </c>
      <c r="EW183" s="23">
        <f>EXP(-LN(2)/25)*EW182+(1-EXP(-LN(2)/25))/(LN(2)/25)*Calculateur!ER183*Calculateur!ET183*VLOOKUP('Données projet'!$B$15,Paramètres!$A$1:$I$89,3,0)*0.475*44/12</f>
        <v>1.9720100758911914</v>
      </c>
      <c r="EX183" s="23">
        <f>EXP(-LN(2)/2)*EX182+(1-EXP(-LN(2)/2))/(LN(2)/2)*ER183*EU183*VLOOKUP('Données projet'!$B$15,Paramètres!$A$1:$I$89,3,0)*0.475*44/12</f>
        <v>2.8262482003336792E-14</v>
      </c>
      <c r="EY183" s="24">
        <f t="shared" si="181"/>
        <v>29.832073940397926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1.1368683772161603E-13</v>
      </c>
      <c r="FF183" s="18">
        <f>FE183*VLOOKUP('Données projet'!$B$16,Paramètres!$A$1:$I$89,3,0)*VLOOKUP('Données projet'!$B$16,Paramètres!$A$1:$I$89,5,0)</f>
        <v>6.7984728957526396E-14</v>
      </c>
      <c r="FG183" s="14">
        <f t="shared" si="182"/>
        <v>1.0682447123141398E-12</v>
      </c>
      <c r="FH183" s="22">
        <f t="shared" si="183"/>
        <v>1.978932943548152E-12</v>
      </c>
      <c r="FI183" s="62">
        <f t="shared" si="131"/>
        <v>293.3333333333353</v>
      </c>
      <c r="FJ183" s="62">
        <f ca="1">AVERAGE(OFFSET($FI$3,0,0,'Données projet'!$E$16+1,1))-AVERAGE(OFFSET($H$3,0,0,'Données projet'!$E$16+1,1))</f>
        <v>330.48891719033065</v>
      </c>
      <c r="FK183" s="62">
        <f t="shared" si="156"/>
        <v>419.35494198427284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19.742050932194509</v>
      </c>
      <c r="FR183" s="23">
        <f>EXP(-LN(2)/25)*FR182+(1-EXP(-LN(2)/25))/(LN(2)/25)*Calculateur!FM183*Calculateur!FO183*VLOOKUP('Données projet'!$B$16,Paramètres!$A$1:$I$89,3,0)*0.475*44/12</f>
        <v>1.2897387679872454</v>
      </c>
      <c r="FS183" s="23">
        <f>EXP(-LN(2)/2)*FS182+(1-EXP(-LN(2)/2))/(LN(2)/2)*FM183*FP183*VLOOKUP('Données projet'!$B$16,Paramètres!$A$1:$I$89,3,0)*0.475*44/12</f>
        <v>7.5327185187891686E-18</v>
      </c>
      <c r="FT183" s="24">
        <f t="shared" si="184"/>
        <v>21.031789700181754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>
        <f>FZ183*VLOOKUP('Données projet'!$B$17,Paramètres!$A$1:$I$89,3,0)*VLOOKUP('Données projet'!$B$17,Paramètres!$A$1:$I$89,5,0)</f>
        <v>0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132.18258156780018</v>
      </c>
      <c r="GF183" s="62">
        <f t="shared" si="158"/>
        <v>315.58133946947294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2.2238934135537431</v>
      </c>
      <c r="GM183" s="23">
        <f>EXP(-LN(2)/25)*GM182+(1-EXP(-LN(2)/25))/(LN(2)/25)*Calculateur!GH183*Calculateur!GJ183*VLOOKUP('Données projet'!$B$17,Paramètres!$A$1:$I$89,3,0)*0.475*44/12</f>
        <v>0.28991381579678349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2.5138072293505265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9">
        <f t="shared" si="110"/>
        <v>608.48478721849972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1.9533333333333285</v>
      </c>
      <c r="N184" s="14">
        <f>IF('Données projet'!$A$36&gt;35,N183+M184-V183,IF(A184&lt;'Données projet'!$A$36,$K$205^A184,IF(A184='Données projet'!$A$36,'Données projet'!$B$36,N183+M184-V183)))</f>
        <v>165.85333333333384</v>
      </c>
      <c r="O184" s="14">
        <f>N184*VLOOKUP('Données projet'!$B$9,Paramètres!$A$1:$I$89,3,0)*VLOOKUP('Données projet'!$B$9,Paramètres!$A$1:$I$89,5,0)</f>
        <v>150.06409600000046</v>
      </c>
      <c r="P184" s="14">
        <f t="shared" si="141"/>
        <v>38.593151304664545</v>
      </c>
      <c r="Q184" s="22">
        <f t="shared" si="162"/>
        <v>328.57803905562486</v>
      </c>
      <c r="R184" s="62">
        <f t="shared" si="109"/>
        <v>621.91137238895817</v>
      </c>
      <c r="S184" s="62">
        <f ca="1">AVERAGE(OFFSET($R$3,0,0,'Données projet'!$E$9+1,1))-AVERAGE(OFFSET($H$3,0,0,'Données projet'!$E$9+1,1))</f>
        <v>401.86262166363821</v>
      </c>
      <c r="T184" s="62">
        <f t="shared" si="142"/>
        <v>208.60314230781432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184.29312961513256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184.29312961513256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6.8212102632969618E-13</v>
      </c>
      <c r="AJ184" s="14">
        <f>AI184*VLOOKUP('Données projet'!$B$10,Paramètres!$A$1:$I$89,3,0)*VLOOKUP('Données projet'!$B$10,Paramètres!$A$1:$I$89,5,0)</f>
        <v>7.3423507274128498E-13</v>
      </c>
      <c r="AK184" s="14">
        <f t="shared" si="164"/>
        <v>8.7458894232577541E-12</v>
      </c>
      <c r="AL184" s="22">
        <f t="shared" si="165"/>
        <v>1.6511216830531657E-11</v>
      </c>
      <c r="AM184" s="62">
        <f t="shared" si="113"/>
        <v>293.3333333333498</v>
      </c>
      <c r="AN184" s="62">
        <f ca="1">AVERAGE(OFFSET($AM$3,0,0,'Données projet'!$E$10+1,1))-AVERAGE(OFFSET($H$3,0,0,'Données projet'!$E$10+1,1))</f>
        <v>407.22515465568205</v>
      </c>
      <c r="AO184" s="62">
        <f t="shared" si="144"/>
        <v>251.6218558398258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62.802375352155948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62.802375352155948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6.8212102632969618E-13</v>
      </c>
      <c r="BE184" s="14">
        <f>BD184*VLOOKUP('Données projet'!$B$11,Paramètres!$A$1:$I$89,3,0)*VLOOKUP('Données projet'!$B$11,Paramètres!$A$1:$I$89,5,0)</f>
        <v>6.5974745666608208E-13</v>
      </c>
      <c r="BF184" s="14">
        <f t="shared" si="167"/>
        <v>7.9570891233345703E-12</v>
      </c>
      <c r="BG184" s="22">
        <f t="shared" si="168"/>
        <v>1.5007657043501137E-11</v>
      </c>
      <c r="BH184" s="62">
        <f t="shared" si="116"/>
        <v>293.33333333334832</v>
      </c>
      <c r="BI184" s="62">
        <f ca="1">AVERAGE(OFFSET($BH$3,0,0,'Données projet'!$E$11+1,1))-AVERAGE(OFFSET($H$3,0,0,'Données projet'!$E$11+1,1))</f>
        <v>357.76044008074308</v>
      </c>
      <c r="BJ184" s="62">
        <f t="shared" si="146"/>
        <v>224.26555772810445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56.431119881647405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56.431119881647405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6.8212102632969618E-13</v>
      </c>
      <c r="BZ184" s="14">
        <f>BY184*VLOOKUP('Données projet'!$B$12,Paramètres!$A$1:$I$89,3,0)*VLOOKUP('Données projet'!$B$12,Paramètres!$A$1:$I$89,5,0)</f>
        <v>4.5756678446196019E-13</v>
      </c>
      <c r="CA184" s="14">
        <f t="shared" si="170"/>
        <v>5.7587689306883675E-12</v>
      </c>
      <c r="CB184" s="22">
        <f t="shared" si="171"/>
        <v>1.0826784703886818E-11</v>
      </c>
      <c r="CC184" s="62">
        <f t="shared" si="119"/>
        <v>293.33333333334411</v>
      </c>
      <c r="CD184" s="62">
        <f ca="1">AVERAGE(OFFSET($CC$3,0,0,'Données projet'!$E$12+1,1))-AVERAGE(OFFSET($H$3,0,0,'Données projet'!$E$12+1,1))</f>
        <v>222.86701323374945</v>
      </c>
      <c r="CE184" s="62">
        <f t="shared" si="148"/>
        <v>149.63671045240511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48.239505705279271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48.239505705279271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8.5265128291212022E-14</v>
      </c>
      <c r="CU184" s="18">
        <f>CT184*VLOOKUP('Données projet'!$B$13,Paramètres!$A$1:$I$89,3,0)*VLOOKUP('Données projet'!$B$13,Paramètres!$A$1:$I$89,5,0)</f>
        <v>5.5865712056402117E-14</v>
      </c>
      <c r="CV184" s="14">
        <f t="shared" si="173"/>
        <v>8.9811031843713517E-13</v>
      </c>
      <c r="CW184" s="22">
        <f t="shared" si="174"/>
        <v>1.6615082531095774E-12</v>
      </c>
      <c r="CX184" s="62">
        <f t="shared" si="122"/>
        <v>293.33333333333496</v>
      </c>
      <c r="CY184" s="62">
        <f ca="1">AVERAGE(OFFSET($CX$3,0,0,'Données projet'!$E$13+1,1))-AVERAGE(OFFSET($H$3,0,0,'Données projet'!$E$13+1,1))</f>
        <v>173.15672762188746</v>
      </c>
      <c r="CZ184" s="62">
        <f t="shared" si="150"/>
        <v>208.54841796921414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13.585144987109038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13.585144987109038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269.18638759204373</v>
      </c>
      <c r="EP184" s="62">
        <f t="shared" si="154"/>
        <v>197.07126167823969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27.313745005084773</v>
      </c>
      <c r="EW184" s="23">
        <f>EXP(-LN(2)/25)*EW183+(1-EXP(-LN(2)/25))/(LN(2)/25)*Calculateur!ER184*Calculateur!ET184*VLOOKUP('Données projet'!$B$15,Paramètres!$A$1:$I$89,3,0)*0.475*44/12</f>
        <v>1.9180853566624438</v>
      </c>
      <c r="EX184" s="23">
        <f>EXP(-LN(2)/2)*EX183+(1-EXP(-LN(2)/2))/(LN(2)/2)*ER184*EU184*VLOOKUP('Données projet'!$B$15,Paramètres!$A$1:$I$89,3,0)*0.475*44/12</f>
        <v>1.9984592677722209E-14</v>
      </c>
      <c r="EY184" s="24">
        <f t="shared" si="181"/>
        <v>29.231830361747239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1.1368683772161603E-13</v>
      </c>
      <c r="FF184" s="18">
        <f>FE184*VLOOKUP('Données projet'!$B$16,Paramètres!$A$1:$I$89,3,0)*VLOOKUP('Données projet'!$B$16,Paramètres!$A$1:$I$89,5,0)</f>
        <v>6.7984728957526396E-14</v>
      </c>
      <c r="FG184" s="14">
        <f t="shared" si="182"/>
        <v>1.0682447123141398E-12</v>
      </c>
      <c r="FH184" s="22">
        <f t="shared" si="183"/>
        <v>1.978932943548152E-12</v>
      </c>
      <c r="FI184" s="62">
        <f t="shared" si="131"/>
        <v>293.3333333333353</v>
      </c>
      <c r="FJ184" s="62">
        <f ca="1">AVERAGE(OFFSET($FI$3,0,0,'Données projet'!$E$16+1,1))-AVERAGE(OFFSET($H$3,0,0,'Données projet'!$E$16+1,1))</f>
        <v>330.48891719033065</v>
      </c>
      <c r="FK184" s="62">
        <f t="shared" si="156"/>
        <v>419.35494198427284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19.354921354876247</v>
      </c>
      <c r="FR184" s="23">
        <f>EXP(-LN(2)/25)*FR183+(1-EXP(-LN(2)/25))/(LN(2)/25)*Calculateur!FM184*Calculateur!FO184*VLOOKUP('Données projet'!$B$16,Paramètres!$A$1:$I$89,3,0)*0.475*44/12</f>
        <v>1.2544707935522201</v>
      </c>
      <c r="FS184" s="23">
        <f>EXP(-LN(2)/2)*FS183+(1-EXP(-LN(2)/2))/(LN(2)/2)*FM184*FP184*VLOOKUP('Données projet'!$B$16,Paramètres!$A$1:$I$89,3,0)*0.475*44/12</f>
        <v>5.3264363454053071E-18</v>
      </c>
      <c r="FT184" s="24">
        <f t="shared" si="184"/>
        <v>20.609392148428466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>
        <f>FZ184*VLOOKUP('Données projet'!$B$17,Paramètres!$A$1:$I$89,3,0)*VLOOKUP('Données projet'!$B$17,Paramètres!$A$1:$I$89,5,0)</f>
        <v>0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132.18258156780018</v>
      </c>
      <c r="GF184" s="62">
        <f t="shared" si="158"/>
        <v>315.58133946947294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2.180284220154999</v>
      </c>
      <c r="GM184" s="23">
        <f>EXP(-LN(2)/25)*GM183+(1-EXP(-LN(2)/25))/(LN(2)/25)*Calculateur!GH184*Calculateur!GJ184*VLOOKUP('Données projet'!$B$17,Paramètres!$A$1:$I$89,3,0)*0.475*44/12</f>
        <v>0.28198610725791551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2.4622703274129147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9">
        <f t="shared" si="110"/>
        <v>610.38243714875489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1.9533333333333285</v>
      </c>
      <c r="N185" s="14">
        <f>IF('Données projet'!$A$36&gt;35,N184+M185-V184,IF(A185&lt;'Données projet'!$A$36,$K$205^A185,IF(A185='Données projet'!$A$36,'Données projet'!$B$36,N184+M185-V184)))</f>
        <v>167.80666666666716</v>
      </c>
      <c r="O185" s="14">
        <f>N185*VLOOKUP('Données projet'!$B$9,Paramètres!$A$1:$I$89,3,0)*VLOOKUP('Données projet'!$B$9,Paramètres!$A$1:$I$89,5,0)</f>
        <v>151.83147200000045</v>
      </c>
      <c r="P185" s="14">
        <f t="shared" si="141"/>
        <v>38.994499777620597</v>
      </c>
      <c r="Q185" s="22">
        <f t="shared" si="162"/>
        <v>332.35523417935661</v>
      </c>
      <c r="R185" s="62">
        <f t="shared" si="109"/>
        <v>625.68856751268993</v>
      </c>
      <c r="S185" s="62">
        <f ca="1">AVERAGE(OFFSET($R$3,0,0,'Données projet'!$E$9+1,1))-AVERAGE(OFFSET($H$3,0,0,'Données projet'!$E$9+1,1))</f>
        <v>401.86262166363821</v>
      </c>
      <c r="T185" s="62">
        <f t="shared" si="142"/>
        <v>208.60314230781432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180.67925375108953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180.67925375108953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6.8212102632969618E-13</v>
      </c>
      <c r="AJ185" s="14">
        <f>AI185*VLOOKUP('Données projet'!$B$10,Paramètres!$A$1:$I$89,3,0)*VLOOKUP('Données projet'!$B$10,Paramètres!$A$1:$I$89,5,0)</f>
        <v>7.3423507274128498E-13</v>
      </c>
      <c r="AK185" s="14">
        <f t="shared" si="164"/>
        <v>8.7458894232577541E-12</v>
      </c>
      <c r="AL185" s="22">
        <f t="shared" si="165"/>
        <v>1.6511216830531657E-11</v>
      </c>
      <c r="AM185" s="62">
        <f t="shared" si="113"/>
        <v>293.3333333333498</v>
      </c>
      <c r="AN185" s="62">
        <f ca="1">AVERAGE(OFFSET($AM$3,0,0,'Données projet'!$E$10+1,1))-AVERAGE(OFFSET($H$3,0,0,'Données projet'!$E$10+1,1))</f>
        <v>407.22515465568205</v>
      </c>
      <c r="AO185" s="62">
        <f t="shared" si="144"/>
        <v>251.6218558398258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61.570859077166766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61.570859077166766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6.8212102632969618E-13</v>
      </c>
      <c r="BE185" s="14">
        <f>BD185*VLOOKUP('Données projet'!$B$11,Paramètres!$A$1:$I$89,3,0)*VLOOKUP('Données projet'!$B$11,Paramètres!$A$1:$I$89,5,0)</f>
        <v>6.5974745666608208E-13</v>
      </c>
      <c r="BF185" s="14">
        <f t="shared" si="167"/>
        <v>7.9570891233345703E-12</v>
      </c>
      <c r="BG185" s="22">
        <f t="shared" si="168"/>
        <v>1.5007657043501137E-11</v>
      </c>
      <c r="BH185" s="62">
        <f t="shared" si="116"/>
        <v>293.33333333334832</v>
      </c>
      <c r="BI185" s="62">
        <f ca="1">AVERAGE(OFFSET($BH$3,0,0,'Données projet'!$E$11+1,1))-AVERAGE(OFFSET($H$3,0,0,'Données projet'!$E$11+1,1))</f>
        <v>357.76044008074308</v>
      </c>
      <c r="BJ185" s="62">
        <f t="shared" si="146"/>
        <v>224.26555772810445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55.324540040352773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55.324540040352773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6.8212102632969618E-13</v>
      </c>
      <c r="BZ185" s="14">
        <f>BY185*VLOOKUP('Données projet'!$B$12,Paramètres!$A$1:$I$89,3,0)*VLOOKUP('Données projet'!$B$12,Paramètres!$A$1:$I$89,5,0)</f>
        <v>4.5756678446196019E-13</v>
      </c>
      <c r="CA185" s="14">
        <f t="shared" si="170"/>
        <v>5.7587689306883675E-12</v>
      </c>
      <c r="CB185" s="22">
        <f t="shared" si="171"/>
        <v>1.0826784703886818E-11</v>
      </c>
      <c r="CC185" s="62">
        <f t="shared" si="119"/>
        <v>293.33333333334411</v>
      </c>
      <c r="CD185" s="62">
        <f ca="1">AVERAGE(OFFSET($CC$3,0,0,'Données projet'!$E$12+1,1))-AVERAGE(OFFSET($H$3,0,0,'Données projet'!$E$12+1,1))</f>
        <v>222.86701323374945</v>
      </c>
      <c r="CE185" s="62">
        <f t="shared" si="148"/>
        <v>149.63671045240511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47.293558421591925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47.293558421591925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8.5265128291212022E-14</v>
      </c>
      <c r="CU185" s="18">
        <f>CT185*VLOOKUP('Données projet'!$B$13,Paramètres!$A$1:$I$89,3,0)*VLOOKUP('Données projet'!$B$13,Paramètres!$A$1:$I$89,5,0)</f>
        <v>5.5865712056402117E-14</v>
      </c>
      <c r="CV185" s="14">
        <f t="shared" si="173"/>
        <v>8.9811031843713517E-13</v>
      </c>
      <c r="CW185" s="22">
        <f t="shared" si="174"/>
        <v>1.6615082531095774E-12</v>
      </c>
      <c r="CX185" s="62">
        <f t="shared" si="122"/>
        <v>293.33333333333496</v>
      </c>
      <c r="CY185" s="62">
        <f ca="1">AVERAGE(OFFSET($CX$3,0,0,'Données projet'!$E$13+1,1))-AVERAGE(OFFSET($H$3,0,0,'Données projet'!$E$13+1,1))</f>
        <v>173.15672762188746</v>
      </c>
      <c r="CZ185" s="62">
        <f t="shared" si="150"/>
        <v>208.54841796921414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13.318748580032086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13.318748580032086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269.18638759204373</v>
      </c>
      <c r="EP185" s="62">
        <f t="shared" si="154"/>
        <v>197.07126167823969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26.7781391252745</v>
      </c>
      <c r="EW185" s="23">
        <f>EXP(-LN(2)/25)*EW184+(1-EXP(-LN(2)/25))/(LN(2)/25)*Calculateur!ER185*Calculateur!ET185*VLOOKUP('Données projet'!$B$15,Paramètres!$A$1:$I$89,3,0)*0.475*44/12</f>
        <v>1.8656352117167843</v>
      </c>
      <c r="EX185" s="23">
        <f>EXP(-LN(2)/2)*EX184+(1-EXP(-LN(2)/2))/(LN(2)/2)*ER185*EU185*VLOOKUP('Données projet'!$B$15,Paramètres!$A$1:$I$89,3,0)*0.475*44/12</f>
        <v>1.4131241001668399E-14</v>
      </c>
      <c r="EY185" s="24">
        <f t="shared" si="181"/>
        <v>28.643774336991299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1.1368683772161603E-13</v>
      </c>
      <c r="FF185" s="18">
        <f>FE185*VLOOKUP('Données projet'!$B$16,Paramètres!$A$1:$I$89,3,0)*VLOOKUP('Données projet'!$B$16,Paramètres!$A$1:$I$89,5,0)</f>
        <v>6.7984728957526396E-14</v>
      </c>
      <c r="FG185" s="14">
        <f t="shared" si="182"/>
        <v>1.0682447123141398E-12</v>
      </c>
      <c r="FH185" s="22">
        <f t="shared" si="183"/>
        <v>1.978932943548152E-12</v>
      </c>
      <c r="FI185" s="62">
        <f t="shared" si="131"/>
        <v>293.3333333333353</v>
      </c>
      <c r="FJ185" s="62">
        <f ca="1">AVERAGE(OFFSET($FI$3,0,0,'Données projet'!$E$16+1,1))-AVERAGE(OFFSET($H$3,0,0,'Données projet'!$E$16+1,1))</f>
        <v>330.48891719033065</v>
      </c>
      <c r="FK185" s="62">
        <f t="shared" si="156"/>
        <v>419.35494198427284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18.97538315244347</v>
      </c>
      <c r="FR185" s="23">
        <f>EXP(-LN(2)/25)*FR184+(1-EXP(-LN(2)/25))/(LN(2)/25)*Calculateur!FM185*Calculateur!FO185*VLOOKUP('Données projet'!$B$16,Paramètres!$A$1:$I$89,3,0)*0.475*44/12</f>
        <v>1.2201672237327827</v>
      </c>
      <c r="FS185" s="23">
        <f>EXP(-LN(2)/2)*FS184+(1-EXP(-LN(2)/2))/(LN(2)/2)*FM185*FP185*VLOOKUP('Données projet'!$B$16,Paramètres!$A$1:$I$89,3,0)*0.475*44/12</f>
        <v>3.7663592593945843E-18</v>
      </c>
      <c r="FT185" s="24">
        <f t="shared" si="184"/>
        <v>20.195550376176254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>
        <f>FZ185*VLOOKUP('Données projet'!$B$17,Paramètres!$A$1:$I$89,3,0)*VLOOKUP('Données projet'!$B$17,Paramètres!$A$1:$I$89,5,0)</f>
        <v>0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132.18258156780018</v>
      </c>
      <c r="GF185" s="62">
        <f t="shared" si="158"/>
        <v>315.58133946947294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2.1375301764398227</v>
      </c>
      <c r="GM185" s="23">
        <f>EXP(-LN(2)/25)*GM184+(1-EXP(-LN(2)/25))/(LN(2)/25)*Calculateur!GH185*Calculateur!GJ185*VLOOKUP('Données projet'!$B$17,Paramètres!$A$1:$I$89,3,0)*0.475*44/12</f>
        <v>0.27427518232594289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2.4118053587657657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9">
        <f t="shared" si="110"/>
        <v>612.27986396820972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>
        <f>VLOOKUP(A186,'Données projet'!$A$35:$I$55,2,0)</f>
        <v>169.76</v>
      </c>
      <c r="L186" s="13">
        <f>VLOOKUP(A186,'Données projet'!$A$35:$I$55,9,0)</f>
        <v>1.9533333333333285</v>
      </c>
      <c r="M186" s="13">
        <f t="array" ref="M186">INDEX(L:L,MIN(IF(ISNUMBER(L186:L382),ROW(L186:L382),"")))</f>
        <v>1.9533333333333285</v>
      </c>
      <c r="N186" s="14">
        <f>IF('Données projet'!$A$36&gt;35,N185+M186-V185,IF(A186&lt;'Données projet'!$A$36,$K$205^A186,IF(A186='Données projet'!$A$36,'Données projet'!$B$36,N185+M186-V185)))</f>
        <v>169.76000000000047</v>
      </c>
      <c r="O186" s="14">
        <f>N186*VLOOKUP('Données projet'!$B$9,Paramètres!$A$1:$I$89,3,0)*VLOOKUP('Données projet'!$B$9,Paramètres!$A$1:$I$89,5,0)</f>
        <v>153.5988480000004</v>
      </c>
      <c r="P186" s="14">
        <f t="shared" si="141"/>
        <v>39.395304802658316</v>
      </c>
      <c r="Q186" s="22">
        <f t="shared" si="162"/>
        <v>336.13148279796388</v>
      </c>
      <c r="R186" s="62">
        <f t="shared" si="109"/>
        <v>629.4648161312972</v>
      </c>
      <c r="S186" s="62">
        <f ca="1">AVERAGE(OFFSET($R$3,0,0,'Données projet'!$E$9+1,1))-AVERAGE(OFFSET($H$3,0,0,'Données projet'!$E$9+1,1))</f>
        <v>401.86262166363821</v>
      </c>
      <c r="T186" s="62">
        <f t="shared" si="142"/>
        <v>208.60314230781432</v>
      </c>
      <c r="U186" s="16">
        <f>IF(ISNA(VLOOKUP(A186,'Données projet'!$A$35:$I$55,3,0)),0,VLOOKUP(A186,'Données projet'!$A$35:$I$55,3,0))</f>
        <v>18</v>
      </c>
      <c r="V186" s="16">
        <f>IF(ISNA(VLOOKUP(A186,'Données projet'!$A$35:$I$55,4,0)),0,VLOOKUP(A186,'Données projet'!$A$35:$I$55,4,0))</f>
        <v>169.76</v>
      </c>
      <c r="W186" s="17">
        <f>IF(ISNA(VLOOKUP(A186,'Données projet'!$A$35:$I$55,5,0)),0%,VLOOKUP(A186,'Données projet'!$A$35:$I$55,5,0)*VLOOKUP('Données projet'!$B$9,Paramètres!$A$1:$I$89,7,0))</f>
        <v>0.34400000000000003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235.54709180576182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235.54709180576182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6.8212102632969618E-13</v>
      </c>
      <c r="AJ186" s="14">
        <f>AI186*VLOOKUP('Données projet'!$B$10,Paramètres!$A$1:$I$89,3,0)*VLOOKUP('Données projet'!$B$10,Paramètres!$A$1:$I$89,5,0)</f>
        <v>7.3423507274128498E-13</v>
      </c>
      <c r="AK186" s="14">
        <f t="shared" si="164"/>
        <v>8.7458894232577541E-12</v>
      </c>
      <c r="AL186" s="22">
        <f t="shared" si="165"/>
        <v>1.6511216830531657E-11</v>
      </c>
      <c r="AM186" s="62">
        <f t="shared" si="113"/>
        <v>293.3333333333498</v>
      </c>
      <c r="AN186" s="62">
        <f ca="1">AVERAGE(OFFSET($AM$3,0,0,'Données projet'!$E$10+1,1))-AVERAGE(OFFSET($H$3,0,0,'Données projet'!$E$10+1,1))</f>
        <v>407.22515465568205</v>
      </c>
      <c r="AO186" s="62">
        <f t="shared" si="144"/>
        <v>251.6218558398258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60.363492085179359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60.363492085179359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6.8212102632969618E-13</v>
      </c>
      <c r="BE186" s="14">
        <f>BD186*VLOOKUP('Données projet'!$B$11,Paramètres!$A$1:$I$89,3,0)*VLOOKUP('Données projet'!$B$11,Paramètres!$A$1:$I$89,5,0)</f>
        <v>6.5974745666608208E-13</v>
      </c>
      <c r="BF186" s="14">
        <f t="shared" si="167"/>
        <v>7.9570891233345703E-12</v>
      </c>
      <c r="BG186" s="22">
        <f t="shared" si="168"/>
        <v>1.5007657043501137E-11</v>
      </c>
      <c r="BH186" s="62">
        <f t="shared" si="116"/>
        <v>293.33333333334832</v>
      </c>
      <c r="BI186" s="62">
        <f ca="1">AVERAGE(OFFSET($BH$3,0,0,'Données projet'!$E$11+1,1))-AVERAGE(OFFSET($H$3,0,0,'Données projet'!$E$11+1,1))</f>
        <v>357.76044008074308</v>
      </c>
      <c r="BJ186" s="62">
        <f t="shared" si="146"/>
        <v>224.26555772810445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54.23965955479887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54.23965955479887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6.8212102632969618E-13</v>
      </c>
      <c r="BZ186" s="14">
        <f>BY186*VLOOKUP('Données projet'!$B$12,Paramètres!$A$1:$I$89,3,0)*VLOOKUP('Données projet'!$B$12,Paramètres!$A$1:$I$89,5,0)</f>
        <v>4.5756678446196019E-13</v>
      </c>
      <c r="CA186" s="14">
        <f t="shared" si="170"/>
        <v>5.7587689306883675E-12</v>
      </c>
      <c r="CB186" s="22">
        <f t="shared" si="171"/>
        <v>1.0826784703886818E-11</v>
      </c>
      <c r="CC186" s="62">
        <f t="shared" si="119"/>
        <v>293.33333333334411</v>
      </c>
      <c r="CD186" s="62">
        <f ca="1">AVERAGE(OFFSET($CC$3,0,0,'Données projet'!$E$12+1,1))-AVERAGE(OFFSET($H$3,0,0,'Données projet'!$E$12+1,1))</f>
        <v>222.86701323374945</v>
      </c>
      <c r="CE186" s="62">
        <f t="shared" si="148"/>
        <v>149.63671045240511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46.366160587166817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46.366160587166817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8.5265128291212022E-14</v>
      </c>
      <c r="CU186" s="18">
        <f>CT186*VLOOKUP('Données projet'!$B$13,Paramètres!$A$1:$I$89,3,0)*VLOOKUP('Données projet'!$B$13,Paramètres!$A$1:$I$89,5,0)</f>
        <v>5.5865712056402117E-14</v>
      </c>
      <c r="CV186" s="14">
        <f t="shared" si="173"/>
        <v>8.9811031843713517E-13</v>
      </c>
      <c r="CW186" s="22">
        <f t="shared" si="174"/>
        <v>1.6615082531095774E-12</v>
      </c>
      <c r="CX186" s="62">
        <f t="shared" si="122"/>
        <v>293.33333333333496</v>
      </c>
      <c r="CY186" s="62">
        <f ca="1">AVERAGE(OFFSET($CX$3,0,0,'Données projet'!$E$13+1,1))-AVERAGE(OFFSET($H$3,0,0,'Données projet'!$E$13+1,1))</f>
        <v>173.15672762188746</v>
      </c>
      <c r="CZ186" s="62">
        <f t="shared" si="150"/>
        <v>208.54841796921414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13.057576044012148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13.057576044012148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269.18638759204373</v>
      </c>
      <c r="EP186" s="62">
        <f t="shared" si="154"/>
        <v>197.07126167823969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26.253036150079978</v>
      </c>
      <c r="EW186" s="23">
        <f>EXP(-LN(2)/25)*EW185+(1-EXP(-LN(2)/25))/(LN(2)/25)*Calculateur!ER186*Calculateur!ET186*VLOOKUP('Données projet'!$B$15,Paramètres!$A$1:$I$89,3,0)*0.475*44/12</f>
        <v>1.8146193187428969</v>
      </c>
      <c r="EX186" s="23">
        <f>EXP(-LN(2)/2)*EX185+(1-EXP(-LN(2)/2))/(LN(2)/2)*ER186*EU186*VLOOKUP('Données projet'!$B$15,Paramètres!$A$1:$I$89,3,0)*0.475*44/12</f>
        <v>9.9922963388611059E-15</v>
      </c>
      <c r="EY186" s="24">
        <f t="shared" si="181"/>
        <v>28.067655468822885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1.1368683772161603E-13</v>
      </c>
      <c r="FF186" s="18">
        <f>FE186*VLOOKUP('Données projet'!$B$16,Paramètres!$A$1:$I$89,3,0)*VLOOKUP('Données projet'!$B$16,Paramètres!$A$1:$I$89,5,0)</f>
        <v>6.7984728957526396E-14</v>
      </c>
      <c r="FG186" s="14">
        <f t="shared" si="182"/>
        <v>1.0682447123141398E-12</v>
      </c>
      <c r="FH186" s="22">
        <f t="shared" si="183"/>
        <v>1.978932943548152E-12</v>
      </c>
      <c r="FI186" s="62">
        <f t="shared" si="131"/>
        <v>293.3333333333353</v>
      </c>
      <c r="FJ186" s="62">
        <f ca="1">AVERAGE(OFFSET($FI$3,0,0,'Données projet'!$E$16+1,1))-AVERAGE(OFFSET($H$3,0,0,'Données projet'!$E$16+1,1))</f>
        <v>330.48891719033065</v>
      </c>
      <c r="FK186" s="62">
        <f t="shared" si="156"/>
        <v>419.35494198427284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18.603287462664955</v>
      </c>
      <c r="FR186" s="23">
        <f>EXP(-LN(2)/25)*FR185+(1-EXP(-LN(2)/25))/(LN(2)/25)*Calculateur!FM186*Calculateur!FO186*VLOOKUP('Données projet'!$B$16,Paramètres!$A$1:$I$89,3,0)*0.475*44/12</f>
        <v>1.1868016868340043</v>
      </c>
      <c r="FS186" s="23">
        <f>EXP(-LN(2)/2)*FS185+(1-EXP(-LN(2)/2))/(LN(2)/2)*FM186*FP186*VLOOKUP('Données projet'!$B$16,Paramètres!$A$1:$I$89,3,0)*0.475*44/12</f>
        <v>2.6632181727026535E-18</v>
      </c>
      <c r="FT186" s="24">
        <f t="shared" si="184"/>
        <v>19.790089149498961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>
        <f>FZ186*VLOOKUP('Données projet'!$B$17,Paramètres!$A$1:$I$89,3,0)*VLOOKUP('Données projet'!$B$17,Paramètres!$A$1:$I$89,5,0)</f>
        <v>0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132.18258156780018</v>
      </c>
      <c r="GF186" s="62">
        <f t="shared" si="158"/>
        <v>315.58133946947294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2.0956145134445094</v>
      </c>
      <c r="GM186" s="23">
        <f>EXP(-LN(2)/25)*GM185+(1-EXP(-LN(2)/25))/(LN(2)/25)*Calculateur!GH186*Calculateur!GJ186*VLOOKUP('Données projet'!$B$17,Paramètres!$A$1:$I$89,3,0)*0.475*44/12</f>
        <v>0.26677511304173501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2.3623896264862445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9">
        <f t="shared" si="110"/>
        <v>614.17706903754288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4.8316906031686813E-13</v>
      </c>
      <c r="O187" s="14">
        <f>N187*VLOOKUP('Données projet'!$B$9,Paramètres!$A$1:$I$89,3,0)*VLOOKUP('Données projet'!$B$9,Paramètres!$A$1:$I$89,5,0)</f>
        <v>4.3717136577470225E-13</v>
      </c>
      <c r="P187" s="14">
        <f t="shared" si="141"/>
        <v>5.5313598682231701E-12</v>
      </c>
      <c r="Q187" s="22">
        <f t="shared" si="162"/>
        <v>1.039519189921296E-11</v>
      </c>
      <c r="R187" s="62">
        <f t="shared" si="109"/>
        <v>293.33333333334372</v>
      </c>
      <c r="S187" s="62">
        <f ca="1">AVERAGE(OFFSET($R$3,0,0,'Données projet'!$E$9+1,1))-AVERAGE(OFFSET($H$3,0,0,'Données projet'!$E$9+1,1))</f>
        <v>401.86262166363821</v>
      </c>
      <c r="T187" s="62">
        <f t="shared" si="142"/>
        <v>208.60314230781432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230.92815700499065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230.92815700499065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6.8212102632969618E-13</v>
      </c>
      <c r="AJ187" s="14">
        <f>AI187*VLOOKUP('Données projet'!$B$10,Paramètres!$A$1:$I$89,3,0)*VLOOKUP('Données projet'!$B$10,Paramètres!$A$1:$I$89,5,0)</f>
        <v>7.3423507274128498E-13</v>
      </c>
      <c r="AK187" s="14">
        <f t="shared" si="164"/>
        <v>8.7458894232577541E-12</v>
      </c>
      <c r="AL187" s="22">
        <f t="shared" si="165"/>
        <v>1.6511216830531657E-11</v>
      </c>
      <c r="AM187" s="62">
        <f t="shared" si="113"/>
        <v>293.3333333333498</v>
      </c>
      <c r="AN187" s="62">
        <f ca="1">AVERAGE(OFFSET($AM$3,0,0,'Données projet'!$E$10+1,1))-AVERAGE(OFFSET($H$3,0,0,'Données projet'!$E$10+1,1))</f>
        <v>407.22515465568205</v>
      </c>
      <c r="AO187" s="62">
        <f t="shared" si="144"/>
        <v>251.6218558398258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59.179800823483681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59.179800823483681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6.8212102632969618E-13</v>
      </c>
      <c r="BE187" s="14">
        <f>BD187*VLOOKUP('Données projet'!$B$11,Paramètres!$A$1:$I$89,3,0)*VLOOKUP('Données projet'!$B$11,Paramètres!$A$1:$I$89,5,0)</f>
        <v>6.5974745666608208E-13</v>
      </c>
      <c r="BF187" s="14">
        <f t="shared" si="167"/>
        <v>7.9570891233345703E-12</v>
      </c>
      <c r="BG187" s="22">
        <f t="shared" si="168"/>
        <v>1.5007657043501137E-11</v>
      </c>
      <c r="BH187" s="62">
        <f t="shared" si="116"/>
        <v>293.33333333334832</v>
      </c>
      <c r="BI187" s="62">
        <f ca="1">AVERAGE(OFFSET($BH$3,0,0,'Données projet'!$E$11+1,1))-AVERAGE(OFFSET($H$3,0,0,'Données projet'!$E$11+1,1))</f>
        <v>357.76044008074308</v>
      </c>
      <c r="BJ187" s="62">
        <f t="shared" si="146"/>
        <v>224.26555772810445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53.176052913854924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53.176052913854924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6.8212102632969618E-13</v>
      </c>
      <c r="BZ187" s="14">
        <f>BY187*VLOOKUP('Données projet'!$B$12,Paramètres!$A$1:$I$89,3,0)*VLOOKUP('Données projet'!$B$12,Paramètres!$A$1:$I$89,5,0)</f>
        <v>4.5756678446196019E-13</v>
      </c>
      <c r="CA187" s="14">
        <f t="shared" si="170"/>
        <v>5.7587689306883675E-12</v>
      </c>
      <c r="CB187" s="22">
        <f t="shared" si="171"/>
        <v>1.0826784703886818E-11</v>
      </c>
      <c r="CC187" s="62">
        <f t="shared" si="119"/>
        <v>293.33333333334411</v>
      </c>
      <c r="CD187" s="62">
        <f ca="1">AVERAGE(OFFSET($CC$3,0,0,'Données projet'!$E$12+1,1))-AVERAGE(OFFSET($H$3,0,0,'Données projet'!$E$12+1,1))</f>
        <v>222.86701323374945</v>
      </c>
      <c r="CE187" s="62">
        <f t="shared" si="148"/>
        <v>149.63671045240511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45.456948458617958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45.456948458617958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8.5265128291212022E-14</v>
      </c>
      <c r="CU187" s="18">
        <f>CT187*VLOOKUP('Données projet'!$B$13,Paramètres!$A$1:$I$89,3,0)*VLOOKUP('Données projet'!$B$13,Paramètres!$A$1:$I$89,5,0)</f>
        <v>5.5865712056402117E-14</v>
      </c>
      <c r="CV187" s="14">
        <f t="shared" si="173"/>
        <v>8.9811031843713517E-13</v>
      </c>
      <c r="CW187" s="22">
        <f t="shared" si="174"/>
        <v>1.6615082531095774E-12</v>
      </c>
      <c r="CX187" s="62">
        <f t="shared" si="122"/>
        <v>293.33333333333496</v>
      </c>
      <c r="CY187" s="62">
        <f ca="1">AVERAGE(OFFSET($CX$3,0,0,'Données projet'!$E$13+1,1))-AVERAGE(OFFSET($H$3,0,0,'Données projet'!$E$13+1,1))</f>
        <v>173.15672762188746</v>
      </c>
      <c r="CZ187" s="62">
        <f t="shared" si="150"/>
        <v>208.54841796921414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12.801524942124043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12.801524942124043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269.18638759204373</v>
      </c>
      <c r="EP187" s="62">
        <f t="shared" si="154"/>
        <v>197.07126167823969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25.738230123947833</v>
      </c>
      <c r="EW187" s="23">
        <f>EXP(-LN(2)/25)*EW186+(1-EXP(-LN(2)/25))/(LN(2)/25)*Calculateur!ER187*Calculateur!ET187*VLOOKUP('Données projet'!$B$15,Paramètres!$A$1:$I$89,3,0)*0.475*44/12</f>
        <v>1.7649984580451898</v>
      </c>
      <c r="EX187" s="23">
        <f>EXP(-LN(2)/2)*EX186+(1-EXP(-LN(2)/2))/(LN(2)/2)*ER187*EU187*VLOOKUP('Données projet'!$B$15,Paramètres!$A$1:$I$89,3,0)*0.475*44/12</f>
        <v>7.0656205008342004E-15</v>
      </c>
      <c r="EY187" s="24">
        <f t="shared" si="181"/>
        <v>27.503228581993032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1.1368683772161603E-13</v>
      </c>
      <c r="FF187" s="18">
        <f>FE187*VLOOKUP('Données projet'!$B$16,Paramètres!$A$1:$I$89,3,0)*VLOOKUP('Données projet'!$B$16,Paramètres!$A$1:$I$89,5,0)</f>
        <v>6.7984728957526396E-14</v>
      </c>
      <c r="FG187" s="14">
        <f t="shared" si="182"/>
        <v>1.0682447123141398E-12</v>
      </c>
      <c r="FH187" s="22">
        <f t="shared" si="183"/>
        <v>1.978932943548152E-12</v>
      </c>
      <c r="FI187" s="62">
        <f t="shared" si="131"/>
        <v>293.3333333333353</v>
      </c>
      <c r="FJ187" s="62">
        <f ca="1">AVERAGE(OFFSET($FI$3,0,0,'Données projet'!$E$16+1,1))-AVERAGE(OFFSET($H$3,0,0,'Données projet'!$E$16+1,1))</f>
        <v>330.48891719033065</v>
      </c>
      <c r="FK187" s="62">
        <f t="shared" si="156"/>
        <v>419.35494198427284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18.238488342407035</v>
      </c>
      <c r="FR187" s="23">
        <f>EXP(-LN(2)/25)*FR186+(1-EXP(-LN(2)/25))/(LN(2)/25)*Calculateur!FM187*Calculateur!FO187*VLOOKUP('Données projet'!$B$16,Paramètres!$A$1:$I$89,3,0)*0.475*44/12</f>
        <v>1.1543485322963403</v>
      </c>
      <c r="FS187" s="23">
        <f>EXP(-LN(2)/2)*FS186+(1-EXP(-LN(2)/2))/(LN(2)/2)*FM187*FP187*VLOOKUP('Données projet'!$B$16,Paramètres!$A$1:$I$89,3,0)*0.475*44/12</f>
        <v>1.8831796296972921E-18</v>
      </c>
      <c r="FT187" s="24">
        <f t="shared" si="184"/>
        <v>19.392836874703374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>
        <f>FZ187*VLOOKUP('Données projet'!$B$17,Paramètres!$A$1:$I$89,3,0)*VLOOKUP('Données projet'!$B$17,Paramètres!$A$1:$I$89,5,0)</f>
        <v>0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132.18258156780018</v>
      </c>
      <c r="GF187" s="62">
        <f t="shared" si="158"/>
        <v>315.58133946947294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2.0545207910345042</v>
      </c>
      <c r="GM187" s="23">
        <f>EXP(-LN(2)/25)*GM186+(1-EXP(-LN(2)/25))/(LN(2)/25)*Calculateur!GH187*Calculateur!GJ187*VLOOKUP('Données projet'!$B$17,Paramètres!$A$1:$I$89,3,0)*0.475*44/12</f>
        <v>0.25948013354651528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2.3140009245810194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9">
        <f t="shared" si="110"/>
        <v>616.07405370178697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4.8316906031686813E-13</v>
      </c>
      <c r="O188" s="14">
        <f>N188*VLOOKUP('Données projet'!$B$9,Paramètres!$A$1:$I$89,3,0)*VLOOKUP('Données projet'!$B$9,Paramètres!$A$1:$I$89,5,0)</f>
        <v>4.3717136577470225E-13</v>
      </c>
      <c r="P188" s="14">
        <f t="shared" si="141"/>
        <v>5.5313598682231701E-12</v>
      </c>
      <c r="Q188" s="22">
        <f t="shared" si="162"/>
        <v>1.039519189921296E-11</v>
      </c>
      <c r="R188" s="62">
        <f t="shared" si="109"/>
        <v>293.33333333334372</v>
      </c>
      <c r="S188" s="62">
        <f ca="1">AVERAGE(OFFSET($R$3,0,0,'Données projet'!$E$9+1,1))-AVERAGE(OFFSET($H$3,0,0,'Données projet'!$E$9+1,1))</f>
        <v>401.86262166363821</v>
      </c>
      <c r="T188" s="62">
        <f t="shared" si="142"/>
        <v>208.60314230781432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226.39979669839056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226.39979669839056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6.8212102632969618E-13</v>
      </c>
      <c r="AJ188" s="14">
        <f>AI188*VLOOKUP('Données projet'!$B$10,Paramètres!$A$1:$I$89,3,0)*VLOOKUP('Données projet'!$B$10,Paramètres!$A$1:$I$89,5,0)</f>
        <v>7.3423507274128498E-13</v>
      </c>
      <c r="AK188" s="14">
        <f t="shared" si="164"/>
        <v>8.7458894232577541E-12</v>
      </c>
      <c r="AL188" s="22">
        <f t="shared" si="165"/>
        <v>1.6511216830531657E-11</v>
      </c>
      <c r="AM188" s="62">
        <f t="shared" si="113"/>
        <v>293.3333333333498</v>
      </c>
      <c r="AN188" s="62">
        <f ca="1">AVERAGE(OFFSET($AM$3,0,0,'Données projet'!$E$10+1,1))-AVERAGE(OFFSET($H$3,0,0,'Données projet'!$E$10+1,1))</f>
        <v>407.22515465568205</v>
      </c>
      <c r="AO188" s="62">
        <f t="shared" si="144"/>
        <v>251.6218558398258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58.019321025449472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58.019321025449472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6.8212102632969618E-13</v>
      </c>
      <c r="BE188" s="14">
        <f>BD188*VLOOKUP('Données projet'!$B$11,Paramètres!$A$1:$I$89,3,0)*VLOOKUP('Données projet'!$B$11,Paramètres!$A$1:$I$89,5,0)</f>
        <v>6.5974745666608208E-13</v>
      </c>
      <c r="BF188" s="14">
        <f t="shared" si="167"/>
        <v>7.9570891233345703E-12</v>
      </c>
      <c r="BG188" s="22">
        <f t="shared" si="168"/>
        <v>1.5007657043501137E-11</v>
      </c>
      <c r="BH188" s="62">
        <f t="shared" si="116"/>
        <v>293.33333333334832</v>
      </c>
      <c r="BI188" s="62">
        <f ca="1">AVERAGE(OFFSET($BH$3,0,0,'Données projet'!$E$11+1,1))-AVERAGE(OFFSET($H$3,0,0,'Données projet'!$E$11+1,1))</f>
        <v>357.76044008074308</v>
      </c>
      <c r="BJ188" s="62">
        <f t="shared" si="146"/>
        <v>224.26555772810445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52.133302950403895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52.133302950403895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6.8212102632969618E-13</v>
      </c>
      <c r="BZ188" s="14">
        <f>BY188*VLOOKUP('Données projet'!$B$12,Paramètres!$A$1:$I$89,3,0)*VLOOKUP('Données projet'!$B$12,Paramètres!$A$1:$I$89,5,0)</f>
        <v>4.5756678446196019E-13</v>
      </c>
      <c r="CA188" s="14">
        <f t="shared" si="170"/>
        <v>5.7587689306883675E-12</v>
      </c>
      <c r="CB188" s="22">
        <f t="shared" si="171"/>
        <v>1.0826784703886818E-11</v>
      </c>
      <c r="CC188" s="62">
        <f t="shared" si="119"/>
        <v>293.33333333334411</v>
      </c>
      <c r="CD188" s="62">
        <f ca="1">AVERAGE(OFFSET($CC$3,0,0,'Données projet'!$E$12+1,1))-AVERAGE(OFFSET($H$3,0,0,'Données projet'!$E$12+1,1))</f>
        <v>222.86701323374945</v>
      </c>
      <c r="CE188" s="62">
        <f t="shared" si="148"/>
        <v>149.63671045240511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44.565565425345305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44.565565425345305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8.5265128291212022E-14</v>
      </c>
      <c r="CU188" s="18">
        <f>CT188*VLOOKUP('Données projet'!$B$13,Paramètres!$A$1:$I$89,3,0)*VLOOKUP('Données projet'!$B$13,Paramètres!$A$1:$I$89,5,0)</f>
        <v>5.5865712056402117E-14</v>
      </c>
      <c r="CV188" s="14">
        <f t="shared" si="173"/>
        <v>8.9811031843713517E-13</v>
      </c>
      <c r="CW188" s="22">
        <f t="shared" si="174"/>
        <v>1.6615082531095774E-12</v>
      </c>
      <c r="CX188" s="62">
        <f t="shared" si="122"/>
        <v>293.33333333333496</v>
      </c>
      <c r="CY188" s="62">
        <f ca="1">AVERAGE(OFFSET($CX$3,0,0,'Données projet'!$E$13+1,1))-AVERAGE(OFFSET($H$3,0,0,'Données projet'!$E$13+1,1))</f>
        <v>173.15672762188746</v>
      </c>
      <c r="CZ188" s="62">
        <f t="shared" si="150"/>
        <v>208.54841796921414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12.550494846168213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12.550494846168213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269.18638759204373</v>
      </c>
      <c r="EP188" s="62">
        <f t="shared" si="154"/>
        <v>197.07126167823969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25.233519129987467</v>
      </c>
      <c r="EW188" s="23">
        <f>EXP(-LN(2)/25)*EW187+(1-EXP(-LN(2)/25))/(LN(2)/25)*Calculateur!ER188*Calculateur!ET188*VLOOKUP('Données projet'!$B$15,Paramètres!$A$1:$I$89,3,0)*0.475*44/12</f>
        <v>1.7167344823927091</v>
      </c>
      <c r="EX188" s="23">
        <f>EXP(-LN(2)/2)*EX187+(1-EXP(-LN(2)/2))/(LN(2)/2)*ER188*EU188*VLOOKUP('Données projet'!$B$15,Paramètres!$A$1:$I$89,3,0)*0.475*44/12</f>
        <v>4.9961481694305537E-15</v>
      </c>
      <c r="EY188" s="24">
        <f t="shared" si="181"/>
        <v>26.95025361238018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1.1368683772161603E-13</v>
      </c>
      <c r="FF188" s="18">
        <f>FE188*VLOOKUP('Données projet'!$B$16,Paramètres!$A$1:$I$89,3,0)*VLOOKUP('Données projet'!$B$16,Paramètres!$A$1:$I$89,5,0)</f>
        <v>6.7984728957526396E-14</v>
      </c>
      <c r="FG188" s="14">
        <f t="shared" si="182"/>
        <v>1.0682447123141398E-12</v>
      </c>
      <c r="FH188" s="22">
        <f t="shared" si="183"/>
        <v>1.978932943548152E-12</v>
      </c>
      <c r="FI188" s="62">
        <f t="shared" si="131"/>
        <v>293.3333333333353</v>
      </c>
      <c r="FJ188" s="62">
        <f ca="1">AVERAGE(OFFSET($FI$3,0,0,'Données projet'!$E$16+1,1))-AVERAGE(OFFSET($H$3,0,0,'Données projet'!$E$16+1,1))</f>
        <v>330.48891719033065</v>
      </c>
      <c r="FK188" s="62">
        <f t="shared" si="156"/>
        <v>419.35494198427284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17.880842710391882</v>
      </c>
      <c r="FR188" s="23">
        <f>EXP(-LN(2)/25)*FR187+(1-EXP(-LN(2)/25))/(LN(2)/25)*Calculateur!FM188*Calculateur!FO188*VLOOKUP('Données projet'!$B$16,Paramètres!$A$1:$I$89,3,0)*0.475*44/12</f>
        <v>1.1227828109761457</v>
      </c>
      <c r="FS188" s="23">
        <f>EXP(-LN(2)/2)*FS187+(1-EXP(-LN(2)/2))/(LN(2)/2)*FM188*FP188*VLOOKUP('Données projet'!$B$16,Paramètres!$A$1:$I$89,3,0)*0.475*44/12</f>
        <v>1.3316090863513268E-18</v>
      </c>
      <c r="FT188" s="24">
        <f t="shared" si="184"/>
        <v>19.003625521368029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>
        <f>FZ188*VLOOKUP('Données projet'!$B$17,Paramètres!$A$1:$I$89,3,0)*VLOOKUP('Données projet'!$B$17,Paramètres!$A$1:$I$89,5,0)</f>
        <v>0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132.18258156780018</v>
      </c>
      <c r="GF188" s="62">
        <f t="shared" si="158"/>
        <v>315.58133946947294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2.0142328914562633</v>
      </c>
      <c r="GM188" s="23">
        <f>EXP(-LN(2)/25)*GM187+(1-EXP(-LN(2)/25))/(LN(2)/25)*Calculateur!GH188*Calculateur!GJ188*VLOOKUP('Données projet'!$B$17,Paramètres!$A$1:$I$89,3,0)*0.475*44/12</f>
        <v>0.25238463564921865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2.266617527105482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9">
        <f t="shared" si="110"/>
        <v>617.97081929059186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4.8316906031686813E-13</v>
      </c>
      <c r="O189" s="14">
        <f>N189*VLOOKUP('Données projet'!$B$9,Paramètres!$A$1:$I$89,3,0)*VLOOKUP('Données projet'!$B$9,Paramètres!$A$1:$I$89,5,0)</f>
        <v>4.3717136577470225E-13</v>
      </c>
      <c r="P189" s="14">
        <f t="shared" si="141"/>
        <v>5.5313598682231701E-12</v>
      </c>
      <c r="Q189" s="22">
        <f t="shared" si="162"/>
        <v>1.039519189921296E-11</v>
      </c>
      <c r="R189" s="62">
        <f t="shared" si="109"/>
        <v>293.33333333334372</v>
      </c>
      <c r="S189" s="62">
        <f ca="1">AVERAGE(OFFSET($R$3,0,0,'Données projet'!$E$9+1,1))-AVERAGE(OFFSET($H$3,0,0,'Données projet'!$E$9+1,1))</f>
        <v>401.86262166363821</v>
      </c>
      <c r="T189" s="62">
        <f t="shared" si="142"/>
        <v>208.60314230781432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221.96023477537582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221.96023477537582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6.8212102632969618E-13</v>
      </c>
      <c r="AJ189" s="14">
        <f>AI189*VLOOKUP('Données projet'!$B$10,Paramètres!$A$1:$I$89,3,0)*VLOOKUP('Données projet'!$B$10,Paramètres!$A$1:$I$89,5,0)</f>
        <v>7.3423507274128498E-13</v>
      </c>
      <c r="AK189" s="14">
        <f t="shared" si="164"/>
        <v>8.7458894232577541E-12</v>
      </c>
      <c r="AL189" s="22">
        <f t="shared" si="165"/>
        <v>1.6511216830531657E-11</v>
      </c>
      <c r="AM189" s="62">
        <f t="shared" si="113"/>
        <v>293.3333333333498</v>
      </c>
      <c r="AN189" s="62">
        <f ca="1">AVERAGE(OFFSET($AM$3,0,0,'Données projet'!$E$10+1,1))-AVERAGE(OFFSET($H$3,0,0,'Données projet'!$E$10+1,1))</f>
        <v>407.22515465568205</v>
      </c>
      <c r="AO189" s="62">
        <f t="shared" si="144"/>
        <v>251.6218558398258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56.881597528431932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56.881597528431932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6.8212102632969618E-13</v>
      </c>
      <c r="BE189" s="14">
        <f>BD189*VLOOKUP('Données projet'!$B$11,Paramètres!$A$1:$I$89,3,0)*VLOOKUP('Données projet'!$B$11,Paramètres!$A$1:$I$89,5,0)</f>
        <v>6.5974745666608208E-13</v>
      </c>
      <c r="BF189" s="14">
        <f t="shared" si="167"/>
        <v>7.9570891233345703E-12</v>
      </c>
      <c r="BG189" s="22">
        <f t="shared" si="168"/>
        <v>1.5007657043501137E-11</v>
      </c>
      <c r="BH189" s="62">
        <f t="shared" si="116"/>
        <v>293.33333333334832</v>
      </c>
      <c r="BI189" s="62">
        <f ca="1">AVERAGE(OFFSET($BH$3,0,0,'Données projet'!$E$11+1,1))-AVERAGE(OFFSET($H$3,0,0,'Données projet'!$E$11+1,1))</f>
        <v>357.76044008074308</v>
      </c>
      <c r="BJ189" s="62">
        <f t="shared" si="146"/>
        <v>224.26555772810445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51.111000677721464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51.111000677721464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6.8212102632969618E-13</v>
      </c>
      <c r="BZ189" s="14">
        <f>BY189*VLOOKUP('Données projet'!$B$12,Paramètres!$A$1:$I$89,3,0)*VLOOKUP('Données projet'!$B$12,Paramètres!$A$1:$I$89,5,0)</f>
        <v>4.5756678446196019E-13</v>
      </c>
      <c r="CA189" s="14">
        <f t="shared" si="170"/>
        <v>5.7587689306883675E-12</v>
      </c>
      <c r="CB189" s="22">
        <f t="shared" si="171"/>
        <v>1.0826784703886818E-11</v>
      </c>
      <c r="CC189" s="62">
        <f t="shared" si="119"/>
        <v>293.33333333334411</v>
      </c>
      <c r="CD189" s="62">
        <f ca="1">AVERAGE(OFFSET($CC$3,0,0,'Données projet'!$E$12+1,1))-AVERAGE(OFFSET($H$3,0,0,'Données projet'!$E$12+1,1))</f>
        <v>222.86701323374945</v>
      </c>
      <c r="CE189" s="62">
        <f t="shared" si="148"/>
        <v>149.63671045240511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43.691661869665161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43.691661869665161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8.5265128291212022E-14</v>
      </c>
      <c r="CU189" s="18">
        <f>CT189*VLOOKUP('Données projet'!$B$13,Paramètres!$A$1:$I$89,3,0)*VLOOKUP('Données projet'!$B$13,Paramètres!$A$1:$I$89,5,0)</f>
        <v>5.5865712056402117E-14</v>
      </c>
      <c r="CV189" s="14">
        <f t="shared" si="173"/>
        <v>8.9811031843713517E-13</v>
      </c>
      <c r="CW189" s="22">
        <f t="shared" si="174"/>
        <v>1.6615082531095774E-12</v>
      </c>
      <c r="CX189" s="62">
        <f t="shared" si="122"/>
        <v>293.33333333333496</v>
      </c>
      <c r="CY189" s="62">
        <f ca="1">AVERAGE(OFFSET($CX$3,0,0,'Données projet'!$E$13+1,1))-AVERAGE(OFFSET($H$3,0,0,'Données projet'!$E$13+1,1))</f>
        <v>173.15672762188746</v>
      </c>
      <c r="CZ189" s="62">
        <f t="shared" si="150"/>
        <v>208.54841796921414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12.304387297280838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12.304387297280838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269.18638759204373</v>
      </c>
      <c r="EP189" s="62">
        <f t="shared" si="154"/>
        <v>197.07126167823969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24.738705210775354</v>
      </c>
      <c r="EW189" s="23">
        <f>EXP(-LN(2)/25)*EW188+(1-EXP(-LN(2)/25))/(LN(2)/25)*Calculateur!ER189*Calculateur!ET189*VLOOKUP('Données projet'!$B$15,Paramètres!$A$1:$I$89,3,0)*0.475*44/12</f>
        <v>1.6697902876925377</v>
      </c>
      <c r="EX189" s="23">
        <f>EXP(-LN(2)/2)*EX188+(1-EXP(-LN(2)/2))/(LN(2)/2)*ER189*EU189*VLOOKUP('Données projet'!$B$15,Paramètres!$A$1:$I$89,3,0)*0.475*44/12</f>
        <v>3.5328102504171006E-15</v>
      </c>
      <c r="EY189" s="24">
        <f t="shared" si="181"/>
        <v>26.408495498467897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1.1368683772161603E-13</v>
      </c>
      <c r="FF189" s="18">
        <f>FE189*VLOOKUP('Données projet'!$B$16,Paramètres!$A$1:$I$89,3,0)*VLOOKUP('Données projet'!$B$16,Paramètres!$A$1:$I$89,5,0)</f>
        <v>6.7984728957526396E-14</v>
      </c>
      <c r="FG189" s="14">
        <f t="shared" si="182"/>
        <v>1.0682447123141398E-12</v>
      </c>
      <c r="FH189" s="22">
        <f t="shared" si="183"/>
        <v>1.978932943548152E-12</v>
      </c>
      <c r="FI189" s="62">
        <f t="shared" si="131"/>
        <v>293.3333333333353</v>
      </c>
      <c r="FJ189" s="62">
        <f ca="1">AVERAGE(OFFSET($FI$3,0,0,'Données projet'!$E$16+1,1))-AVERAGE(OFFSET($H$3,0,0,'Données projet'!$E$16+1,1))</f>
        <v>330.48891719033065</v>
      </c>
      <c r="FK189" s="62">
        <f t="shared" si="156"/>
        <v>419.35494198427284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17.530210291078248</v>
      </c>
      <c r="FR189" s="23">
        <f>EXP(-LN(2)/25)*FR188+(1-EXP(-LN(2)/25))/(LN(2)/25)*Calculateur!FM189*Calculateur!FO189*VLOOKUP('Données projet'!$B$16,Paramètres!$A$1:$I$89,3,0)*0.475*44/12</f>
        <v>1.0920802559654212</v>
      </c>
      <c r="FS189" s="23">
        <f>EXP(-LN(2)/2)*FS188+(1-EXP(-LN(2)/2))/(LN(2)/2)*FM189*FP189*VLOOKUP('Données projet'!$B$16,Paramètres!$A$1:$I$89,3,0)*0.475*44/12</f>
        <v>9.4158981484864607E-19</v>
      </c>
      <c r="FT189" s="24">
        <f t="shared" si="184"/>
        <v>18.622290547043669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>
        <f>FZ189*VLOOKUP('Données projet'!$B$17,Paramètres!$A$1:$I$89,3,0)*VLOOKUP('Données projet'!$B$17,Paramètres!$A$1:$I$89,5,0)</f>
        <v>0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132.18258156780018</v>
      </c>
      <c r="GF189" s="62">
        <f t="shared" si="158"/>
        <v>315.58133946947294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1.9747350130155594</v>
      </c>
      <c r="GM189" s="23">
        <f>EXP(-LN(2)/25)*GM188+(1-EXP(-LN(2)/25))/(LN(2)/25)*Calculateur!GH189*Calculateur!GJ189*VLOOKUP('Données projet'!$B$17,Paramètres!$A$1:$I$89,3,0)*0.475*44/12</f>
        <v>0.24548316451505961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2.2202181775306191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9">
        <f t="shared" si="110"/>
        <v>619.86736711848266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4.8316906031686813E-13</v>
      </c>
      <c r="O190" s="14">
        <f>N190*VLOOKUP('Données projet'!$B$9,Paramètres!$A$1:$I$89,3,0)*VLOOKUP('Données projet'!$B$9,Paramètres!$A$1:$I$89,5,0)</f>
        <v>4.3717136577470225E-13</v>
      </c>
      <c r="P190" s="14">
        <f t="shared" si="141"/>
        <v>5.5313598682231701E-12</v>
      </c>
      <c r="Q190" s="22">
        <f t="shared" si="162"/>
        <v>1.039519189921296E-11</v>
      </c>
      <c r="R190" s="62">
        <f t="shared" si="109"/>
        <v>293.33333333334372</v>
      </c>
      <c r="S190" s="62">
        <f ca="1">AVERAGE(OFFSET($R$3,0,0,'Données projet'!$E$9+1,1))-AVERAGE(OFFSET($H$3,0,0,'Données projet'!$E$9+1,1))</f>
        <v>401.86262166363821</v>
      </c>
      <c r="T190" s="62">
        <f t="shared" si="142"/>
        <v>208.60314230781432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217.60772995380603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217.60772995380603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6.8212102632969618E-13</v>
      </c>
      <c r="AJ190" s="14">
        <f>AI190*VLOOKUP('Données projet'!$B$10,Paramètres!$A$1:$I$89,3,0)*VLOOKUP('Données projet'!$B$10,Paramètres!$A$1:$I$89,5,0)</f>
        <v>7.3423507274128498E-13</v>
      </c>
      <c r="AK190" s="14">
        <f t="shared" si="164"/>
        <v>8.7458894232577541E-12</v>
      </c>
      <c r="AL190" s="22">
        <f t="shared" si="165"/>
        <v>1.6511216830531657E-11</v>
      </c>
      <c r="AM190" s="62">
        <f t="shared" si="113"/>
        <v>293.3333333333498</v>
      </c>
      <c r="AN190" s="62">
        <f ca="1">AVERAGE(OFFSET($AM$3,0,0,'Données projet'!$E$10+1,1))-AVERAGE(OFFSET($H$3,0,0,'Données projet'!$E$10+1,1))</f>
        <v>407.22515465568205</v>
      </c>
      <c r="AO190" s="62">
        <f t="shared" si="144"/>
        <v>251.6218558398258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55.766184095248093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55.766184095248093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6.8212102632969618E-13</v>
      </c>
      <c r="BE190" s="14">
        <f>BD190*VLOOKUP('Données projet'!$B$11,Paramètres!$A$1:$I$89,3,0)*VLOOKUP('Données projet'!$B$11,Paramètres!$A$1:$I$89,5,0)</f>
        <v>6.5974745666608208E-13</v>
      </c>
      <c r="BF190" s="14">
        <f t="shared" si="167"/>
        <v>7.9570891233345703E-12</v>
      </c>
      <c r="BG190" s="22">
        <f t="shared" si="168"/>
        <v>1.5007657043501137E-11</v>
      </c>
      <c r="BH190" s="62">
        <f t="shared" si="116"/>
        <v>293.33333333334832</v>
      </c>
      <c r="BI190" s="62">
        <f ca="1">AVERAGE(OFFSET($BH$3,0,0,'Données projet'!$E$11+1,1))-AVERAGE(OFFSET($H$3,0,0,'Données projet'!$E$11+1,1))</f>
        <v>357.76044008074308</v>
      </c>
      <c r="BJ190" s="62">
        <f t="shared" si="146"/>
        <v>224.26555772810445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50.108745129063522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50.108745129063522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6.8212102632969618E-13</v>
      </c>
      <c r="BZ190" s="14">
        <f>BY190*VLOOKUP('Données projet'!$B$12,Paramètres!$A$1:$I$89,3,0)*VLOOKUP('Données projet'!$B$12,Paramètres!$A$1:$I$89,5,0)</f>
        <v>4.5756678446196019E-13</v>
      </c>
      <c r="CA190" s="14">
        <f t="shared" si="170"/>
        <v>5.7587689306883675E-12</v>
      </c>
      <c r="CB190" s="22">
        <f t="shared" si="171"/>
        <v>1.0826784703886818E-11</v>
      </c>
      <c r="CC190" s="62">
        <f t="shared" si="119"/>
        <v>293.33333333334411</v>
      </c>
      <c r="CD190" s="62">
        <f ca="1">AVERAGE(OFFSET($CC$3,0,0,'Données projet'!$E$12+1,1))-AVERAGE(OFFSET($H$3,0,0,'Données projet'!$E$12+1,1))</f>
        <v>222.86701323374945</v>
      </c>
      <c r="CE190" s="62">
        <f t="shared" si="148"/>
        <v>149.63671045240511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42.834895029683366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42.834895029683366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8.5265128291212022E-14</v>
      </c>
      <c r="CU190" s="18">
        <f>CT190*VLOOKUP('Données projet'!$B$13,Paramètres!$A$1:$I$89,3,0)*VLOOKUP('Données projet'!$B$13,Paramètres!$A$1:$I$89,5,0)</f>
        <v>5.5865712056402117E-14</v>
      </c>
      <c r="CV190" s="14">
        <f t="shared" si="173"/>
        <v>8.9811031843713517E-13</v>
      </c>
      <c r="CW190" s="22">
        <f t="shared" si="174"/>
        <v>1.6615082531095774E-12</v>
      </c>
      <c r="CX190" s="62">
        <f t="shared" si="122"/>
        <v>293.33333333333496</v>
      </c>
      <c r="CY190" s="62">
        <f ca="1">AVERAGE(OFFSET($CX$3,0,0,'Données projet'!$E$13+1,1))-AVERAGE(OFFSET($H$3,0,0,'Données projet'!$E$13+1,1))</f>
        <v>173.15672762188746</v>
      </c>
      <c r="CZ190" s="62">
        <f t="shared" si="150"/>
        <v>208.54841796921414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12.063105767316362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12.063105767316362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269.18638759204373</v>
      </c>
      <c r="EP190" s="62">
        <f t="shared" si="154"/>
        <v>197.07126167823969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24.2535942907123</v>
      </c>
      <c r="EW190" s="23">
        <f>EXP(-LN(2)/25)*EW189+(1-EXP(-LN(2)/25))/(LN(2)/25)*Calculateur!ER190*Calculateur!ET190*VLOOKUP('Données projet'!$B$15,Paramètres!$A$1:$I$89,3,0)*0.475*44/12</f>
        <v>1.6241297844651303</v>
      </c>
      <c r="EX190" s="23">
        <f>EXP(-LN(2)/2)*EX189+(1-EXP(-LN(2)/2))/(LN(2)/2)*ER190*EU190*VLOOKUP('Données projet'!$B$15,Paramètres!$A$1:$I$89,3,0)*0.475*44/12</f>
        <v>2.4980740847152773E-15</v>
      </c>
      <c r="EY190" s="24">
        <f t="shared" si="181"/>
        <v>25.877724075177433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1.1368683772161603E-13</v>
      </c>
      <c r="FF190" s="18">
        <f>FE190*VLOOKUP('Données projet'!$B$16,Paramètres!$A$1:$I$89,3,0)*VLOOKUP('Données projet'!$B$16,Paramètres!$A$1:$I$89,5,0)</f>
        <v>6.7984728957526396E-14</v>
      </c>
      <c r="FG190" s="14">
        <f t="shared" si="182"/>
        <v>1.0682447123141398E-12</v>
      </c>
      <c r="FH190" s="22">
        <f t="shared" si="183"/>
        <v>1.978932943548152E-12</v>
      </c>
      <c r="FI190" s="62">
        <f t="shared" si="131"/>
        <v>293.3333333333353</v>
      </c>
      <c r="FJ190" s="62">
        <f ca="1">AVERAGE(OFFSET($FI$3,0,0,'Données projet'!$E$16+1,1))-AVERAGE(OFFSET($H$3,0,0,'Données projet'!$E$16+1,1))</f>
        <v>330.48891719033065</v>
      </c>
      <c r="FK190" s="62">
        <f t="shared" si="156"/>
        <v>419.35494198427284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17.186453559642697</v>
      </c>
      <c r="FR190" s="23">
        <f>EXP(-LN(2)/25)*FR189+(1-EXP(-LN(2)/25))/(LN(2)/25)*Calculateur!FM190*Calculateur!FO190*VLOOKUP('Données projet'!$B$16,Paramètres!$A$1:$I$89,3,0)*0.475*44/12</f>
        <v>1.0622172639360421</v>
      </c>
      <c r="FS190" s="23">
        <f>EXP(-LN(2)/2)*FS189+(1-EXP(-LN(2)/2))/(LN(2)/2)*FM190*FP190*VLOOKUP('Données projet'!$B$16,Paramètres!$A$1:$I$89,3,0)*0.475*44/12</f>
        <v>6.6580454317566338E-19</v>
      </c>
      <c r="FT190" s="24">
        <f t="shared" si="184"/>
        <v>18.248670823578738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>
        <f>FZ190*VLOOKUP('Données projet'!$B$17,Paramètres!$A$1:$I$89,3,0)*VLOOKUP('Données projet'!$B$17,Paramètres!$A$1:$I$89,5,0)</f>
        <v>0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132.18258156780018</v>
      </c>
      <c r="GF190" s="62">
        <f t="shared" si="158"/>
        <v>315.58133946947294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1.9360116638797509</v>
      </c>
      <c r="GM190" s="23">
        <f>EXP(-LN(2)/25)*GM189+(1-EXP(-LN(2)/25))/(LN(2)/25)*Calculateur!GH190*Calculateur!GJ190*VLOOKUP('Données projet'!$B$17,Paramètres!$A$1:$I$89,3,0)*0.475*44/12</f>
        <v>0.23877041447199673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2.1747820783517477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9">
        <f t="shared" si="110"/>
        <v>621.7636984851116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4.8316906031686813E-13</v>
      </c>
      <c r="O191" s="14">
        <f>N191*VLOOKUP('Données projet'!$B$9,Paramètres!$A$1:$I$89,3,0)*VLOOKUP('Données projet'!$B$9,Paramètres!$A$1:$I$89,5,0)</f>
        <v>4.3717136577470225E-13</v>
      </c>
      <c r="P191" s="14">
        <f t="shared" si="141"/>
        <v>5.5313598682231701E-12</v>
      </c>
      <c r="Q191" s="22">
        <f t="shared" si="162"/>
        <v>1.039519189921296E-11</v>
      </c>
      <c r="R191" s="62">
        <f t="shared" si="109"/>
        <v>293.33333333334372</v>
      </c>
      <c r="S191" s="62">
        <f ca="1">AVERAGE(OFFSET($R$3,0,0,'Données projet'!$E$9+1,1))-AVERAGE(OFFSET($H$3,0,0,'Données projet'!$E$9+1,1))</f>
        <v>401.86262166363821</v>
      </c>
      <c r="T191" s="62">
        <f t="shared" si="142"/>
        <v>208.60314230781432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213.3405750970214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213.3405750970214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6.8212102632969618E-13</v>
      </c>
      <c r="AJ191" s="14">
        <f>AI191*VLOOKUP('Données projet'!$B$10,Paramètres!$A$1:$I$89,3,0)*VLOOKUP('Données projet'!$B$10,Paramètres!$A$1:$I$89,5,0)</f>
        <v>7.3423507274128498E-13</v>
      </c>
      <c r="AK191" s="14">
        <f t="shared" si="164"/>
        <v>8.7458894232577541E-12</v>
      </c>
      <c r="AL191" s="22">
        <f t="shared" si="165"/>
        <v>1.6511216830531657E-11</v>
      </c>
      <c r="AM191" s="62">
        <f t="shared" si="113"/>
        <v>293.3333333333498</v>
      </c>
      <c r="AN191" s="62">
        <f ca="1">AVERAGE(OFFSET($AM$3,0,0,'Données projet'!$E$10+1,1))-AVERAGE(OFFSET($H$3,0,0,'Données projet'!$E$10+1,1))</f>
        <v>407.22515465568205</v>
      </c>
      <c r="AO191" s="62">
        <f t="shared" si="144"/>
        <v>251.6218558398258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54.67264323915397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54.67264323915397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6.8212102632969618E-13</v>
      </c>
      <c r="BE191" s="14">
        <f>BD191*VLOOKUP('Données projet'!$B$11,Paramètres!$A$1:$I$89,3,0)*VLOOKUP('Données projet'!$B$11,Paramètres!$A$1:$I$89,5,0)</f>
        <v>6.5974745666608208E-13</v>
      </c>
      <c r="BF191" s="14">
        <f t="shared" si="167"/>
        <v>7.9570891233345703E-12</v>
      </c>
      <c r="BG191" s="22">
        <f t="shared" si="168"/>
        <v>1.5007657043501137E-11</v>
      </c>
      <c r="BH191" s="62">
        <f t="shared" si="116"/>
        <v>293.33333333334832</v>
      </c>
      <c r="BI191" s="62">
        <f ca="1">AVERAGE(OFFSET($BH$3,0,0,'Données projet'!$E$11+1,1))-AVERAGE(OFFSET($H$3,0,0,'Données projet'!$E$11+1,1))</f>
        <v>357.76044008074308</v>
      </c>
      <c r="BJ191" s="62">
        <f t="shared" si="146"/>
        <v>224.26555772810445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49.126143200399241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49.126143200399241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6.8212102632969618E-13</v>
      </c>
      <c r="BZ191" s="14">
        <f>BY191*VLOOKUP('Données projet'!$B$12,Paramètres!$A$1:$I$89,3,0)*VLOOKUP('Données projet'!$B$12,Paramètres!$A$1:$I$89,5,0)</f>
        <v>4.5756678446196019E-13</v>
      </c>
      <c r="CA191" s="14">
        <f t="shared" si="170"/>
        <v>5.7587689306883675E-12</v>
      </c>
      <c r="CB191" s="22">
        <f t="shared" si="171"/>
        <v>1.0826784703886818E-11</v>
      </c>
      <c r="CC191" s="62">
        <f t="shared" si="119"/>
        <v>293.33333333334411</v>
      </c>
      <c r="CD191" s="62">
        <f ca="1">AVERAGE(OFFSET($CC$3,0,0,'Données projet'!$E$12+1,1))-AVERAGE(OFFSET($H$3,0,0,'Données projet'!$E$12+1,1))</f>
        <v>222.86701323374945</v>
      </c>
      <c r="CE191" s="62">
        <f t="shared" si="148"/>
        <v>149.63671045240511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41.994928864857442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41.994928864857442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8.5265128291212022E-14</v>
      </c>
      <c r="CU191" s="18">
        <f>CT191*VLOOKUP('Données projet'!$B$13,Paramètres!$A$1:$I$89,3,0)*VLOOKUP('Données projet'!$B$13,Paramètres!$A$1:$I$89,5,0)</f>
        <v>5.5865712056402117E-14</v>
      </c>
      <c r="CV191" s="14">
        <f t="shared" si="173"/>
        <v>8.9811031843713517E-13</v>
      </c>
      <c r="CW191" s="22">
        <f t="shared" si="174"/>
        <v>1.6615082531095774E-12</v>
      </c>
      <c r="CX191" s="62">
        <f t="shared" si="122"/>
        <v>293.33333333333496</v>
      </c>
      <c r="CY191" s="62">
        <f ca="1">AVERAGE(OFFSET($CX$3,0,0,'Données projet'!$E$13+1,1))-AVERAGE(OFFSET($H$3,0,0,'Données projet'!$E$13+1,1))</f>
        <v>173.15672762188746</v>
      </c>
      <c r="CZ191" s="62">
        <f t="shared" si="150"/>
        <v>208.54841796921414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11.826555620987287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11.826555620987287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269.18638759204373</v>
      </c>
      <c r="EP191" s="62">
        <f t="shared" si="154"/>
        <v>197.07126167823969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23.777996099903238</v>
      </c>
      <c r="EW191" s="23">
        <f>EXP(-LN(2)/25)*EW190+(1-EXP(-LN(2)/25))/(LN(2)/25)*Calculateur!ER191*Calculateur!ET191*VLOOKUP('Données projet'!$B$15,Paramètres!$A$1:$I$89,3,0)*0.475*44/12</f>
        <v>1.5797178700996579</v>
      </c>
      <c r="EX191" s="23">
        <f>EXP(-LN(2)/2)*EX190+(1-EXP(-LN(2)/2))/(LN(2)/2)*ER191*EU191*VLOOKUP('Données projet'!$B$15,Paramètres!$A$1:$I$89,3,0)*0.475*44/12</f>
        <v>1.7664051252085507E-15</v>
      </c>
      <c r="EY191" s="24">
        <f t="shared" si="181"/>
        <v>25.357713970002894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1.1368683772161603E-13</v>
      </c>
      <c r="FF191" s="18">
        <f>FE191*VLOOKUP('Données projet'!$B$16,Paramètres!$A$1:$I$89,3,0)*VLOOKUP('Données projet'!$B$16,Paramètres!$A$1:$I$89,5,0)</f>
        <v>6.7984728957526396E-14</v>
      </c>
      <c r="FG191" s="14">
        <f t="shared" si="182"/>
        <v>1.0682447123141398E-12</v>
      </c>
      <c r="FH191" s="22">
        <f t="shared" si="183"/>
        <v>1.978932943548152E-12</v>
      </c>
      <c r="FI191" s="62">
        <f t="shared" si="131"/>
        <v>293.3333333333353</v>
      </c>
      <c r="FJ191" s="62">
        <f ca="1">AVERAGE(OFFSET($FI$3,0,0,'Données projet'!$E$16+1,1))-AVERAGE(OFFSET($H$3,0,0,'Données projet'!$E$16+1,1))</f>
        <v>330.48891719033065</v>
      </c>
      <c r="FK191" s="62">
        <f t="shared" si="156"/>
        <v>419.35494198427284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16.849437688039693</v>
      </c>
      <c r="FR191" s="23">
        <f>EXP(-LN(2)/25)*FR190+(1-EXP(-LN(2)/25))/(LN(2)/25)*Calculateur!FM191*Calculateur!FO191*VLOOKUP('Données projet'!$B$16,Paramètres!$A$1:$I$89,3,0)*0.475*44/12</f>
        <v>1.0331708769941328</v>
      </c>
      <c r="FS191" s="23">
        <f>EXP(-LN(2)/2)*FS190+(1-EXP(-LN(2)/2))/(LN(2)/2)*FM191*FP191*VLOOKUP('Données projet'!$B$16,Paramètres!$A$1:$I$89,3,0)*0.475*44/12</f>
        <v>4.7079490742432304E-19</v>
      </c>
      <c r="FT191" s="24">
        <f t="shared" si="184"/>
        <v>17.882608565033827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>
        <f>FZ191*VLOOKUP('Données projet'!$B$17,Paramètres!$A$1:$I$89,3,0)*VLOOKUP('Données projet'!$B$17,Paramètres!$A$1:$I$89,5,0)</f>
        <v>0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132.18258156780018</v>
      </c>
      <c r="GF191" s="62">
        <f t="shared" si="158"/>
        <v>315.58133946947294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1.8980476560015846</v>
      </c>
      <c r="GM191" s="23">
        <f>EXP(-LN(2)/25)*GM190+(1-EXP(-LN(2)/25))/(LN(2)/25)*Calculateur!GH191*Calculateur!GJ191*VLOOKUP('Données projet'!$B$17,Paramètres!$A$1:$I$89,3,0)*0.475*44/12</f>
        <v>0.23224122493186961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2.1302888809334544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9">
        <f t="shared" si="110"/>
        <v>623.65981467550444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4.8316906031686813E-13</v>
      </c>
      <c r="O192" s="14">
        <f>N192*VLOOKUP('Données projet'!$B$9,Paramètres!$A$1:$I$89,3,0)*VLOOKUP('Données projet'!$B$9,Paramètres!$A$1:$I$89,5,0)</f>
        <v>4.3717136577470225E-13</v>
      </c>
      <c r="P192" s="14">
        <f t="shared" si="141"/>
        <v>5.5313598682231701E-12</v>
      </c>
      <c r="Q192" s="22">
        <f t="shared" si="162"/>
        <v>1.039519189921296E-11</v>
      </c>
      <c r="R192" s="62">
        <f t="shared" si="109"/>
        <v>293.33333333334372</v>
      </c>
      <c r="S192" s="62">
        <f ca="1">AVERAGE(OFFSET($R$3,0,0,'Données projet'!$E$9+1,1))-AVERAGE(OFFSET($H$3,0,0,'Données projet'!$E$9+1,1))</f>
        <v>401.86262166363821</v>
      </c>
      <c r="T192" s="62">
        <f t="shared" si="142"/>
        <v>208.60314230781432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209.15709654427084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209.15709654427084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6.8212102632969618E-13</v>
      </c>
      <c r="AJ192" s="14">
        <f>AI192*VLOOKUP('Données projet'!$B$10,Paramètres!$A$1:$I$89,3,0)*VLOOKUP('Données projet'!$B$10,Paramètres!$A$1:$I$89,5,0)</f>
        <v>7.3423507274128498E-13</v>
      </c>
      <c r="AK192" s="14">
        <f t="shared" si="164"/>
        <v>8.7458894232577541E-12</v>
      </c>
      <c r="AL192" s="22">
        <f t="shared" si="165"/>
        <v>1.6511216830531657E-11</v>
      </c>
      <c r="AM192" s="62">
        <f t="shared" si="113"/>
        <v>293.3333333333498</v>
      </c>
      <c r="AN192" s="62">
        <f ca="1">AVERAGE(OFFSET($AM$3,0,0,'Données projet'!$E$10+1,1))-AVERAGE(OFFSET($H$3,0,0,'Données projet'!$E$10+1,1))</f>
        <v>407.22515465568205</v>
      </c>
      <c r="AO192" s="62">
        <f t="shared" si="144"/>
        <v>251.6218558398258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53.60054605225379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53.60054605225379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6.8212102632969618E-13</v>
      </c>
      <c r="BE192" s="14">
        <f>BD192*VLOOKUP('Données projet'!$B$11,Paramètres!$A$1:$I$89,3,0)*VLOOKUP('Données projet'!$B$11,Paramètres!$A$1:$I$89,5,0)</f>
        <v>6.5974745666608208E-13</v>
      </c>
      <c r="BF192" s="14">
        <f t="shared" si="167"/>
        <v>7.9570891233345703E-12</v>
      </c>
      <c r="BG192" s="22">
        <f t="shared" si="168"/>
        <v>1.5007657043501137E-11</v>
      </c>
      <c r="BH192" s="62">
        <f t="shared" si="116"/>
        <v>293.33333333334832</v>
      </c>
      <c r="BI192" s="62">
        <f ca="1">AVERAGE(OFFSET($BH$3,0,0,'Données projet'!$E$11+1,1))-AVERAGE(OFFSET($H$3,0,0,'Données projet'!$E$11+1,1))</f>
        <v>357.76044008074308</v>
      </c>
      <c r="BJ192" s="62">
        <f t="shared" si="146"/>
        <v>224.26555772810445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48.162809496228064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48.162809496228064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6.8212102632969618E-13</v>
      </c>
      <c r="BZ192" s="14">
        <f>BY192*VLOOKUP('Données projet'!$B$12,Paramètres!$A$1:$I$89,3,0)*VLOOKUP('Données projet'!$B$12,Paramètres!$A$1:$I$89,5,0)</f>
        <v>4.5756678446196019E-13</v>
      </c>
      <c r="CA192" s="14">
        <f t="shared" si="170"/>
        <v>5.7587689306883675E-12</v>
      </c>
      <c r="CB192" s="22">
        <f t="shared" si="171"/>
        <v>1.0826784703886818E-11</v>
      </c>
      <c r="CC192" s="62">
        <f t="shared" si="119"/>
        <v>293.33333333334411</v>
      </c>
      <c r="CD192" s="62">
        <f ca="1">AVERAGE(OFFSET($CC$3,0,0,'Données projet'!$E$12+1,1))-AVERAGE(OFFSET($H$3,0,0,'Données projet'!$E$12+1,1))</f>
        <v>222.86701323374945</v>
      </c>
      <c r="CE192" s="62">
        <f t="shared" si="148"/>
        <v>149.63671045240511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41.171433924194986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41.171433924194986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8.5265128291212022E-14</v>
      </c>
      <c r="CU192" s="18">
        <f>CT192*VLOOKUP('Données projet'!$B$13,Paramètres!$A$1:$I$89,3,0)*VLOOKUP('Données projet'!$B$13,Paramètres!$A$1:$I$89,5,0)</f>
        <v>5.5865712056402117E-14</v>
      </c>
      <c r="CV192" s="14">
        <f t="shared" si="173"/>
        <v>8.9811031843713517E-13</v>
      </c>
      <c r="CW192" s="22">
        <f t="shared" si="174"/>
        <v>1.6615082531095774E-12</v>
      </c>
      <c r="CX192" s="62">
        <f t="shared" si="122"/>
        <v>293.33333333333496</v>
      </c>
      <c r="CY192" s="62">
        <f ca="1">AVERAGE(OFFSET($CX$3,0,0,'Données projet'!$E$13+1,1))-AVERAGE(OFFSET($H$3,0,0,'Données projet'!$E$13+1,1))</f>
        <v>173.15672762188746</v>
      </c>
      <c r="CZ192" s="62">
        <f t="shared" si="150"/>
        <v>208.54841796921414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11.594644078746382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11.594644078746382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269.18638759204373</v>
      </c>
      <c r="EP192" s="62">
        <f t="shared" si="154"/>
        <v>197.07126167823969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23.311724099529691</v>
      </c>
      <c r="EW192" s="23">
        <f>EXP(-LN(2)/25)*EW191+(1-EXP(-LN(2)/25))/(LN(2)/25)*Calculateur!ER192*Calculateur!ET192*VLOOKUP('Données projet'!$B$15,Paramètres!$A$1:$I$89,3,0)*0.475*44/12</f>
        <v>1.5365204018680305</v>
      </c>
      <c r="EX192" s="23">
        <f>EXP(-LN(2)/2)*EX191+(1-EXP(-LN(2)/2))/(LN(2)/2)*ER192*EU192*VLOOKUP('Données projet'!$B$15,Paramètres!$A$1:$I$89,3,0)*0.475*44/12</f>
        <v>1.2490370423576388E-15</v>
      </c>
      <c r="EY192" s="24">
        <f t="shared" si="181"/>
        <v>24.848244501397723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1.1368683772161603E-13</v>
      </c>
      <c r="FF192" s="18">
        <f>FE192*VLOOKUP('Données projet'!$B$16,Paramètres!$A$1:$I$89,3,0)*VLOOKUP('Données projet'!$B$16,Paramètres!$A$1:$I$89,5,0)</f>
        <v>6.7984728957526396E-14</v>
      </c>
      <c r="FG192" s="14">
        <f t="shared" si="182"/>
        <v>1.0682447123141398E-12</v>
      </c>
      <c r="FH192" s="22">
        <f t="shared" si="183"/>
        <v>1.978932943548152E-12</v>
      </c>
      <c r="FI192" s="62">
        <f t="shared" si="131"/>
        <v>293.3333333333353</v>
      </c>
      <c r="FJ192" s="62">
        <f ca="1">AVERAGE(OFFSET($FI$3,0,0,'Données projet'!$E$16+1,1))-AVERAGE(OFFSET($H$3,0,0,'Données projet'!$E$16+1,1))</f>
        <v>330.48891719033065</v>
      </c>
      <c r="FK192" s="62">
        <f t="shared" si="156"/>
        <v>419.35494198427284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16.519030492119441</v>
      </c>
      <c r="FR192" s="23">
        <f>EXP(-LN(2)/25)*FR191+(1-EXP(-LN(2)/25))/(LN(2)/25)*Calculateur!FM192*Calculateur!FO192*VLOOKUP('Données projet'!$B$16,Paramètres!$A$1:$I$89,3,0)*0.475*44/12</f>
        <v>1.004918765030633</v>
      </c>
      <c r="FS192" s="23">
        <f>EXP(-LN(2)/2)*FS191+(1-EXP(-LN(2)/2))/(LN(2)/2)*FM192*FP192*VLOOKUP('Données projet'!$B$16,Paramètres!$A$1:$I$89,3,0)*0.475*44/12</f>
        <v>3.3290227158783169E-19</v>
      </c>
      <c r="FT192" s="24">
        <f t="shared" si="184"/>
        <v>17.523949257150075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>
        <f>FZ192*VLOOKUP('Données projet'!$B$17,Paramètres!$A$1:$I$89,3,0)*VLOOKUP('Données projet'!$B$17,Paramètres!$A$1:$I$89,5,0)</f>
        <v>0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132.18258156780018</v>
      </c>
      <c r="GF192" s="62">
        <f t="shared" si="158"/>
        <v>315.58133946947294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1.8608280991621509</v>
      </c>
      <c r="GM192" s="23">
        <f>EXP(-LN(2)/25)*GM191+(1-EXP(-LN(2)/25))/(LN(2)/25)*Calculateur!GH192*Calculateur!GJ192*VLOOKUP('Données projet'!$B$17,Paramètres!$A$1:$I$89,3,0)*0.475*44/12</f>
        <v>0.22589057642307242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2.0867186755852232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9">
        <f t="shared" si="110"/>
        <v>625.55571696030165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4.8316906031686813E-13</v>
      </c>
      <c r="O193" s="14">
        <f>N193*VLOOKUP('Données projet'!$B$9,Paramètres!$A$1:$I$89,3,0)*VLOOKUP('Données projet'!$B$9,Paramètres!$A$1:$I$89,5,0)</f>
        <v>4.3717136577470225E-13</v>
      </c>
      <c r="P193" s="14">
        <f t="shared" si="141"/>
        <v>5.5313598682231701E-12</v>
      </c>
      <c r="Q193" s="22">
        <f t="shared" si="162"/>
        <v>1.039519189921296E-11</v>
      </c>
      <c r="R193" s="62">
        <f t="shared" si="109"/>
        <v>293.33333333334372</v>
      </c>
      <c r="S193" s="62">
        <f ca="1">AVERAGE(OFFSET($R$3,0,0,'Données projet'!$E$9+1,1))-AVERAGE(OFFSET($H$3,0,0,'Données projet'!$E$9+1,1))</f>
        <v>401.86262166363821</v>
      </c>
      <c r="T193" s="62">
        <f t="shared" si="142"/>
        <v>208.60314230781432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205.05565345426976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205.05565345426976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6.8212102632969618E-13</v>
      </c>
      <c r="AJ193" s="14">
        <f>AI193*VLOOKUP('Données projet'!$B$10,Paramètres!$A$1:$I$89,3,0)*VLOOKUP('Données projet'!$B$10,Paramètres!$A$1:$I$89,5,0)</f>
        <v>7.3423507274128498E-13</v>
      </c>
      <c r="AK193" s="14">
        <f t="shared" si="164"/>
        <v>8.7458894232577541E-12</v>
      </c>
      <c r="AL193" s="22">
        <f t="shared" si="165"/>
        <v>1.6511216830531657E-11</v>
      </c>
      <c r="AM193" s="62">
        <f t="shared" si="113"/>
        <v>293.3333333333498</v>
      </c>
      <c r="AN193" s="62">
        <f ca="1">AVERAGE(OFFSET($AM$3,0,0,'Données projet'!$E$10+1,1))-AVERAGE(OFFSET($H$3,0,0,'Données projet'!$E$10+1,1))</f>
        <v>407.22515465568205</v>
      </c>
      <c r="AO193" s="62">
        <f t="shared" si="144"/>
        <v>251.6218558398258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52.549472037274008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52.549472037274008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6.8212102632969618E-13</v>
      </c>
      <c r="BE193" s="14">
        <f>BD193*VLOOKUP('Données projet'!$B$11,Paramètres!$A$1:$I$89,3,0)*VLOOKUP('Données projet'!$B$11,Paramètres!$A$1:$I$89,5,0)</f>
        <v>6.5974745666608208E-13</v>
      </c>
      <c r="BF193" s="14">
        <f t="shared" si="167"/>
        <v>7.9570891233345703E-12</v>
      </c>
      <c r="BG193" s="22">
        <f t="shared" si="168"/>
        <v>1.5007657043501137E-11</v>
      </c>
      <c r="BH193" s="62">
        <f t="shared" si="116"/>
        <v>293.33333333334832</v>
      </c>
      <c r="BI193" s="62">
        <f ca="1">AVERAGE(OFFSET($BH$3,0,0,'Données projet'!$E$11+1,1))-AVERAGE(OFFSET($H$3,0,0,'Données projet'!$E$11+1,1))</f>
        <v>357.76044008074308</v>
      </c>
      <c r="BJ193" s="62">
        <f t="shared" si="146"/>
        <v>224.26555772810445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47.218366178420148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47.218366178420148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6.8212102632969618E-13</v>
      </c>
      <c r="BZ193" s="14">
        <f>BY193*VLOOKUP('Données projet'!$B$12,Paramètres!$A$1:$I$89,3,0)*VLOOKUP('Données projet'!$B$12,Paramètres!$A$1:$I$89,5,0)</f>
        <v>4.5756678446196019E-13</v>
      </c>
      <c r="CA193" s="14">
        <f t="shared" si="170"/>
        <v>5.7587689306883675E-12</v>
      </c>
      <c r="CB193" s="22">
        <f t="shared" si="171"/>
        <v>1.0826784703886818E-11</v>
      </c>
      <c r="CC193" s="62">
        <f t="shared" si="119"/>
        <v>293.33333333334411</v>
      </c>
      <c r="CD193" s="62">
        <f ca="1">AVERAGE(OFFSET($CC$3,0,0,'Données projet'!$E$12+1,1))-AVERAGE(OFFSET($H$3,0,0,'Données projet'!$E$12+1,1))</f>
        <v>222.86701323374945</v>
      </c>
      <c r="CE193" s="62">
        <f t="shared" si="148"/>
        <v>149.63671045240511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40.364087217036605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40.364087217036605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8.5265128291212022E-14</v>
      </c>
      <c r="CU193" s="18">
        <f>CT193*VLOOKUP('Données projet'!$B$13,Paramètres!$A$1:$I$89,3,0)*VLOOKUP('Données projet'!$B$13,Paramètres!$A$1:$I$89,5,0)</f>
        <v>5.5865712056402117E-14</v>
      </c>
      <c r="CV193" s="14">
        <f t="shared" si="173"/>
        <v>8.9811031843713517E-13</v>
      </c>
      <c r="CW193" s="22">
        <f t="shared" si="174"/>
        <v>1.6615082531095774E-12</v>
      </c>
      <c r="CX193" s="62">
        <f t="shared" si="122"/>
        <v>293.33333333333496</v>
      </c>
      <c r="CY193" s="62">
        <f ca="1">AVERAGE(OFFSET($CX$3,0,0,'Données projet'!$E$13+1,1))-AVERAGE(OFFSET($H$3,0,0,'Données projet'!$E$13+1,1))</f>
        <v>173.15672762188746</v>
      </c>
      <c r="CZ193" s="62">
        <f t="shared" si="150"/>
        <v>208.54841796921414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11.367280180396749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11.367280180396749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269.18638759204373</v>
      </c>
      <c r="EP193" s="62">
        <f t="shared" si="154"/>
        <v>197.07126167823969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22.854595408685629</v>
      </c>
      <c r="EW193" s="23">
        <f>EXP(-LN(2)/25)*EW192+(1-EXP(-LN(2)/25))/(LN(2)/25)*Calculateur!ER193*Calculateur!ET193*VLOOKUP('Données projet'!$B$15,Paramètres!$A$1:$I$89,3,0)*0.475*44/12</f>
        <v>1.4945041706768531</v>
      </c>
      <c r="EX193" s="23">
        <f>EXP(-LN(2)/2)*EX192+(1-EXP(-LN(2)/2))/(LN(2)/2)*ER193*EU193*VLOOKUP('Données projet'!$B$15,Paramètres!$A$1:$I$89,3,0)*0.475*44/12</f>
        <v>8.8320256260427545E-16</v>
      </c>
      <c r="EY193" s="24">
        <f t="shared" si="181"/>
        <v>24.34909957936248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1.1368683772161603E-13</v>
      </c>
      <c r="FF193" s="18">
        <f>FE193*VLOOKUP('Données projet'!$B$16,Paramètres!$A$1:$I$89,3,0)*VLOOKUP('Données projet'!$B$16,Paramètres!$A$1:$I$89,5,0)</f>
        <v>6.7984728957526396E-14</v>
      </c>
      <c r="FG193" s="14">
        <f t="shared" si="182"/>
        <v>1.0682447123141398E-12</v>
      </c>
      <c r="FH193" s="22">
        <f t="shared" si="183"/>
        <v>1.978932943548152E-12</v>
      </c>
      <c r="FI193" s="62">
        <f t="shared" si="131"/>
        <v>293.3333333333353</v>
      </c>
      <c r="FJ193" s="62">
        <f ca="1">AVERAGE(OFFSET($FI$3,0,0,'Données projet'!$E$16+1,1))-AVERAGE(OFFSET($H$3,0,0,'Données projet'!$E$16+1,1))</f>
        <v>330.48891719033065</v>
      </c>
      <c r="FK193" s="62">
        <f t="shared" si="156"/>
        <v>419.35494198427284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16.195102379782696</v>
      </c>
      <c r="FR193" s="23">
        <f>EXP(-LN(2)/25)*FR192+(1-EXP(-LN(2)/25))/(LN(2)/25)*Calculateur!FM193*Calculateur!FO193*VLOOKUP('Données projet'!$B$16,Paramètres!$A$1:$I$89,3,0)*0.475*44/12</f>
        <v>0.97743920855448929</v>
      </c>
      <c r="FS193" s="23">
        <f>EXP(-LN(2)/2)*FS192+(1-EXP(-LN(2)/2))/(LN(2)/2)*FM193*FP193*VLOOKUP('Données projet'!$B$16,Paramètres!$A$1:$I$89,3,0)*0.475*44/12</f>
        <v>2.3539745371216152E-19</v>
      </c>
      <c r="FT193" s="24">
        <f t="shared" si="184"/>
        <v>17.172541588337186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>
        <f>FZ193*VLOOKUP('Données projet'!$B$17,Paramètres!$A$1:$I$89,3,0)*VLOOKUP('Données projet'!$B$17,Paramètres!$A$1:$I$89,5,0)</f>
        <v>0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132.18258156780018</v>
      </c>
      <c r="GF193" s="62">
        <f t="shared" si="158"/>
        <v>315.58133946947294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1.8243383951306502</v>
      </c>
      <c r="GM193" s="23">
        <f>EXP(-LN(2)/25)*GM192+(1-EXP(-LN(2)/25))/(LN(2)/25)*Calculateur!GH193*Calculateur!GJ193*VLOOKUP('Données projet'!$B$17,Paramètres!$A$1:$I$89,3,0)*0.475*44/12</f>
        <v>0.21971358673171437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2.0440519818623644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9">
        <f t="shared" si="110"/>
        <v>627.45140659599406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4.8316906031686813E-13</v>
      </c>
      <c r="O194" s="14">
        <f>N194*VLOOKUP('Données projet'!$B$9,Paramètres!$A$1:$I$89,3,0)*VLOOKUP('Données projet'!$B$9,Paramètres!$A$1:$I$89,5,0)</f>
        <v>4.3717136577470225E-13</v>
      </c>
      <c r="P194" s="14">
        <f t="shared" si="141"/>
        <v>5.5313598682231701E-12</v>
      </c>
      <c r="Q194" s="22">
        <f t="shared" si="162"/>
        <v>1.039519189921296E-11</v>
      </c>
      <c r="R194" s="62">
        <f t="shared" si="109"/>
        <v>293.33333333334372</v>
      </c>
      <c r="S194" s="62">
        <f ca="1">AVERAGE(OFFSET($R$3,0,0,'Données projet'!$E$9+1,1))-AVERAGE(OFFSET($H$3,0,0,'Données projet'!$E$9+1,1))</f>
        <v>401.86262166363821</v>
      </c>
      <c r="T194" s="62">
        <f t="shared" si="142"/>
        <v>208.60314230781432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201.03463716163034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201.03463716163034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6.8212102632969618E-13</v>
      </c>
      <c r="AJ194" s="14">
        <f>AI194*VLOOKUP('Données projet'!$B$10,Paramètres!$A$1:$I$89,3,0)*VLOOKUP('Données projet'!$B$10,Paramètres!$A$1:$I$89,5,0)</f>
        <v>7.3423507274128498E-13</v>
      </c>
      <c r="AK194" s="14">
        <f t="shared" si="164"/>
        <v>8.7458894232577541E-12</v>
      </c>
      <c r="AL194" s="22">
        <f t="shared" si="165"/>
        <v>1.6511216830531657E-11</v>
      </c>
      <c r="AM194" s="62">
        <f t="shared" si="113"/>
        <v>293.3333333333498</v>
      </c>
      <c r="AN194" s="62">
        <f ca="1">AVERAGE(OFFSET($AM$3,0,0,'Données projet'!$E$10+1,1))-AVERAGE(OFFSET($H$3,0,0,'Données projet'!$E$10+1,1))</f>
        <v>407.22515465568205</v>
      </c>
      <c r="AO194" s="62">
        <f t="shared" si="144"/>
        <v>251.6218558398258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51.519008942636134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51.519008942636134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6.8212102632969618E-13</v>
      </c>
      <c r="BE194" s="14">
        <f>BD194*VLOOKUP('Données projet'!$B$11,Paramètres!$A$1:$I$89,3,0)*VLOOKUP('Données projet'!$B$11,Paramètres!$A$1:$I$89,5,0)</f>
        <v>6.5974745666608208E-13</v>
      </c>
      <c r="BF194" s="14">
        <f t="shared" si="167"/>
        <v>7.9570891233345703E-12</v>
      </c>
      <c r="BG194" s="22">
        <f t="shared" si="168"/>
        <v>1.5007657043501137E-11</v>
      </c>
      <c r="BH194" s="62">
        <f t="shared" si="116"/>
        <v>293.33333333334832</v>
      </c>
      <c r="BI194" s="62">
        <f ca="1">AVERAGE(OFFSET($BH$3,0,0,'Données projet'!$E$11+1,1))-AVERAGE(OFFSET($H$3,0,0,'Données projet'!$E$11+1,1))</f>
        <v>357.76044008074308</v>
      </c>
      <c r="BJ194" s="62">
        <f t="shared" si="146"/>
        <v>224.26555772810445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46.292442818020895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46.292442818020895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6.8212102632969618E-13</v>
      </c>
      <c r="BZ194" s="14">
        <f>BY194*VLOOKUP('Données projet'!$B$12,Paramètres!$A$1:$I$89,3,0)*VLOOKUP('Données projet'!$B$12,Paramètres!$A$1:$I$89,5,0)</f>
        <v>4.5756678446196019E-13</v>
      </c>
      <c r="CA194" s="14">
        <f t="shared" si="170"/>
        <v>5.7587689306883675E-12</v>
      </c>
      <c r="CB194" s="22">
        <f t="shared" si="171"/>
        <v>1.0826784703886818E-11</v>
      </c>
      <c r="CC194" s="62">
        <f t="shared" si="119"/>
        <v>293.33333333334411</v>
      </c>
      <c r="CD194" s="62">
        <f ca="1">AVERAGE(OFFSET($CC$3,0,0,'Données projet'!$E$12+1,1))-AVERAGE(OFFSET($H$3,0,0,'Données projet'!$E$12+1,1))</f>
        <v>222.86701323374945</v>
      </c>
      <c r="CE194" s="62">
        <f t="shared" si="148"/>
        <v>149.63671045240511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39.57257208637273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39.57257208637273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8.5265128291212022E-14</v>
      </c>
      <c r="CU194" s="18">
        <f>CT194*VLOOKUP('Données projet'!$B$13,Paramètres!$A$1:$I$89,3,0)*VLOOKUP('Données projet'!$B$13,Paramètres!$A$1:$I$89,5,0)</f>
        <v>5.5865712056402117E-14</v>
      </c>
      <c r="CV194" s="14">
        <f t="shared" si="173"/>
        <v>8.9811031843713517E-13</v>
      </c>
      <c r="CW194" s="22">
        <f t="shared" si="174"/>
        <v>1.6615082531095774E-12</v>
      </c>
      <c r="CX194" s="62">
        <f t="shared" si="122"/>
        <v>293.33333333333496</v>
      </c>
      <c r="CY194" s="62">
        <f ca="1">AVERAGE(OFFSET($CX$3,0,0,'Données projet'!$E$13+1,1))-AVERAGE(OFFSET($H$3,0,0,'Données projet'!$E$13+1,1))</f>
        <v>173.15672762188746</v>
      </c>
      <c r="CZ194" s="62">
        <f t="shared" si="150"/>
        <v>208.54841796921414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11.144374749415467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11.144374749415467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269.18638759204373</v>
      </c>
      <c r="EP194" s="62">
        <f t="shared" si="154"/>
        <v>197.07126167823969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22.406430732648051</v>
      </c>
      <c r="EW194" s="23">
        <f>EXP(-LN(2)/25)*EW193+(1-EXP(-LN(2)/25))/(LN(2)/25)*Calculateur!ER194*Calculateur!ET194*VLOOKUP('Données projet'!$B$15,Paramètres!$A$1:$I$89,3,0)*0.475*44/12</f>
        <v>1.4536368755371361</v>
      </c>
      <c r="EX194" s="23">
        <f>EXP(-LN(2)/2)*EX193+(1-EXP(-LN(2)/2))/(LN(2)/2)*ER194*EU194*VLOOKUP('Données projet'!$B$15,Paramètres!$A$1:$I$89,3,0)*0.475*44/12</f>
        <v>6.2451852117881951E-16</v>
      </c>
      <c r="EY194" s="24">
        <f t="shared" si="181"/>
        <v>23.860067608185187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1.1368683772161603E-13</v>
      </c>
      <c r="FF194" s="18">
        <f>FE194*VLOOKUP('Données projet'!$B$16,Paramètres!$A$1:$I$89,3,0)*VLOOKUP('Données projet'!$B$16,Paramètres!$A$1:$I$89,5,0)</f>
        <v>6.7984728957526396E-14</v>
      </c>
      <c r="FG194" s="14">
        <f t="shared" si="182"/>
        <v>1.0682447123141398E-12</v>
      </c>
      <c r="FH194" s="22">
        <f t="shared" si="183"/>
        <v>1.978932943548152E-12</v>
      </c>
      <c r="FI194" s="62">
        <f t="shared" si="131"/>
        <v>293.3333333333353</v>
      </c>
      <c r="FJ194" s="62">
        <f ca="1">AVERAGE(OFFSET($FI$3,0,0,'Données projet'!$E$16+1,1))-AVERAGE(OFFSET($H$3,0,0,'Données projet'!$E$16+1,1))</f>
        <v>330.48891719033065</v>
      </c>
      <c r="FK194" s="62">
        <f t="shared" si="156"/>
        <v>419.35494198427284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15.877526300152233</v>
      </c>
      <c r="FR194" s="23">
        <f>EXP(-LN(2)/25)*FR193+(1-EXP(-LN(2)/25))/(LN(2)/25)*Calculateur!FM194*Calculateur!FO194*VLOOKUP('Données projet'!$B$16,Paramètres!$A$1:$I$89,3,0)*0.475*44/12</f>
        <v>0.95071108199527277</v>
      </c>
      <c r="FS194" s="23">
        <f>EXP(-LN(2)/2)*FS193+(1-EXP(-LN(2)/2))/(LN(2)/2)*FM194*FP194*VLOOKUP('Données projet'!$B$16,Paramètres!$A$1:$I$89,3,0)*0.475*44/12</f>
        <v>1.6645113579391585E-19</v>
      </c>
      <c r="FT194" s="24">
        <f t="shared" si="184"/>
        <v>16.828237382147506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>
        <f>FZ194*VLOOKUP('Données projet'!$B$17,Paramètres!$A$1:$I$89,3,0)*VLOOKUP('Données projet'!$B$17,Paramètres!$A$1:$I$89,5,0)</f>
        <v>0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132.18258156780018</v>
      </c>
      <c r="GF194" s="62">
        <f t="shared" si="158"/>
        <v>315.58133946947294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1.7885642319386856</v>
      </c>
      <c r="GM194" s="23">
        <f>EXP(-LN(2)/25)*GM193+(1-EXP(-LN(2)/25))/(LN(2)/25)*Calculateur!GH194*Calculateur!GJ194*VLOOKUP('Données projet'!$B$17,Paramètres!$A$1:$I$89,3,0)*0.475*44/12</f>
        <v>0.21370550714830028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2.0022697390869859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9">
        <f t="shared" si="110"/>
        <v>629.34688482515401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4.8316906031686813E-13</v>
      </c>
      <c r="O195" s="14">
        <f>N195*VLOOKUP('Données projet'!$B$9,Paramètres!$A$1:$I$89,3,0)*VLOOKUP('Données projet'!$B$9,Paramètres!$A$1:$I$89,5,0)</f>
        <v>4.3717136577470225E-13</v>
      </c>
      <c r="P195" s="14">
        <f t="shared" si="141"/>
        <v>5.5313598682231701E-12</v>
      </c>
      <c r="Q195" s="22">
        <f t="shared" si="162"/>
        <v>1.039519189921296E-11</v>
      </c>
      <c r="R195" s="62">
        <f t="shared" ref="R195:R203" si="191">Q195+(I195+J195)*44/12</f>
        <v>293.33333333334372</v>
      </c>
      <c r="S195" s="62">
        <f ca="1">AVERAGE(OFFSET($R$3,0,0,'Données projet'!$E$9+1,1))-AVERAGE(OFFSET($H$3,0,0,'Données projet'!$E$9+1,1))</f>
        <v>401.86262166363821</v>
      </c>
      <c r="T195" s="62">
        <f t="shared" si="142"/>
        <v>208.60314230781432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197.09247054591182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197.09247054591182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6.8212102632969618E-13</v>
      </c>
      <c r="AJ195" s="14">
        <f>AI195*VLOOKUP('Données projet'!$B$10,Paramètres!$A$1:$I$89,3,0)*VLOOKUP('Données projet'!$B$10,Paramètres!$A$1:$I$89,5,0)</f>
        <v>7.3423507274128498E-13</v>
      </c>
      <c r="AK195" s="14">
        <f t="shared" si="164"/>
        <v>8.7458894232577541E-12</v>
      </c>
      <c r="AL195" s="22">
        <f t="shared" si="165"/>
        <v>1.6511216830531657E-11</v>
      </c>
      <c r="AM195" s="62">
        <f t="shared" si="113"/>
        <v>293.3333333333498</v>
      </c>
      <c r="AN195" s="62">
        <f ca="1">AVERAGE(OFFSET($AM$3,0,0,'Données projet'!$E$10+1,1))-AVERAGE(OFFSET($H$3,0,0,'Données projet'!$E$10+1,1))</f>
        <v>407.22515465568205</v>
      </c>
      <c r="AO195" s="62">
        <f t="shared" si="144"/>
        <v>251.6218558398258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50.508752600763685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50.508752600763685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6.8212102632969618E-13</v>
      </c>
      <c r="BE195" s="14">
        <f>BD195*VLOOKUP('Données projet'!$B$11,Paramètres!$A$1:$I$89,3,0)*VLOOKUP('Données projet'!$B$11,Paramètres!$A$1:$I$89,5,0)</f>
        <v>6.5974745666608208E-13</v>
      </c>
      <c r="BF195" s="14">
        <f t="shared" si="167"/>
        <v>7.9570891233345703E-12</v>
      </c>
      <c r="BG195" s="22">
        <f t="shared" si="168"/>
        <v>1.5007657043501137E-11</v>
      </c>
      <c r="BH195" s="62">
        <f t="shared" si="116"/>
        <v>293.33333333334832</v>
      </c>
      <c r="BI195" s="62">
        <f ca="1">AVERAGE(OFFSET($BH$3,0,0,'Données projet'!$E$11+1,1))-AVERAGE(OFFSET($H$3,0,0,'Données projet'!$E$11+1,1))</f>
        <v>357.76044008074308</v>
      </c>
      <c r="BJ195" s="62">
        <f t="shared" si="146"/>
        <v>224.26555772810445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45.384676249961593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45.384676249961593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6.8212102632969618E-13</v>
      </c>
      <c r="BZ195" s="14">
        <f>BY195*VLOOKUP('Données projet'!$B$12,Paramètres!$A$1:$I$89,3,0)*VLOOKUP('Données projet'!$B$12,Paramètres!$A$1:$I$89,5,0)</f>
        <v>4.5756678446196019E-13</v>
      </c>
      <c r="CA195" s="14">
        <f t="shared" si="170"/>
        <v>5.7587689306883675E-12</v>
      </c>
      <c r="CB195" s="22">
        <f t="shared" si="171"/>
        <v>1.0826784703886818E-11</v>
      </c>
      <c r="CC195" s="62">
        <f t="shared" si="119"/>
        <v>293.33333333334411</v>
      </c>
      <c r="CD195" s="62">
        <f ca="1">AVERAGE(OFFSET($CC$3,0,0,'Données projet'!$E$12+1,1))-AVERAGE(OFFSET($H$3,0,0,'Données projet'!$E$12+1,1))</f>
        <v>222.86701323374945</v>
      </c>
      <c r="CE195" s="62">
        <f t="shared" si="148"/>
        <v>149.63671045240511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38.796578084644615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38.796578084644615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8.5265128291212022E-14</v>
      </c>
      <c r="CU195" s="18">
        <f>CT195*VLOOKUP('Données projet'!$B$13,Paramètres!$A$1:$I$89,3,0)*VLOOKUP('Données projet'!$B$13,Paramètres!$A$1:$I$89,5,0)</f>
        <v>5.5865712056402117E-14</v>
      </c>
      <c r="CV195" s="14">
        <f t="shared" si="173"/>
        <v>8.9811031843713517E-13</v>
      </c>
      <c r="CW195" s="22">
        <f t="shared" si="174"/>
        <v>1.6615082531095774E-12</v>
      </c>
      <c r="CX195" s="62">
        <f t="shared" si="122"/>
        <v>293.33333333333496</v>
      </c>
      <c r="CY195" s="62">
        <f ca="1">AVERAGE(OFFSET($CX$3,0,0,'Données projet'!$E$13+1,1))-AVERAGE(OFFSET($H$3,0,0,'Données projet'!$E$13+1,1))</f>
        <v>173.15672762188746</v>
      </c>
      <c r="CZ195" s="62">
        <f t="shared" si="150"/>
        <v>208.54841796921414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10.92584035797684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10.92584035797684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269.18638759204373</v>
      </c>
      <c r="EP195" s="62">
        <f t="shared" si="154"/>
        <v>197.07126167823969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21.967054292554106</v>
      </c>
      <c r="EW195" s="23">
        <f>EXP(-LN(2)/25)*EW194+(1-EXP(-LN(2)/25))/(LN(2)/25)*Calculateur!ER195*Calculateur!ET195*VLOOKUP('Données projet'!$B$15,Paramètres!$A$1:$I$89,3,0)*0.475*44/12</f>
        <v>1.4138870987321321</v>
      </c>
      <c r="EX195" s="23">
        <f>EXP(-LN(2)/2)*EX194+(1-EXP(-LN(2)/2))/(LN(2)/2)*ER195*EU195*VLOOKUP('Données projet'!$B$15,Paramètres!$A$1:$I$89,3,0)*0.475*44/12</f>
        <v>4.4160128130213782E-16</v>
      </c>
      <c r="EY195" s="24">
        <f t="shared" si="181"/>
        <v>23.380941391286239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1.1368683772161603E-13</v>
      </c>
      <c r="FF195" s="18">
        <f>FE195*VLOOKUP('Données projet'!$B$16,Paramètres!$A$1:$I$89,3,0)*VLOOKUP('Données projet'!$B$16,Paramètres!$A$1:$I$89,5,0)</f>
        <v>6.7984728957526396E-14</v>
      </c>
      <c r="FG195" s="14">
        <f t="shared" si="182"/>
        <v>1.0682447123141398E-12</v>
      </c>
      <c r="FH195" s="22">
        <f t="shared" si="183"/>
        <v>1.978932943548152E-12</v>
      </c>
      <c r="FI195" s="62">
        <f t="shared" si="131"/>
        <v>293.3333333333353</v>
      </c>
      <c r="FJ195" s="62">
        <f ca="1">AVERAGE(OFFSET($FI$3,0,0,'Données projet'!$E$16+1,1))-AVERAGE(OFFSET($H$3,0,0,'Données projet'!$E$16+1,1))</f>
        <v>330.48891719033065</v>
      </c>
      <c r="FK195" s="62">
        <f t="shared" si="156"/>
        <v>419.35494198427284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15.566177693741043</v>
      </c>
      <c r="FR195" s="23">
        <f>EXP(-LN(2)/25)*FR194+(1-EXP(-LN(2)/25))/(LN(2)/25)*Calculateur!FM195*Calculateur!FO195*VLOOKUP('Données projet'!$B$16,Paramètres!$A$1:$I$89,3,0)*0.475*44/12</f>
        <v>0.92471383746238911</v>
      </c>
      <c r="FS195" s="23">
        <f>EXP(-LN(2)/2)*FS194+(1-EXP(-LN(2)/2))/(LN(2)/2)*FM195*FP195*VLOOKUP('Données projet'!$B$16,Paramètres!$A$1:$I$89,3,0)*0.475*44/12</f>
        <v>1.1769872685608076E-19</v>
      </c>
      <c r="FT195" s="24">
        <f t="shared" si="184"/>
        <v>16.490891531203431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>
        <f>FZ195*VLOOKUP('Données projet'!$B$17,Paramètres!$A$1:$I$89,3,0)*VLOOKUP('Données projet'!$B$17,Paramètres!$A$1:$I$89,5,0)</f>
        <v>0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132.18258156780018</v>
      </c>
      <c r="GF195" s="62">
        <f t="shared" si="158"/>
        <v>315.58133946947294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1.7534915782668303</v>
      </c>
      <c r="GM195" s="23">
        <f>EXP(-LN(2)/25)*GM194+(1-EXP(-LN(2)/25))/(LN(2)/25)*Calculateur!GH195*Calculateur!GJ195*VLOOKUP('Données projet'!$B$17,Paramètres!$A$1:$I$89,3,0)*0.475*44/12</f>
        <v>0.20786171881704582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1.9613532970838761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9">
        <f t="shared" ref="H196:H203" si="192">(B196+E196+F196)*44/12+(C196+D196)*0.475*44/12</f>
        <v>631.24215287666095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4.8316906031686813E-13</v>
      </c>
      <c r="O196" s="14">
        <f>N196*VLOOKUP('Données projet'!$B$9,Paramètres!$A$1:$I$89,3,0)*VLOOKUP('Données projet'!$B$9,Paramètres!$A$1:$I$89,5,0)</f>
        <v>4.3717136577470225E-13</v>
      </c>
      <c r="P196" s="14">
        <f t="shared" si="141"/>
        <v>5.5313598682231701E-12</v>
      </c>
      <c r="Q196" s="22">
        <f t="shared" si="162"/>
        <v>1.039519189921296E-11</v>
      </c>
      <c r="R196" s="62">
        <f t="shared" si="191"/>
        <v>293.33333333334372</v>
      </c>
      <c r="S196" s="62">
        <f ca="1">AVERAGE(OFFSET($R$3,0,0,'Données projet'!$E$9+1,1))-AVERAGE(OFFSET($H$3,0,0,'Données projet'!$E$9+1,1))</f>
        <v>401.86262166363821</v>
      </c>
      <c r="T196" s="62">
        <f t="shared" si="142"/>
        <v>208.60314230781432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193.22760741304333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193.22760741304333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6.8212102632969618E-13</v>
      </c>
      <c r="AJ196" s="14">
        <f>AI196*VLOOKUP('Données projet'!$B$10,Paramètres!$A$1:$I$89,3,0)*VLOOKUP('Données projet'!$B$10,Paramètres!$A$1:$I$89,5,0)</f>
        <v>7.3423507274128498E-13</v>
      </c>
      <c r="AK196" s="14">
        <f t="shared" si="164"/>
        <v>8.7458894232577541E-12</v>
      </c>
      <c r="AL196" s="22">
        <f t="shared" si="165"/>
        <v>1.6511216830531657E-11</v>
      </c>
      <c r="AM196" s="62">
        <f t="shared" ref="AM196:AM203" si="193">AL196+(AD196+AE196)*44/12</f>
        <v>293.3333333333498</v>
      </c>
      <c r="AN196" s="62">
        <f ca="1">AVERAGE(OFFSET($AM$3,0,0,'Données projet'!$E$10+1,1))-AVERAGE(OFFSET($H$3,0,0,'Données projet'!$E$10+1,1))</f>
        <v>407.22515465568205</v>
      </c>
      <c r="AO196" s="62">
        <f t="shared" si="144"/>
        <v>251.6218558398258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49.518306769559828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49.518306769559828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6.8212102632969618E-13</v>
      </c>
      <c r="BE196" s="14">
        <f>BD196*VLOOKUP('Données projet'!$B$11,Paramètres!$A$1:$I$89,3,0)*VLOOKUP('Données projet'!$B$11,Paramètres!$A$1:$I$89,5,0)</f>
        <v>6.5974745666608208E-13</v>
      </c>
      <c r="BF196" s="14">
        <f t="shared" si="167"/>
        <v>7.9570891233345703E-12</v>
      </c>
      <c r="BG196" s="22">
        <f t="shared" si="168"/>
        <v>1.5007657043501137E-11</v>
      </c>
      <c r="BH196" s="62">
        <f t="shared" ref="BH196:BH203" si="194">BG196+(AY196+AZ196)*44/12</f>
        <v>293.33333333334832</v>
      </c>
      <c r="BI196" s="62">
        <f ca="1">AVERAGE(OFFSET($BH$3,0,0,'Données projet'!$E$11+1,1))-AVERAGE(OFFSET($H$3,0,0,'Données projet'!$E$11+1,1))</f>
        <v>357.76044008074308</v>
      </c>
      <c r="BJ196" s="62">
        <f t="shared" si="146"/>
        <v>224.26555772810445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44.494710430618994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44.494710430618994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6.8212102632969618E-13</v>
      </c>
      <c r="BZ196" s="14">
        <f>BY196*VLOOKUP('Données projet'!$B$12,Paramètres!$A$1:$I$89,3,0)*VLOOKUP('Données projet'!$B$12,Paramètres!$A$1:$I$89,5,0)</f>
        <v>4.5756678446196019E-13</v>
      </c>
      <c r="CA196" s="14">
        <f t="shared" si="170"/>
        <v>5.7587689306883675E-12</v>
      </c>
      <c r="CB196" s="22">
        <f t="shared" si="171"/>
        <v>1.0826784703886818E-11</v>
      </c>
      <c r="CC196" s="62">
        <f t="shared" ref="CC196:CC203" si="195">CB196+(BT196+BU196)*44/12</f>
        <v>293.33333333334411</v>
      </c>
      <c r="CD196" s="62">
        <f ca="1">AVERAGE(OFFSET($CC$3,0,0,'Données projet'!$E$12+1,1))-AVERAGE(OFFSET($H$3,0,0,'Données projet'!$E$12+1,1))</f>
        <v>222.86701323374945</v>
      </c>
      <c r="CE196" s="62">
        <f t="shared" si="148"/>
        <v>149.63671045240511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38.035800851980781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38.035800851980781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8.5265128291212022E-14</v>
      </c>
      <c r="CU196" s="18">
        <f>CT196*VLOOKUP('Données projet'!$B$13,Paramètres!$A$1:$I$89,3,0)*VLOOKUP('Données projet'!$B$13,Paramètres!$A$1:$I$89,5,0)</f>
        <v>5.5865712056402117E-14</v>
      </c>
      <c r="CV196" s="14">
        <f t="shared" si="173"/>
        <v>8.9811031843713517E-13</v>
      </c>
      <c r="CW196" s="22">
        <f t="shared" si="174"/>
        <v>1.6615082531095774E-12</v>
      </c>
      <c r="CX196" s="62">
        <f t="shared" ref="CX196:CX203" si="196">CW196+(CO196+CP196)*44/12</f>
        <v>293.33333333333496</v>
      </c>
      <c r="CY196" s="62">
        <f ca="1">AVERAGE(OFFSET($CX$3,0,0,'Données projet'!$E$13+1,1))-AVERAGE(OFFSET($H$3,0,0,'Données projet'!$E$13+1,1))</f>
        <v>173.15672762188746</v>
      </c>
      <c r="CZ196" s="62">
        <f t="shared" si="150"/>
        <v>208.54841796921414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10.711591292661508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10.711591292661508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269.18638759204373</v>
      </c>
      <c r="EP196" s="62">
        <f t="shared" si="154"/>
        <v>197.07126167823969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21.536293756457241</v>
      </c>
      <c r="EW196" s="23">
        <f>EXP(-LN(2)/25)*EW195+(1-EXP(-LN(2)/25))/(LN(2)/25)*Calculateur!ER196*Calculateur!ET196*VLOOKUP('Données projet'!$B$15,Paramètres!$A$1:$I$89,3,0)*0.475*44/12</f>
        <v>1.3752242816642108</v>
      </c>
      <c r="EX196" s="23">
        <f>EXP(-LN(2)/2)*EX195+(1-EXP(-LN(2)/2))/(LN(2)/2)*ER196*EU196*VLOOKUP('Données projet'!$B$15,Paramètres!$A$1:$I$89,3,0)*0.475*44/12</f>
        <v>3.1225926058940981E-16</v>
      </c>
      <c r="EY196" s="24">
        <f t="shared" si="181"/>
        <v>22.91151803812145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1.1368683772161603E-13</v>
      </c>
      <c r="FF196" s="18">
        <f>FE196*VLOOKUP('Données projet'!$B$16,Paramètres!$A$1:$I$89,3,0)*VLOOKUP('Données projet'!$B$16,Paramètres!$A$1:$I$89,5,0)</f>
        <v>6.7984728957526396E-14</v>
      </c>
      <c r="FG196" s="14">
        <f t="shared" si="182"/>
        <v>1.0682447123141398E-12</v>
      </c>
      <c r="FH196" s="22">
        <f t="shared" si="183"/>
        <v>1.978932943548152E-12</v>
      </c>
      <c r="FI196" s="62">
        <f t="shared" ref="FI196:FI203" si="199">FH196+(EZ196+FA196)*44/12</f>
        <v>293.3333333333353</v>
      </c>
      <c r="FJ196" s="62">
        <f ca="1">AVERAGE(OFFSET($FI$3,0,0,'Données projet'!$E$16+1,1))-AVERAGE(OFFSET($H$3,0,0,'Données projet'!$E$16+1,1))</f>
        <v>330.48891719033065</v>
      </c>
      <c r="FK196" s="62">
        <f t="shared" si="156"/>
        <v>419.35494198427284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15.260934443597677</v>
      </c>
      <c r="FR196" s="23">
        <f>EXP(-LN(2)/25)*FR195+(1-EXP(-LN(2)/25))/(LN(2)/25)*Calculateur!FM196*Calculateur!FO196*VLOOKUP('Données projet'!$B$16,Paramètres!$A$1:$I$89,3,0)*0.475*44/12</f>
        <v>0.89942748894839286</v>
      </c>
      <c r="FS196" s="23">
        <f>EXP(-LN(2)/2)*FS195+(1-EXP(-LN(2)/2))/(LN(2)/2)*FM196*FP196*VLOOKUP('Données projet'!$B$16,Paramètres!$A$1:$I$89,3,0)*0.475*44/12</f>
        <v>8.3225567896957923E-20</v>
      </c>
      <c r="FT196" s="24">
        <f t="shared" si="184"/>
        <v>16.160361932546071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>
        <f>FZ196*VLOOKUP('Données projet'!$B$17,Paramètres!$A$1:$I$89,3,0)*VLOOKUP('Données projet'!$B$17,Paramètres!$A$1:$I$89,5,0)</f>
        <v>0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132.18258156780018</v>
      </c>
      <c r="GF196" s="62">
        <f t="shared" si="158"/>
        <v>315.58133946947294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1.7191066779412738</v>
      </c>
      <c r="GM196" s="23">
        <f>EXP(-LN(2)/25)*GM195+(1-EXP(-LN(2)/25))/(LN(2)/25)*Calculateur!GH196*Calculateur!GJ196*VLOOKUP('Données projet'!$B$17,Paramètres!$A$1:$I$89,3,0)*0.475*44/12</f>
        <v>0.20217772918502097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1.9212844071262949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9">
        <f t="shared" si="192"/>
        <v>633.13721196592269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4.8316906031686813E-13</v>
      </c>
      <c r="O197" s="14">
        <f>N197*VLOOKUP('Données projet'!$B$9,Paramètres!$A$1:$I$89,3,0)*VLOOKUP('Données projet'!$B$9,Paramètres!$A$1:$I$89,5,0)</f>
        <v>4.3717136577470225E-13</v>
      </c>
      <c r="P197" s="14">
        <f t="shared" ref="P197:P203" si="203">EXP(-1.0587+0.8836*LN(O197)+0.284)</f>
        <v>5.5313598682231701E-12</v>
      </c>
      <c r="Q197" s="22">
        <f t="shared" si="162"/>
        <v>1.039519189921296E-11</v>
      </c>
      <c r="R197" s="62">
        <f t="shared" si="191"/>
        <v>293.33333333334372</v>
      </c>
      <c r="S197" s="62">
        <f ca="1">AVERAGE(OFFSET($R$3,0,0,'Données projet'!$E$9+1,1))-AVERAGE(OFFSET($H$3,0,0,'Données projet'!$E$9+1,1))</f>
        <v>401.86262166363821</v>
      </c>
      <c r="T197" s="62">
        <f t="shared" ref="T197:T203" si="204">$T$3</f>
        <v>208.60314230781432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189.43853188887664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189.43853188887664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6.8212102632969618E-13</v>
      </c>
      <c r="AJ197" s="14">
        <f>AI197*VLOOKUP('Données projet'!$B$10,Paramètres!$A$1:$I$89,3,0)*VLOOKUP('Données projet'!$B$10,Paramètres!$A$1:$I$89,5,0)</f>
        <v>7.3423507274128498E-13</v>
      </c>
      <c r="AK197" s="14">
        <f t="shared" si="164"/>
        <v>8.7458894232577541E-12</v>
      </c>
      <c r="AL197" s="22">
        <f t="shared" si="165"/>
        <v>1.6511216830531657E-11</v>
      </c>
      <c r="AM197" s="62">
        <f t="shared" si="193"/>
        <v>293.3333333333498</v>
      </c>
      <c r="AN197" s="62">
        <f ca="1">AVERAGE(OFFSET($AM$3,0,0,'Données projet'!$E$10+1,1))-AVERAGE(OFFSET($H$3,0,0,'Données projet'!$E$10+1,1))</f>
        <v>407.22515465568205</v>
      </c>
      <c r="AO197" s="62">
        <f t="shared" ref="AO197:AO203" si="205">$AO$3</f>
        <v>251.6218558398258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48.547282976993571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48.547282976993571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6.8212102632969618E-13</v>
      </c>
      <c r="BE197" s="14">
        <f>BD197*VLOOKUP('Données projet'!$B$11,Paramètres!$A$1:$I$89,3,0)*VLOOKUP('Données projet'!$B$11,Paramètres!$A$1:$I$89,5,0)</f>
        <v>6.5974745666608208E-13</v>
      </c>
      <c r="BF197" s="14">
        <f t="shared" si="167"/>
        <v>7.9570891233345703E-12</v>
      </c>
      <c r="BG197" s="22">
        <f t="shared" si="168"/>
        <v>1.5007657043501137E-11</v>
      </c>
      <c r="BH197" s="62">
        <f t="shared" si="194"/>
        <v>293.33333333334832</v>
      </c>
      <c r="BI197" s="62">
        <f ca="1">AVERAGE(OFFSET($BH$3,0,0,'Données projet'!$E$11+1,1))-AVERAGE(OFFSET($H$3,0,0,'Données projet'!$E$11+1,1))</f>
        <v>357.76044008074308</v>
      </c>
      <c r="BJ197" s="62">
        <f t="shared" ref="BJ197:BJ203" si="206">$BJ$3</f>
        <v>224.26555772810445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43.622196298168156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43.622196298168156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6.8212102632969618E-13</v>
      </c>
      <c r="BZ197" s="14">
        <f>BY197*VLOOKUP('Données projet'!$B$12,Paramètres!$A$1:$I$89,3,0)*VLOOKUP('Données projet'!$B$12,Paramètres!$A$1:$I$89,5,0)</f>
        <v>4.5756678446196019E-13</v>
      </c>
      <c r="CA197" s="14">
        <f t="shared" si="170"/>
        <v>5.7587689306883675E-12</v>
      </c>
      <c r="CB197" s="22">
        <f t="shared" si="171"/>
        <v>1.0826784703886818E-11</v>
      </c>
      <c r="CC197" s="62">
        <f t="shared" si="195"/>
        <v>293.33333333334411</v>
      </c>
      <c r="CD197" s="62">
        <f ca="1">AVERAGE(OFFSET($CC$3,0,0,'Données projet'!$E$12+1,1))-AVERAGE(OFFSET($H$3,0,0,'Données projet'!$E$12+1,1))</f>
        <v>222.86701323374945</v>
      </c>
      <c r="CE197" s="62">
        <f t="shared" ref="CE197:CE203" si="207">$CE$3</f>
        <v>149.63671045240511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37.289941996821192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37.289941996821192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8.5265128291212022E-14</v>
      </c>
      <c r="CU197" s="18">
        <f>CT197*VLOOKUP('Données projet'!$B$13,Paramètres!$A$1:$I$89,3,0)*VLOOKUP('Données projet'!$B$13,Paramètres!$A$1:$I$89,5,0)</f>
        <v>5.5865712056402117E-14</v>
      </c>
      <c r="CV197" s="14">
        <f t="shared" si="173"/>
        <v>8.9811031843713517E-13</v>
      </c>
      <c r="CW197" s="22">
        <f t="shared" si="174"/>
        <v>1.6615082531095774E-12</v>
      </c>
      <c r="CX197" s="62">
        <f t="shared" si="196"/>
        <v>293.33333333333496</v>
      </c>
      <c r="CY197" s="62">
        <f ca="1">AVERAGE(OFFSET($CX$3,0,0,'Données projet'!$E$13+1,1))-AVERAGE(OFFSET($H$3,0,0,'Données projet'!$E$13+1,1))</f>
        <v>173.15672762188746</v>
      </c>
      <c r="CZ197" s="62">
        <f t="shared" ref="CZ197:CZ203" si="208">$CZ$3</f>
        <v>208.54841796921414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10.501543520837982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10.501543520837982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269.18638759204373</v>
      </c>
      <c r="EP197" s="62">
        <f t="shared" ref="EP197:EP203" si="210">$EP$3</f>
        <v>197.07126167823969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21.11398017173525</v>
      </c>
      <c r="EW197" s="23">
        <f>EXP(-LN(2)/25)*EW196+(1-EXP(-LN(2)/25))/(LN(2)/25)*Calculateur!ER197*Calculateur!ET197*VLOOKUP('Données projet'!$B$15,Paramètres!$A$1:$I$89,3,0)*0.475*44/12</f>
        <v>1.3376187013622012</v>
      </c>
      <c r="EX197" s="23">
        <f>EXP(-LN(2)/2)*EX196+(1-EXP(-LN(2)/2))/(LN(2)/2)*ER197*EU197*VLOOKUP('Données projet'!$B$15,Paramètres!$A$1:$I$89,3,0)*0.475*44/12</f>
        <v>2.2080064065106894E-16</v>
      </c>
      <c r="EY197" s="24">
        <f t="shared" si="181"/>
        <v>22.451598873097453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1.1368683772161603E-13</v>
      </c>
      <c r="FF197" s="18">
        <f>FE197*VLOOKUP('Données projet'!$B$16,Paramètres!$A$1:$I$89,3,0)*VLOOKUP('Données projet'!$B$16,Paramètres!$A$1:$I$89,5,0)</f>
        <v>6.7984728957526396E-14</v>
      </c>
      <c r="FG197" s="14">
        <f t="shared" si="182"/>
        <v>1.0682447123141398E-12</v>
      </c>
      <c r="FH197" s="22">
        <f t="shared" si="183"/>
        <v>1.978932943548152E-12</v>
      </c>
      <c r="FI197" s="62">
        <f t="shared" si="199"/>
        <v>293.3333333333353</v>
      </c>
      <c r="FJ197" s="62">
        <f ca="1">AVERAGE(OFFSET($FI$3,0,0,'Données projet'!$E$16+1,1))-AVERAGE(OFFSET($H$3,0,0,'Données projet'!$E$16+1,1))</f>
        <v>330.48891719033065</v>
      </c>
      <c r="FK197" s="62">
        <f t="shared" ref="FK197:FK203" si="211">$FK$3</f>
        <v>419.35494198427284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14.961676827409624</v>
      </c>
      <c r="FR197" s="23">
        <f>EXP(-LN(2)/25)*FR196+(1-EXP(-LN(2)/25))/(LN(2)/25)*Calculateur!FM197*Calculateur!FO197*VLOOKUP('Données projet'!$B$16,Paramètres!$A$1:$I$89,3,0)*0.475*44/12</f>
        <v>0.87483259696426308</v>
      </c>
      <c r="FS197" s="23">
        <f>EXP(-LN(2)/2)*FS196+(1-EXP(-LN(2)/2))/(LN(2)/2)*FM197*FP197*VLOOKUP('Données projet'!$B$16,Paramètres!$A$1:$I$89,3,0)*0.475*44/12</f>
        <v>5.884936342804038E-20</v>
      </c>
      <c r="FT197" s="24">
        <f t="shared" si="184"/>
        <v>15.836509424373887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>
        <f>FZ197*VLOOKUP('Données projet'!$B$17,Paramètres!$A$1:$I$89,3,0)*VLOOKUP('Données projet'!$B$17,Paramètres!$A$1:$I$89,5,0)</f>
        <v>0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132.18258156780018</v>
      </c>
      <c r="GF197" s="62">
        <f t="shared" ref="GF197:GF203" si="212">$GF$3</f>
        <v>315.58133946947294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1.6853960445383831</v>
      </c>
      <c r="GM197" s="23">
        <f>EXP(-LN(2)/25)*GM196+(1-EXP(-LN(2)/25))/(LN(2)/25)*Calculateur!GH197*Calculateur!GJ197*VLOOKUP('Données projet'!$B$17,Paramètres!$A$1:$I$89,3,0)*0.475*44/12</f>
        <v>0.19664916854839187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1.8820452130867751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9">
        <f t="shared" si="192"/>
        <v>635.0320632950918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4.8316906031686813E-13</v>
      </c>
      <c r="O198" s="14">
        <f>N198*VLOOKUP('Données projet'!$B$9,Paramètres!$A$1:$I$89,3,0)*VLOOKUP('Données projet'!$B$9,Paramètres!$A$1:$I$89,5,0)</f>
        <v>4.3717136577470225E-13</v>
      </c>
      <c r="P198" s="14">
        <f t="shared" si="203"/>
        <v>5.5313598682231701E-12</v>
      </c>
      <c r="Q198" s="22">
        <f t="shared" si="162"/>
        <v>1.039519189921296E-11</v>
      </c>
      <c r="R198" s="62">
        <f t="shared" si="191"/>
        <v>293.33333333334372</v>
      </c>
      <c r="S198" s="62">
        <f ca="1">AVERAGE(OFFSET($R$3,0,0,'Données projet'!$E$9+1,1))-AVERAGE(OFFSET($H$3,0,0,'Données projet'!$E$9+1,1))</f>
        <v>401.86262166363821</v>
      </c>
      <c r="T198" s="62">
        <f t="shared" si="204"/>
        <v>208.60314230781432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185.72375782463098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185.72375782463098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6.8212102632969618E-13</v>
      </c>
      <c r="AJ198" s="14">
        <f>AI198*VLOOKUP('Données projet'!$B$10,Paramètres!$A$1:$I$89,3,0)*VLOOKUP('Données projet'!$B$10,Paramètres!$A$1:$I$89,5,0)</f>
        <v>7.3423507274128498E-13</v>
      </c>
      <c r="AK198" s="14">
        <f t="shared" si="164"/>
        <v>8.7458894232577541E-12</v>
      </c>
      <c r="AL198" s="22">
        <f t="shared" si="165"/>
        <v>1.6511216830531657E-11</v>
      </c>
      <c r="AM198" s="62">
        <f t="shared" si="193"/>
        <v>293.3333333333498</v>
      </c>
      <c r="AN198" s="62">
        <f ca="1">AVERAGE(OFFSET($AM$3,0,0,'Données projet'!$E$10+1,1))-AVERAGE(OFFSET($H$3,0,0,'Données projet'!$E$10+1,1))</f>
        <v>407.22515465568205</v>
      </c>
      <c r="AO198" s="62">
        <f t="shared" si="205"/>
        <v>251.6218558398258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47.595300368733511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47.595300368733511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6.8212102632969618E-13</v>
      </c>
      <c r="BE198" s="14">
        <f>BD198*VLOOKUP('Données projet'!$B$11,Paramètres!$A$1:$I$89,3,0)*VLOOKUP('Données projet'!$B$11,Paramètres!$A$1:$I$89,5,0)</f>
        <v>6.5974745666608208E-13</v>
      </c>
      <c r="BF198" s="14">
        <f t="shared" si="167"/>
        <v>7.9570891233345703E-12</v>
      </c>
      <c r="BG198" s="22">
        <f t="shared" si="168"/>
        <v>1.5007657043501137E-11</v>
      </c>
      <c r="BH198" s="62">
        <f t="shared" si="194"/>
        <v>293.33333333334832</v>
      </c>
      <c r="BI198" s="62">
        <f ca="1">AVERAGE(OFFSET($BH$3,0,0,'Données projet'!$E$11+1,1))-AVERAGE(OFFSET($H$3,0,0,'Données projet'!$E$11+1,1))</f>
        <v>357.76044008074308</v>
      </c>
      <c r="BJ198" s="62">
        <f t="shared" si="206"/>
        <v>224.26555772810445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42.766791635673606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42.766791635673606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6.8212102632969618E-13</v>
      </c>
      <c r="BZ198" s="14">
        <f>BY198*VLOOKUP('Données projet'!$B$12,Paramètres!$A$1:$I$89,3,0)*VLOOKUP('Données projet'!$B$12,Paramètres!$A$1:$I$89,5,0)</f>
        <v>4.5756678446196019E-13</v>
      </c>
      <c r="CA198" s="14">
        <f t="shared" si="170"/>
        <v>5.7587689306883675E-12</v>
      </c>
      <c r="CB198" s="22">
        <f t="shared" si="171"/>
        <v>1.0826784703886818E-11</v>
      </c>
      <c r="CC198" s="62">
        <f t="shared" si="195"/>
        <v>293.33333333334411</v>
      </c>
      <c r="CD198" s="62">
        <f ca="1">AVERAGE(OFFSET($CC$3,0,0,'Données projet'!$E$12+1,1))-AVERAGE(OFFSET($H$3,0,0,'Données projet'!$E$12+1,1))</f>
        <v>222.86701323374945</v>
      </c>
      <c r="CE198" s="62">
        <f t="shared" si="207"/>
        <v>149.63671045240511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36.558708978882301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36.558708978882301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8.5265128291212022E-14</v>
      </c>
      <c r="CU198" s="18">
        <f>CT198*VLOOKUP('Données projet'!$B$13,Paramètres!$A$1:$I$89,3,0)*VLOOKUP('Données projet'!$B$13,Paramètres!$A$1:$I$89,5,0)</f>
        <v>5.5865712056402117E-14</v>
      </c>
      <c r="CV198" s="14">
        <f t="shared" si="173"/>
        <v>8.9811031843713517E-13</v>
      </c>
      <c r="CW198" s="22">
        <f t="shared" si="174"/>
        <v>1.6615082531095774E-12</v>
      </c>
      <c r="CX198" s="62">
        <f t="shared" si="196"/>
        <v>293.33333333333496</v>
      </c>
      <c r="CY198" s="62">
        <f ca="1">AVERAGE(OFFSET($CX$3,0,0,'Données projet'!$E$13+1,1))-AVERAGE(OFFSET($H$3,0,0,'Données projet'!$E$13+1,1))</f>
        <v>173.15672762188746</v>
      </c>
      <c r="CZ198" s="62">
        <f t="shared" si="208"/>
        <v>208.54841796921414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10.295614657703425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10.295614657703425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269.18638759204373</v>
      </c>
      <c r="EP198" s="62">
        <f t="shared" si="210"/>
        <v>197.07126167823969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20.699947898823805</v>
      </c>
      <c r="EW198" s="23">
        <f>EXP(-LN(2)/25)*EW197+(1-EXP(-LN(2)/25))/(LN(2)/25)*Calculateur!ER198*Calculateur!ET198*VLOOKUP('Données projet'!$B$15,Paramètres!$A$1:$I$89,3,0)*0.475*44/12</f>
        <v>1.3010414476311414</v>
      </c>
      <c r="EX198" s="23">
        <f>EXP(-LN(2)/2)*EX197+(1-EXP(-LN(2)/2))/(LN(2)/2)*ER198*EU198*VLOOKUP('Données projet'!$B$15,Paramètres!$A$1:$I$89,3,0)*0.475*44/12</f>
        <v>1.5612963029470493E-16</v>
      </c>
      <c r="EY198" s="24">
        <f t="shared" si="181"/>
        <v>22.000989346454947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1.1368683772161603E-13</v>
      </c>
      <c r="FF198" s="18">
        <f>FE198*VLOOKUP('Données projet'!$B$16,Paramètres!$A$1:$I$89,3,0)*VLOOKUP('Données projet'!$B$16,Paramètres!$A$1:$I$89,5,0)</f>
        <v>6.7984728957526396E-14</v>
      </c>
      <c r="FG198" s="14">
        <f t="shared" si="182"/>
        <v>1.0682447123141398E-12</v>
      </c>
      <c r="FH198" s="22">
        <f t="shared" si="183"/>
        <v>1.978932943548152E-12</v>
      </c>
      <c r="FI198" s="62">
        <f t="shared" si="199"/>
        <v>293.3333333333353</v>
      </c>
      <c r="FJ198" s="62">
        <f ca="1">AVERAGE(OFFSET($FI$3,0,0,'Données projet'!$E$16+1,1))-AVERAGE(OFFSET($H$3,0,0,'Données projet'!$E$16+1,1))</f>
        <v>330.48891719033065</v>
      </c>
      <c r="FK198" s="62">
        <f t="shared" si="211"/>
        <v>419.35494198427284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14.668287470545897</v>
      </c>
      <c r="FR198" s="23">
        <f>EXP(-LN(2)/25)*FR197+(1-EXP(-LN(2)/25))/(LN(2)/25)*Calculateur!FM198*Calculateur!FO198*VLOOKUP('Données projet'!$B$16,Paramètres!$A$1:$I$89,3,0)*0.475*44/12</f>
        <v>0.85091025359482853</v>
      </c>
      <c r="FS198" s="23">
        <f>EXP(-LN(2)/2)*FS197+(1-EXP(-LN(2)/2))/(LN(2)/2)*FM198*FP198*VLOOKUP('Données projet'!$B$16,Paramètres!$A$1:$I$89,3,0)*0.475*44/12</f>
        <v>4.1612783948478962E-20</v>
      </c>
      <c r="FT198" s="24">
        <f t="shared" si="184"/>
        <v>15.519197724140724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>
        <f>FZ198*VLOOKUP('Données projet'!$B$17,Paramètres!$A$1:$I$89,3,0)*VLOOKUP('Données projet'!$B$17,Paramètres!$A$1:$I$89,5,0)</f>
        <v>0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132.18258156780018</v>
      </c>
      <c r="GF198" s="62">
        <f t="shared" si="212"/>
        <v>315.58133946947294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1.6523464560950669</v>
      </c>
      <c r="GM198" s="23">
        <f>EXP(-LN(2)/25)*GM197+(1-EXP(-LN(2)/25))/(LN(2)/25)*Calculateur!GH198*Calculateur!GJ198*VLOOKUP('Données projet'!$B$17,Paramètres!$A$1:$I$89,3,0)*0.475*44/12</f>
        <v>0.19127178669310577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1.8436182427881727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9">
        <f t="shared" si="192"/>
        <v>636.92670805327657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4.8316906031686813E-13</v>
      </c>
      <c r="O199" s="14">
        <f>N199*VLOOKUP('Données projet'!$B$9,Paramètres!$A$1:$I$89,3,0)*VLOOKUP('Données projet'!$B$9,Paramètres!$A$1:$I$89,5,0)</f>
        <v>4.3717136577470225E-13</v>
      </c>
      <c r="P199" s="14">
        <f t="shared" si="203"/>
        <v>5.5313598682231701E-12</v>
      </c>
      <c r="Q199" s="22">
        <f t="shared" si="162"/>
        <v>1.039519189921296E-11</v>
      </c>
      <c r="R199" s="62">
        <f t="shared" si="191"/>
        <v>293.33333333334372</v>
      </c>
      <c r="S199" s="62">
        <f ca="1">AVERAGE(OFFSET($R$3,0,0,'Données projet'!$E$9+1,1))-AVERAGE(OFFSET($H$3,0,0,'Données projet'!$E$9+1,1))</f>
        <v>401.86262166363821</v>
      </c>
      <c r="T199" s="62">
        <f t="shared" si="204"/>
        <v>208.60314230781432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182.08182821399674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182.08182821399674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6.8212102632969618E-13</v>
      </c>
      <c r="AJ199" s="14">
        <f>AI199*VLOOKUP('Données projet'!$B$10,Paramètres!$A$1:$I$89,3,0)*VLOOKUP('Données projet'!$B$10,Paramètres!$A$1:$I$89,5,0)</f>
        <v>7.3423507274128498E-13</v>
      </c>
      <c r="AK199" s="14">
        <f t="shared" si="164"/>
        <v>8.7458894232577541E-12</v>
      </c>
      <c r="AL199" s="22">
        <f t="shared" si="165"/>
        <v>1.6511216830531657E-11</v>
      </c>
      <c r="AM199" s="62">
        <f t="shared" si="193"/>
        <v>293.3333333333498</v>
      </c>
      <c r="AN199" s="62">
        <f ca="1">AVERAGE(OFFSET($AM$3,0,0,'Données projet'!$E$10+1,1))-AVERAGE(OFFSET($H$3,0,0,'Données projet'!$E$10+1,1))</f>
        <v>407.22515465568205</v>
      </c>
      <c r="AO199" s="62">
        <f t="shared" si="205"/>
        <v>251.6218558398258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46.661985558769373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46.661985558769373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6.8212102632969618E-13</v>
      </c>
      <c r="BE199" s="14">
        <f>BD199*VLOOKUP('Données projet'!$B$11,Paramètres!$A$1:$I$89,3,0)*VLOOKUP('Données projet'!$B$11,Paramètres!$A$1:$I$89,5,0)</f>
        <v>6.5974745666608208E-13</v>
      </c>
      <c r="BF199" s="14">
        <f t="shared" si="167"/>
        <v>7.9570891233345703E-12</v>
      </c>
      <c r="BG199" s="22">
        <f t="shared" si="168"/>
        <v>1.5007657043501137E-11</v>
      </c>
      <c r="BH199" s="62">
        <f t="shared" si="194"/>
        <v>293.33333333334832</v>
      </c>
      <c r="BI199" s="62">
        <f ca="1">AVERAGE(OFFSET($BH$3,0,0,'Données projet'!$E$11+1,1))-AVERAGE(OFFSET($H$3,0,0,'Données projet'!$E$11+1,1))</f>
        <v>357.76044008074308</v>
      </c>
      <c r="BJ199" s="62">
        <f t="shared" si="206"/>
        <v>224.26555772810445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41.928160936865247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41.928160936865247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6.8212102632969618E-13</v>
      </c>
      <c r="BZ199" s="14">
        <f>BY199*VLOOKUP('Données projet'!$B$12,Paramètres!$A$1:$I$89,3,0)*VLOOKUP('Données projet'!$B$12,Paramètres!$A$1:$I$89,5,0)</f>
        <v>4.5756678446196019E-13</v>
      </c>
      <c r="CA199" s="14">
        <f t="shared" si="170"/>
        <v>5.7587689306883675E-12</v>
      </c>
      <c r="CB199" s="22">
        <f t="shared" si="171"/>
        <v>1.0826784703886818E-11</v>
      </c>
      <c r="CC199" s="62">
        <f t="shared" si="195"/>
        <v>293.33333333334411</v>
      </c>
      <c r="CD199" s="62">
        <f ca="1">AVERAGE(OFFSET($CC$3,0,0,'Données projet'!$E$12+1,1))-AVERAGE(OFFSET($H$3,0,0,'Données projet'!$E$12+1,1))</f>
        <v>222.86701323374945</v>
      </c>
      <c r="CE199" s="62">
        <f t="shared" si="207"/>
        <v>149.63671045240511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35.841814994417092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35.841814994417092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8.5265128291212022E-14</v>
      </c>
      <c r="CU199" s="18">
        <f>CT199*VLOOKUP('Données projet'!$B$13,Paramètres!$A$1:$I$89,3,0)*VLOOKUP('Données projet'!$B$13,Paramètres!$A$1:$I$89,5,0)</f>
        <v>5.5865712056402117E-14</v>
      </c>
      <c r="CV199" s="14">
        <f t="shared" si="173"/>
        <v>8.9811031843713517E-13</v>
      </c>
      <c r="CW199" s="22">
        <f t="shared" si="174"/>
        <v>1.6615082531095774E-12</v>
      </c>
      <c r="CX199" s="62">
        <f t="shared" si="196"/>
        <v>293.33333333333496</v>
      </c>
      <c r="CY199" s="62">
        <f ca="1">AVERAGE(OFFSET($CX$3,0,0,'Données projet'!$E$13+1,1))-AVERAGE(OFFSET($H$3,0,0,'Données projet'!$E$13+1,1))</f>
        <v>173.15672762188746</v>
      </c>
      <c r="CZ199" s="62">
        <f t="shared" si="208"/>
        <v>208.54841796921414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10.093723933970733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10.093723933970733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269.18638759204373</v>
      </c>
      <c r="EP199" s="62">
        <f t="shared" si="210"/>
        <v>197.07126167823969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20.294034546249403</v>
      </c>
      <c r="EW199" s="23">
        <f>EXP(-LN(2)/25)*EW198+(1-EXP(-LN(2)/25))/(LN(2)/25)*Calculateur!ER199*Calculateur!ET199*VLOOKUP('Données projet'!$B$15,Paramètres!$A$1:$I$89,3,0)*0.475*44/12</f>
        <v>1.2654644008268716</v>
      </c>
      <c r="EX199" s="23">
        <f>EXP(-LN(2)/2)*EX198+(1-EXP(-LN(2)/2))/(LN(2)/2)*ER199*EU199*VLOOKUP('Données projet'!$B$15,Paramètres!$A$1:$I$89,3,0)*0.475*44/12</f>
        <v>1.1040032032553448E-16</v>
      </c>
      <c r="EY199" s="24">
        <f t="shared" si="181"/>
        <v>21.559498947076275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1.1368683772161603E-13</v>
      </c>
      <c r="FF199" s="18">
        <f>FE199*VLOOKUP('Données projet'!$B$16,Paramètres!$A$1:$I$89,3,0)*VLOOKUP('Données projet'!$B$16,Paramètres!$A$1:$I$89,5,0)</f>
        <v>6.7984728957526396E-14</v>
      </c>
      <c r="FG199" s="14">
        <f t="shared" si="182"/>
        <v>1.0682447123141398E-12</v>
      </c>
      <c r="FH199" s="22">
        <f t="shared" si="183"/>
        <v>1.978932943548152E-12</v>
      </c>
      <c r="FI199" s="62">
        <f t="shared" si="199"/>
        <v>293.3333333333353</v>
      </c>
      <c r="FJ199" s="62">
        <f ca="1">AVERAGE(OFFSET($FI$3,0,0,'Données projet'!$E$16+1,1))-AVERAGE(OFFSET($H$3,0,0,'Données projet'!$E$16+1,1))</f>
        <v>330.48891719033065</v>
      </c>
      <c r="FK199" s="62">
        <f t="shared" si="211"/>
        <v>419.35494198427284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14.380651300020428</v>
      </c>
      <c r="FR199" s="23">
        <f>EXP(-LN(2)/25)*FR198+(1-EXP(-LN(2)/25))/(LN(2)/25)*Calculateur!FM199*Calculateur!FO199*VLOOKUP('Données projet'!$B$16,Paramètres!$A$1:$I$89,3,0)*0.475*44/12</f>
        <v>0.82764206796285245</v>
      </c>
      <c r="FS199" s="23">
        <f>EXP(-LN(2)/2)*FS198+(1-EXP(-LN(2)/2))/(LN(2)/2)*FM199*FP199*VLOOKUP('Données projet'!$B$16,Paramètres!$A$1:$I$89,3,0)*0.475*44/12</f>
        <v>2.942468171402019E-20</v>
      </c>
      <c r="FT199" s="24">
        <f t="shared" si="184"/>
        <v>15.208293367983281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>
        <f>FZ199*VLOOKUP('Données projet'!$B$17,Paramètres!$A$1:$I$89,3,0)*VLOOKUP('Données projet'!$B$17,Paramètres!$A$1:$I$89,5,0)</f>
        <v>0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132.18258156780018</v>
      </c>
      <c r="GF199" s="62">
        <f t="shared" si="212"/>
        <v>315.58133946947294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1.6199449499228658</v>
      </c>
      <c r="GM199" s="23">
        <f>EXP(-LN(2)/25)*GM198+(1-EXP(-LN(2)/25))/(LN(2)/25)*Calculateur!GH199*Calculateur!GJ199*VLOOKUP('Données projet'!$B$17,Paramètres!$A$1:$I$89,3,0)*0.475*44/12</f>
        <v>0.18604144962743668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1.8059863995503025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9">
        <f t="shared" si="192"/>
        <v>638.82114741674945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4.8316906031686813E-13</v>
      </c>
      <c r="O200" s="14">
        <f>N200*VLOOKUP('Données projet'!$B$9,Paramètres!$A$1:$I$89,3,0)*VLOOKUP('Données projet'!$B$9,Paramètres!$A$1:$I$89,5,0)</f>
        <v>4.3717136577470225E-13</v>
      </c>
      <c r="P200" s="14">
        <f t="shared" si="203"/>
        <v>5.5313598682231701E-12</v>
      </c>
      <c r="Q200" s="22">
        <f t="shared" si="162"/>
        <v>1.039519189921296E-11</v>
      </c>
      <c r="R200" s="62">
        <f t="shared" si="191"/>
        <v>293.33333333334372</v>
      </c>
      <c r="S200" s="62">
        <f ca="1">AVERAGE(OFFSET($R$3,0,0,'Données projet'!$E$9+1,1))-AVERAGE(OFFSET($H$3,0,0,'Données projet'!$E$9+1,1))</f>
        <v>401.86262166363821</v>
      </c>
      <c r="T200" s="62">
        <f t="shared" si="204"/>
        <v>208.60314230781432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178.51131462166933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178.51131462166933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6.8212102632969618E-13</v>
      </c>
      <c r="AJ200" s="14">
        <f>AI200*VLOOKUP('Données projet'!$B$10,Paramètres!$A$1:$I$89,3,0)*VLOOKUP('Données projet'!$B$10,Paramètres!$A$1:$I$89,5,0)</f>
        <v>7.3423507274128498E-13</v>
      </c>
      <c r="AK200" s="14">
        <f t="shared" si="164"/>
        <v>8.7458894232577541E-12</v>
      </c>
      <c r="AL200" s="22">
        <f t="shared" si="165"/>
        <v>1.6511216830531657E-11</v>
      </c>
      <c r="AM200" s="62">
        <f t="shared" si="193"/>
        <v>293.3333333333498</v>
      </c>
      <c r="AN200" s="62">
        <f ca="1">AVERAGE(OFFSET($AM$3,0,0,'Données projet'!$E$10+1,1))-AVERAGE(OFFSET($H$3,0,0,'Données projet'!$E$10+1,1))</f>
        <v>407.22515465568205</v>
      </c>
      <c r="AO200" s="62">
        <f t="shared" si="205"/>
        <v>251.6218558398258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45.746972482962803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45.746972482962803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6.8212102632969618E-13</v>
      </c>
      <c r="BE200" s="14">
        <f>BD200*VLOOKUP('Données projet'!$B$11,Paramètres!$A$1:$I$89,3,0)*VLOOKUP('Données projet'!$B$11,Paramètres!$A$1:$I$89,5,0)</f>
        <v>6.5974745666608208E-13</v>
      </c>
      <c r="BF200" s="14">
        <f t="shared" si="167"/>
        <v>7.9570891233345703E-12</v>
      </c>
      <c r="BG200" s="22">
        <f t="shared" si="168"/>
        <v>1.5007657043501137E-11</v>
      </c>
      <c r="BH200" s="62">
        <f t="shared" si="194"/>
        <v>293.33333333334832</v>
      </c>
      <c r="BI200" s="62">
        <f ca="1">AVERAGE(OFFSET($BH$3,0,0,'Données projet'!$E$11+1,1))-AVERAGE(OFFSET($H$3,0,0,'Données projet'!$E$11+1,1))</f>
        <v>357.76044008074308</v>
      </c>
      <c r="BJ200" s="62">
        <f t="shared" si="206"/>
        <v>224.26555772810445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41.105975274546303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41.105975274546303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6.8212102632969618E-13</v>
      </c>
      <c r="BZ200" s="14">
        <f>BY200*VLOOKUP('Données projet'!$B$12,Paramètres!$A$1:$I$89,3,0)*VLOOKUP('Données projet'!$B$12,Paramètres!$A$1:$I$89,5,0)</f>
        <v>4.5756678446196019E-13</v>
      </c>
      <c r="CA200" s="14">
        <f t="shared" si="170"/>
        <v>5.7587689306883675E-12</v>
      </c>
      <c r="CB200" s="22">
        <f t="shared" si="171"/>
        <v>1.0826784703886818E-11</v>
      </c>
      <c r="CC200" s="62">
        <f t="shared" si="195"/>
        <v>293.33333333334411</v>
      </c>
      <c r="CD200" s="62">
        <f ca="1">AVERAGE(OFFSET($CC$3,0,0,'Données projet'!$E$12+1,1))-AVERAGE(OFFSET($H$3,0,0,'Données projet'!$E$12+1,1))</f>
        <v>222.86701323374945</v>
      </c>
      <c r="CE200" s="62">
        <f t="shared" si="207"/>
        <v>149.63671045240511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35.138978863725093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35.138978863725093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8.5265128291212022E-14</v>
      </c>
      <c r="CU200" s="18">
        <f>CT200*VLOOKUP('Données projet'!$B$13,Paramètres!$A$1:$I$89,3,0)*VLOOKUP('Données projet'!$B$13,Paramètres!$A$1:$I$89,5,0)</f>
        <v>5.5865712056402117E-14</v>
      </c>
      <c r="CV200" s="14">
        <f t="shared" si="173"/>
        <v>8.9811031843713517E-13</v>
      </c>
      <c r="CW200" s="22">
        <f t="shared" si="174"/>
        <v>1.6615082531095774E-12</v>
      </c>
      <c r="CX200" s="62">
        <f t="shared" si="196"/>
        <v>293.33333333333496</v>
      </c>
      <c r="CY200" s="62">
        <f ca="1">AVERAGE(OFFSET($CX$3,0,0,'Données projet'!$E$13+1,1))-AVERAGE(OFFSET($H$3,0,0,'Données projet'!$E$13+1,1))</f>
        <v>173.15672762188746</v>
      </c>
      <c r="CZ200" s="62">
        <f t="shared" si="208"/>
        <v>208.54841796921414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9.8957921641892561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9.8957921641892561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269.18638759204373</v>
      </c>
      <c r="EP200" s="62">
        <f t="shared" si="210"/>
        <v>197.07126167823969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19.896080906936287</v>
      </c>
      <c r="EW200" s="23">
        <f>EXP(-LN(2)/25)*EW199+(1-EXP(-LN(2)/25))/(LN(2)/25)*Calculateur!ER200*Calculateur!ET200*VLOOKUP('Données projet'!$B$15,Paramètres!$A$1:$I$89,3,0)*0.475*44/12</f>
        <v>1.2308602102383803</v>
      </c>
      <c r="EX200" s="23">
        <f>EXP(-LN(2)/2)*EX199+(1-EXP(-LN(2)/2))/(LN(2)/2)*ER200*EU200*VLOOKUP('Données projet'!$B$15,Paramètres!$A$1:$I$89,3,0)*0.475*44/12</f>
        <v>7.8064815147352476E-17</v>
      </c>
      <c r="EY200" s="24">
        <f t="shared" si="181"/>
        <v>21.126941117174667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1.1368683772161603E-13</v>
      </c>
      <c r="FF200" s="18">
        <f>FE200*VLOOKUP('Données projet'!$B$16,Paramètres!$A$1:$I$89,3,0)*VLOOKUP('Données projet'!$B$16,Paramètres!$A$1:$I$89,5,0)</f>
        <v>6.7984728957526396E-14</v>
      </c>
      <c r="FG200" s="14">
        <f t="shared" si="182"/>
        <v>1.0682447123141398E-12</v>
      </c>
      <c r="FH200" s="22">
        <f t="shared" si="183"/>
        <v>1.978932943548152E-12</v>
      </c>
      <c r="FI200" s="62">
        <f t="shared" si="199"/>
        <v>293.3333333333353</v>
      </c>
      <c r="FJ200" s="62">
        <f ca="1">AVERAGE(OFFSET($FI$3,0,0,'Données projet'!$E$16+1,1))-AVERAGE(OFFSET($H$3,0,0,'Données projet'!$E$16+1,1))</f>
        <v>330.48891719033065</v>
      </c>
      <c r="FK200" s="62">
        <f t="shared" si="211"/>
        <v>419.35494198427284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14.098655499358223</v>
      </c>
      <c r="FR200" s="23">
        <f>EXP(-LN(2)/25)*FR199+(1-EXP(-LN(2)/25))/(LN(2)/25)*Calculateur!FM200*Calculateur!FO200*VLOOKUP('Données projet'!$B$16,Paramètres!$A$1:$I$89,3,0)*0.475*44/12</f>
        <v>0.80501015209060345</v>
      </c>
      <c r="FS200" s="23">
        <f>EXP(-LN(2)/2)*FS199+(1-EXP(-LN(2)/2))/(LN(2)/2)*FM200*FP200*VLOOKUP('Données projet'!$B$16,Paramètres!$A$1:$I$89,3,0)*0.475*44/12</f>
        <v>2.0806391974239481E-20</v>
      </c>
      <c r="FT200" s="24">
        <f t="shared" si="184"/>
        <v>14.903665651448826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>
        <f>FZ200*VLOOKUP('Données projet'!$B$17,Paramètres!$A$1:$I$89,3,0)*VLOOKUP('Données projet'!$B$17,Paramètres!$A$1:$I$89,5,0)</f>
        <v>0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132.18258156780018</v>
      </c>
      <c r="GF200" s="62">
        <f t="shared" si="212"/>
        <v>315.58133946947294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1.5881788175237341</v>
      </c>
      <c r="GM200" s="23">
        <f>EXP(-LN(2)/25)*GM199+(1-EXP(-LN(2)/25))/(LN(2)/25)*Calculateur!GH200*Calculateur!GJ200*VLOOKUP('Données projet'!$B$17,Paramètres!$A$1:$I$89,3,0)*0.475*44/12</f>
        <v>0.18095413640387981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1.7691329539276139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9">
        <f t="shared" si="192"/>
        <v>640.71538254914947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4.8316906031686813E-13</v>
      </c>
      <c r="O201" s="14">
        <f>N201*VLOOKUP('Données projet'!$B$9,Paramètres!$A$1:$I$89,3,0)*VLOOKUP('Données projet'!$B$9,Paramètres!$A$1:$I$89,5,0)</f>
        <v>4.3717136577470225E-13</v>
      </c>
      <c r="P201" s="14">
        <f t="shared" si="203"/>
        <v>5.5313598682231701E-12</v>
      </c>
      <c r="Q201" s="22">
        <f t="shared" si="162"/>
        <v>1.039519189921296E-11</v>
      </c>
      <c r="R201" s="62">
        <f t="shared" si="191"/>
        <v>293.33333333334372</v>
      </c>
      <c r="S201" s="62">
        <f ca="1">AVERAGE(OFFSET($R$3,0,0,'Données projet'!$E$9+1,1))-AVERAGE(OFFSET($H$3,0,0,'Données projet'!$E$9+1,1))</f>
        <v>401.86262166363821</v>
      </c>
      <c r="T201" s="62">
        <f t="shared" si="204"/>
        <v>208.60314230781432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175.0108166230892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175.0108166230892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6.8212102632969618E-13</v>
      </c>
      <c r="AJ201" s="14">
        <f>AI201*VLOOKUP('Données projet'!$B$10,Paramètres!$A$1:$I$89,3,0)*VLOOKUP('Données projet'!$B$10,Paramètres!$A$1:$I$89,5,0)</f>
        <v>7.3423507274128498E-13</v>
      </c>
      <c r="AK201" s="14">
        <f t="shared" si="164"/>
        <v>8.7458894232577541E-12</v>
      </c>
      <c r="AL201" s="22">
        <f t="shared" si="165"/>
        <v>1.6511216830531657E-11</v>
      </c>
      <c r="AM201" s="62">
        <f t="shared" si="193"/>
        <v>293.3333333333498</v>
      </c>
      <c r="AN201" s="62">
        <f ca="1">AVERAGE(OFFSET($AM$3,0,0,'Données projet'!$E$10+1,1))-AVERAGE(OFFSET($H$3,0,0,'Données projet'!$E$10+1,1))</f>
        <v>407.22515465568205</v>
      </c>
      <c r="AO201" s="62">
        <f t="shared" si="205"/>
        <v>251.6218558398258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44.849902255469935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44.849902255469935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6.8212102632969618E-13</v>
      </c>
      <c r="BE201" s="14">
        <f>BD201*VLOOKUP('Données projet'!$B$11,Paramètres!$A$1:$I$89,3,0)*VLOOKUP('Données projet'!$B$11,Paramètres!$A$1:$I$89,5,0)</f>
        <v>6.5974745666608208E-13</v>
      </c>
      <c r="BF201" s="14">
        <f t="shared" si="167"/>
        <v>7.9570891233345703E-12</v>
      </c>
      <c r="BG201" s="22">
        <f t="shared" si="168"/>
        <v>1.5007657043501137E-11</v>
      </c>
      <c r="BH201" s="62">
        <f t="shared" si="194"/>
        <v>293.33333333334832</v>
      </c>
      <c r="BI201" s="62">
        <f ca="1">AVERAGE(OFFSET($BH$3,0,0,'Données projet'!$E$11+1,1))-AVERAGE(OFFSET($H$3,0,0,'Données projet'!$E$11+1,1))</f>
        <v>357.76044008074308</v>
      </c>
      <c r="BJ201" s="62">
        <f t="shared" si="206"/>
        <v>224.26555772810445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40.299912171581695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40.299912171581695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6.8212102632969618E-13</v>
      </c>
      <c r="BZ201" s="14">
        <f>BY201*VLOOKUP('Données projet'!$B$12,Paramètres!$A$1:$I$89,3,0)*VLOOKUP('Données projet'!$B$12,Paramètres!$A$1:$I$89,5,0)</f>
        <v>4.5756678446196019E-13</v>
      </c>
      <c r="CA201" s="14">
        <f t="shared" si="170"/>
        <v>5.7587689306883675E-12</v>
      </c>
      <c r="CB201" s="22">
        <f t="shared" si="171"/>
        <v>1.0826784703886818E-11</v>
      </c>
      <c r="CC201" s="62">
        <f t="shared" si="195"/>
        <v>293.33333333334411</v>
      </c>
      <c r="CD201" s="62">
        <f ca="1">AVERAGE(OFFSET($CC$3,0,0,'Données projet'!$E$12+1,1))-AVERAGE(OFFSET($H$3,0,0,'Données projet'!$E$12+1,1))</f>
        <v>222.86701323374945</v>
      </c>
      <c r="CE201" s="62">
        <f t="shared" si="207"/>
        <v>149.63671045240511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34.449924920868249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34.449924920868249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8.5265128291212022E-14</v>
      </c>
      <c r="CU201" s="18">
        <f>CT201*VLOOKUP('Données projet'!$B$13,Paramètres!$A$1:$I$89,3,0)*VLOOKUP('Données projet'!$B$13,Paramètres!$A$1:$I$89,5,0)</f>
        <v>5.5865712056402117E-14</v>
      </c>
      <c r="CV201" s="14">
        <f t="shared" si="173"/>
        <v>8.9811031843713517E-13</v>
      </c>
      <c r="CW201" s="22">
        <f t="shared" si="174"/>
        <v>1.6615082531095774E-12</v>
      </c>
      <c r="CX201" s="62">
        <f t="shared" si="196"/>
        <v>293.33333333333496</v>
      </c>
      <c r="CY201" s="62">
        <f ca="1">AVERAGE(OFFSET($CX$3,0,0,'Données projet'!$E$13+1,1))-AVERAGE(OFFSET($H$3,0,0,'Données projet'!$E$13+1,1))</f>
        <v>173.15672762188746</v>
      </c>
      <c r="CZ201" s="62">
        <f t="shared" si="208"/>
        <v>208.54841796921414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9.7017417156867349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9.7017417156867349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269.18638759204373</v>
      </c>
      <c r="EP201" s="62">
        <f t="shared" si="210"/>
        <v>197.07126167823969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19.505930895762347</v>
      </c>
      <c r="EW201" s="23">
        <f>EXP(-LN(2)/25)*EW200+(1-EXP(-LN(2)/25))/(LN(2)/25)*Calculateur!ER201*Calculateur!ET201*VLOOKUP('Données projet'!$B$15,Paramètres!$A$1:$I$89,3,0)*0.475*44/12</f>
        <v>1.1972022730612866</v>
      </c>
      <c r="EX201" s="23">
        <f>EXP(-LN(2)/2)*EX200+(1-EXP(-LN(2)/2))/(LN(2)/2)*ER201*EU201*VLOOKUP('Données projet'!$B$15,Paramètres!$A$1:$I$89,3,0)*0.475*44/12</f>
        <v>5.5200160162767252E-17</v>
      </c>
      <c r="EY201" s="24">
        <f t="shared" si="181"/>
        <v>20.703133168823634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1.1368683772161603E-13</v>
      </c>
      <c r="FF201" s="18">
        <f>FE201*VLOOKUP('Données projet'!$B$16,Paramètres!$A$1:$I$89,3,0)*VLOOKUP('Données projet'!$B$16,Paramètres!$A$1:$I$89,5,0)</f>
        <v>6.7984728957526396E-14</v>
      </c>
      <c r="FG201" s="14">
        <f t="shared" si="182"/>
        <v>1.0682447123141398E-12</v>
      </c>
      <c r="FH201" s="22">
        <f t="shared" si="183"/>
        <v>1.978932943548152E-12</v>
      </c>
      <c r="FI201" s="62">
        <f t="shared" si="199"/>
        <v>293.3333333333353</v>
      </c>
      <c r="FJ201" s="62">
        <f ca="1">AVERAGE(OFFSET($FI$3,0,0,'Données projet'!$E$16+1,1))-AVERAGE(OFFSET($H$3,0,0,'Données projet'!$E$16+1,1))</f>
        <v>330.48891719033065</v>
      </c>
      <c r="FK201" s="62">
        <f t="shared" si="211"/>
        <v>419.35494198427284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13.82218946434655</v>
      </c>
      <c r="FR201" s="23">
        <f>EXP(-LN(2)/25)*FR200+(1-EXP(-LN(2)/25))/(LN(2)/25)*Calculateur!FM201*Calculateur!FO201*VLOOKUP('Données projet'!$B$16,Paramètres!$A$1:$I$89,3,0)*0.475*44/12</f>
        <v>0.78299710714804183</v>
      </c>
      <c r="FS201" s="23">
        <f>EXP(-LN(2)/2)*FS200+(1-EXP(-LN(2)/2))/(LN(2)/2)*FM201*FP201*VLOOKUP('Données projet'!$B$16,Paramètres!$A$1:$I$89,3,0)*0.475*44/12</f>
        <v>1.4712340857010095E-20</v>
      </c>
      <c r="FT201" s="24">
        <f t="shared" si="184"/>
        <v>14.605186571494592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>
        <f>FZ201*VLOOKUP('Données projet'!$B$17,Paramètres!$A$1:$I$89,3,0)*VLOOKUP('Données projet'!$B$17,Paramètres!$A$1:$I$89,5,0)</f>
        <v>0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132.18258156780018</v>
      </c>
      <c r="GF201" s="62">
        <f t="shared" si="212"/>
        <v>315.58133946947294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1.5570355996055218</v>
      </c>
      <c r="GM201" s="23">
        <f>EXP(-LN(2)/25)*GM200+(1-EXP(-LN(2)/25))/(LN(2)/25)*Calculateur!GH201*Calculateur!GJ201*VLOOKUP('Données projet'!$B$17,Paramètres!$A$1:$I$89,3,0)*0.475*44/12</f>
        <v>0.17600593602795125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1.7330415356334732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9">
        <f t="shared" si="192"/>
        <v>642.60941460168146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4.8316906031686813E-13</v>
      </c>
      <c r="O202" s="14">
        <f>N202*VLOOKUP('Données projet'!$B$9,Paramètres!$A$1:$I$89,3,0)*VLOOKUP('Données projet'!$B$9,Paramètres!$A$1:$I$89,5,0)</f>
        <v>4.3717136577470225E-13</v>
      </c>
      <c r="P202" s="14">
        <f t="shared" si="203"/>
        <v>5.5313598682231701E-12</v>
      </c>
      <c r="Q202" s="22">
        <f t="shared" si="162"/>
        <v>1.039519189921296E-11</v>
      </c>
      <c r="R202" s="62">
        <f t="shared" si="191"/>
        <v>293.33333333334372</v>
      </c>
      <c r="S202" s="62">
        <f ca="1">AVERAGE(OFFSET($R$3,0,0,'Données projet'!$E$9+1,1))-AVERAGE(OFFSET($H$3,0,0,'Données projet'!$E$9+1,1))</f>
        <v>401.86262166363821</v>
      </c>
      <c r="T202" s="62">
        <f t="shared" si="204"/>
        <v>208.60314230781432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171.57896125516825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171.57896125516825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6.8212102632969618E-13</v>
      </c>
      <c r="AJ202" s="14">
        <f>AI202*VLOOKUP('Données projet'!$B$10,Paramètres!$A$1:$I$89,3,0)*VLOOKUP('Données projet'!$B$10,Paramètres!$A$1:$I$89,5,0)</f>
        <v>7.3423507274128498E-13</v>
      </c>
      <c r="AK202" s="14">
        <f t="shared" si="164"/>
        <v>8.7458894232577541E-12</v>
      </c>
      <c r="AL202" s="22">
        <f t="shared" si="165"/>
        <v>1.6511216830531657E-11</v>
      </c>
      <c r="AM202" s="62">
        <f t="shared" si="193"/>
        <v>293.3333333333498</v>
      </c>
      <c r="AN202" s="62">
        <f ca="1">AVERAGE(OFFSET($AM$3,0,0,'Données projet'!$E$10+1,1))-AVERAGE(OFFSET($H$3,0,0,'Données projet'!$E$10+1,1))</f>
        <v>407.22515465568205</v>
      </c>
      <c r="AO202" s="62">
        <f t="shared" si="205"/>
        <v>251.6218558398258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43.970423027979393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43.970423027979393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6.8212102632969618E-13</v>
      </c>
      <c r="BE202" s="14">
        <f>BD202*VLOOKUP('Données projet'!$B$11,Paramètres!$A$1:$I$89,3,0)*VLOOKUP('Données projet'!$B$11,Paramètres!$A$1:$I$89,5,0)</f>
        <v>6.5974745666608208E-13</v>
      </c>
      <c r="BF202" s="14">
        <f t="shared" si="167"/>
        <v>7.9570891233345703E-12</v>
      </c>
      <c r="BG202" s="22">
        <f t="shared" si="168"/>
        <v>1.5007657043501137E-11</v>
      </c>
      <c r="BH202" s="62">
        <f t="shared" si="194"/>
        <v>293.33333333334832</v>
      </c>
      <c r="BI202" s="62">
        <f ca="1">AVERAGE(OFFSET($BH$3,0,0,'Données projet'!$E$11+1,1))-AVERAGE(OFFSET($H$3,0,0,'Données projet'!$E$11+1,1))</f>
        <v>357.76044008074308</v>
      </c>
      <c r="BJ202" s="62">
        <f t="shared" si="206"/>
        <v>224.26555772810445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39.509655474416277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39.509655474416277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6.8212102632969618E-13</v>
      </c>
      <c r="BZ202" s="14">
        <f>BY202*VLOOKUP('Données projet'!$B$12,Paramètres!$A$1:$I$89,3,0)*VLOOKUP('Données projet'!$B$12,Paramètres!$A$1:$I$89,5,0)</f>
        <v>4.5756678446196019E-13</v>
      </c>
      <c r="CA202" s="14">
        <f t="shared" si="170"/>
        <v>5.7587689306883675E-12</v>
      </c>
      <c r="CB202" s="22">
        <f t="shared" si="171"/>
        <v>1.0826784703886818E-11</v>
      </c>
      <c r="CC202" s="62">
        <f t="shared" si="195"/>
        <v>293.33333333334411</v>
      </c>
      <c r="CD202" s="62">
        <f ca="1">AVERAGE(OFFSET($CC$3,0,0,'Données projet'!$E$12+1,1))-AVERAGE(OFFSET($H$3,0,0,'Données projet'!$E$12+1,1))</f>
        <v>222.86701323374945</v>
      </c>
      <c r="CE202" s="62">
        <f t="shared" si="207"/>
        <v>149.63671045240511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33.774382905549423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33.774382905549423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8.5265128291212022E-14</v>
      </c>
      <c r="CU202" s="18">
        <f>CT202*VLOOKUP('Données projet'!$B$13,Paramètres!$A$1:$I$89,3,0)*VLOOKUP('Données projet'!$B$13,Paramètres!$A$1:$I$89,5,0)</f>
        <v>5.5865712056402117E-14</v>
      </c>
      <c r="CV202" s="14">
        <f t="shared" si="173"/>
        <v>8.9811031843713517E-13</v>
      </c>
      <c r="CW202" s="22">
        <f t="shared" si="174"/>
        <v>1.6615082531095774E-12</v>
      </c>
      <c r="CX202" s="62">
        <f t="shared" si="196"/>
        <v>293.33333333333496</v>
      </c>
      <c r="CY202" s="62">
        <f ca="1">AVERAGE(OFFSET($CX$3,0,0,'Données projet'!$E$13+1,1))-AVERAGE(OFFSET($H$3,0,0,'Données projet'!$E$13+1,1))</f>
        <v>173.15672762188746</v>
      </c>
      <c r="CZ202" s="62">
        <f t="shared" si="208"/>
        <v>208.54841796921414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9.5114964781202627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9.5114964781202627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269.18638759204373</v>
      </c>
      <c r="EP202" s="62">
        <f t="shared" si="210"/>
        <v>197.07126167823969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19.12343148833952</v>
      </c>
      <c r="EW202" s="23">
        <f>EXP(-LN(2)/25)*EW201+(1-EXP(-LN(2)/25))/(LN(2)/25)*Calculateur!ER202*Calculateur!ET202*VLOOKUP('Données projet'!$B$15,Paramètres!$A$1:$I$89,3,0)*0.475*44/12</f>
        <v>1.1644647139462945</v>
      </c>
      <c r="EX202" s="23">
        <f>EXP(-LN(2)/2)*EX201+(1-EXP(-LN(2)/2))/(LN(2)/2)*ER202*EU202*VLOOKUP('Données projet'!$B$15,Paramètres!$A$1:$I$89,3,0)*0.475*44/12</f>
        <v>3.9032407573676244E-17</v>
      </c>
      <c r="EY202" s="24">
        <f t="shared" si="181"/>
        <v>20.287896202285815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1.1368683772161603E-13</v>
      </c>
      <c r="FF202" s="18">
        <f>FE202*VLOOKUP('Données projet'!$B$16,Paramètres!$A$1:$I$89,3,0)*VLOOKUP('Données projet'!$B$16,Paramètres!$A$1:$I$89,5,0)</f>
        <v>6.7984728957526396E-14</v>
      </c>
      <c r="FG202" s="14">
        <f t="shared" si="182"/>
        <v>1.0682447123141398E-12</v>
      </c>
      <c r="FH202" s="22">
        <f t="shared" si="183"/>
        <v>1.978932943548152E-12</v>
      </c>
      <c r="FI202" s="62">
        <f t="shared" si="199"/>
        <v>293.3333333333353</v>
      </c>
      <c r="FJ202" s="62">
        <f ca="1">AVERAGE(OFFSET($FI$3,0,0,'Données projet'!$E$16+1,1))-AVERAGE(OFFSET($H$3,0,0,'Données projet'!$E$16+1,1))</f>
        <v>330.48891719033065</v>
      </c>
      <c r="FK202" s="62">
        <f t="shared" si="211"/>
        <v>419.35494198427284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13.551144759653825</v>
      </c>
      <c r="FR202" s="23">
        <f>EXP(-LN(2)/25)*FR201+(1-EXP(-LN(2)/25))/(LN(2)/25)*Calculateur!FM202*Calculateur!FO202*VLOOKUP('Données projet'!$B$16,Paramètres!$A$1:$I$89,3,0)*0.475*44/12</f>
        <v>0.76158601007705029</v>
      </c>
      <c r="FS202" s="23">
        <f>EXP(-LN(2)/2)*FS201+(1-EXP(-LN(2)/2))/(LN(2)/2)*FM202*FP202*VLOOKUP('Données projet'!$B$16,Paramètres!$A$1:$I$89,3,0)*0.475*44/12</f>
        <v>1.040319598711974E-20</v>
      </c>
      <c r="FT202" s="24">
        <f t="shared" si="184"/>
        <v>14.312730769730875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>
        <f>FZ202*VLOOKUP('Données projet'!$B$17,Paramètres!$A$1:$I$89,3,0)*VLOOKUP('Données projet'!$B$17,Paramètres!$A$1:$I$89,5,0)</f>
        <v>0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132.18258156780018</v>
      </c>
      <c r="GF202" s="62">
        <f t="shared" si="212"/>
        <v>315.58133946947294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1.5265030811951985</v>
      </c>
      <c r="GM202" s="23">
        <f>EXP(-LN(2)/25)*GM201+(1-EXP(-LN(2)/25))/(LN(2)/25)*Calculateur!GH202*Calculateur!GJ202*VLOOKUP('Données projet'!$B$17,Paramètres!$A$1:$I$89,3,0)*0.475*44/12</f>
        <v>0.17119304445151701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1.6976961256467156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9">
        <f t="shared" si="192"/>
        <v>644.5032447133101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4.8316906031686813E-13</v>
      </c>
      <c r="O203" s="14">
        <f>N203*VLOOKUP('Données projet'!$B$9,Paramètres!$A$1:$I$89,3,0)*VLOOKUP('Données projet'!$B$9,Paramètres!$A$1:$I$89,5,0)</f>
        <v>4.3717136577470225E-13</v>
      </c>
      <c r="P203" s="14">
        <f t="shared" si="203"/>
        <v>5.5313598682231701E-12</v>
      </c>
      <c r="Q203" s="22">
        <f t="shared" si="162"/>
        <v>1.039519189921296E-11</v>
      </c>
      <c r="R203" s="62">
        <f t="shared" si="191"/>
        <v>293.33333333334372</v>
      </c>
      <c r="S203" s="62">
        <f ca="1">AVERAGE(OFFSET($R$3,0,0,'Données projet'!$E$9+1,1))-AVERAGE(OFFSET($H$3,0,0,'Données projet'!$E$9+1,1))</f>
        <v>401.86262166363821</v>
      </c>
      <c r="T203" s="62">
        <f t="shared" si="204"/>
        <v>208.60314230781432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168.21440247778716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168.21440247778716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6.8212102632969618E-13</v>
      </c>
      <c r="AJ203" s="14">
        <f>AI203*VLOOKUP('Données projet'!$B$10,Paramètres!$A$1:$I$89,3,0)*VLOOKUP('Données projet'!$B$10,Paramètres!$A$1:$I$89,5,0)</f>
        <v>7.3423507274128498E-13</v>
      </c>
      <c r="AK203" s="14">
        <f t="shared" si="164"/>
        <v>8.7458894232577541E-12</v>
      </c>
      <c r="AL203" s="22">
        <f t="shared" si="165"/>
        <v>1.6511216830531657E-11</v>
      </c>
      <c r="AM203" s="62">
        <f t="shared" si="193"/>
        <v>293.3333333333498</v>
      </c>
      <c r="AN203" s="62">
        <f ca="1">AVERAGE(OFFSET($AM$3,0,0,'Données projet'!$E$10+1,1))-AVERAGE(OFFSET($H$3,0,0,'Données projet'!$E$10+1,1))</f>
        <v>407.22515465568205</v>
      </c>
      <c r="AO203" s="62">
        <f t="shared" si="205"/>
        <v>251.6218558398258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43.108189851710577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43.108189851710577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6.8212102632969618E-13</v>
      </c>
      <c r="BE203" s="14">
        <f>BD203*VLOOKUP('Données projet'!$B$11,Paramètres!$A$1:$I$89,3,0)*VLOOKUP('Données projet'!$B$11,Paramètres!$A$1:$I$89,5,0)</f>
        <v>6.5974745666608208E-13</v>
      </c>
      <c r="BF203" s="14">
        <f t="shared" si="167"/>
        <v>7.9570891233345703E-12</v>
      </c>
      <c r="BG203" s="22">
        <f t="shared" si="168"/>
        <v>1.5007657043501137E-11</v>
      </c>
      <c r="BH203" s="62">
        <f t="shared" si="194"/>
        <v>293.33333333334832</v>
      </c>
      <c r="BI203" s="62">
        <f ca="1">AVERAGE(OFFSET($BH$3,0,0,'Données projet'!$E$11+1,1))-AVERAGE(OFFSET($H$3,0,0,'Données projet'!$E$11+1,1))</f>
        <v>357.76044008074308</v>
      </c>
      <c r="BJ203" s="62">
        <f t="shared" si="206"/>
        <v>224.26555772810445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38.734895229073281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38.734895229073281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6.8212102632969618E-13</v>
      </c>
      <c r="BZ203" s="14">
        <f>BY203*VLOOKUP('Données projet'!$B$12,Paramètres!$A$1:$I$89,3,0)*VLOOKUP('Données projet'!$B$12,Paramètres!$A$1:$I$89,5,0)</f>
        <v>4.5756678446196019E-13</v>
      </c>
      <c r="CA203" s="14">
        <f t="shared" si="170"/>
        <v>5.7587689306883675E-12</v>
      </c>
      <c r="CB203" s="22">
        <f t="shared" si="171"/>
        <v>1.0826784703886818E-11</v>
      </c>
      <c r="CC203" s="62">
        <f t="shared" si="195"/>
        <v>293.33333333334411</v>
      </c>
      <c r="CD203" s="62">
        <f ca="1">AVERAGE(OFFSET($CC$3,0,0,'Données projet'!$E$12+1,1))-AVERAGE(OFFSET($H$3,0,0,'Données projet'!$E$12+1,1))</f>
        <v>222.86701323374945</v>
      </c>
      <c r="CE203" s="62">
        <f t="shared" si="207"/>
        <v>149.63671045240511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33.112087857111057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33.112087857111057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8.5265128291212022E-14</v>
      </c>
      <c r="CU203" s="18">
        <f>CT203*VLOOKUP('Données projet'!$B$13,Paramètres!$A$1:$I$89,3,0)*VLOOKUP('Données projet'!$B$13,Paramètres!$A$1:$I$89,5,0)</f>
        <v>5.5865712056402117E-14</v>
      </c>
      <c r="CV203" s="14">
        <f t="shared" si="173"/>
        <v>8.9811031843713517E-13</v>
      </c>
      <c r="CW203" s="22">
        <f t="shared" si="174"/>
        <v>1.6615082531095774E-12</v>
      </c>
      <c r="CX203" s="62">
        <f t="shared" si="196"/>
        <v>293.33333333333496</v>
      </c>
      <c r="CY203" s="62">
        <f ca="1">AVERAGE(OFFSET($CX$3,0,0,'Données projet'!$E$13+1,1))-AVERAGE(OFFSET($H$3,0,0,'Données projet'!$E$13+1,1))</f>
        <v>173.15672762188746</v>
      </c>
      <c r="CZ203" s="62">
        <f t="shared" si="208"/>
        <v>208.54841796921414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9.3249818336243315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9.3249818336243315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269.18638759204373</v>
      </c>
      <c r="EP203" s="62">
        <f t="shared" si="210"/>
        <v>197.07126167823969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18.748432660994652</v>
      </c>
      <c r="EW203" s="23">
        <f>EXP(-LN(2)/25)*EW202+(1-EXP(-LN(2)/25))/(LN(2)/25)*Calculateur!ER203*Calculateur!ET203*VLOOKUP('Données projet'!$B$15,Paramètres!$A$1:$I$89,3,0)*0.475*44/12</f>
        <v>1.1326223651068952</v>
      </c>
      <c r="EX203" s="23">
        <f>EXP(-LN(2)/2)*EX202+(1-EXP(-LN(2)/2))/(LN(2)/2)*ER203*EU203*VLOOKUP('Données projet'!$B$15,Paramètres!$A$1:$I$89,3,0)*0.475*44/12</f>
        <v>2.7600080081383629E-17</v>
      </c>
      <c r="EY203" s="24">
        <f t="shared" si="181"/>
        <v>19.881055026101546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1.1368683772161603E-13</v>
      </c>
      <c r="FF203" s="18">
        <f>FE203*VLOOKUP('Données projet'!$B$16,Paramètres!$A$1:$I$89,3,0)*VLOOKUP('Données projet'!$B$16,Paramètres!$A$1:$I$89,5,0)</f>
        <v>6.7984728957526396E-14</v>
      </c>
      <c r="FG203" s="14">
        <f t="shared" si="182"/>
        <v>1.0682447123141398E-12</v>
      </c>
      <c r="FH203" s="22">
        <f t="shared" si="183"/>
        <v>1.978932943548152E-12</v>
      </c>
      <c r="FI203" s="62">
        <f t="shared" si="199"/>
        <v>293.3333333333353</v>
      </c>
      <c r="FJ203" s="62">
        <f ca="1">AVERAGE(OFFSET($FI$3,0,0,'Données projet'!$E$16+1,1))-AVERAGE(OFFSET($H$3,0,0,'Données projet'!$E$16+1,1))</f>
        <v>330.48891719033065</v>
      </c>
      <c r="FK203" s="62">
        <f t="shared" si="211"/>
        <v>419.35494198427284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13.285415076299179</v>
      </c>
      <c r="FR203" s="23">
        <f>EXP(-LN(2)/25)*FR202+(1-EXP(-LN(2)/25))/(LN(2)/25)*Calculateur!FM203*Calculateur!FO203*VLOOKUP('Données projet'!$B$16,Paramètres!$A$1:$I$89,3,0)*0.475*44/12</f>
        <v>0.74076040058142567</v>
      </c>
      <c r="FS203" s="23">
        <f>EXP(-LN(2)/2)*FS202+(1-EXP(-LN(2)/2))/(LN(2)/2)*FM203*FP203*VLOOKUP('Données projet'!$B$16,Paramètres!$A$1:$I$89,3,0)*0.475*44/12</f>
        <v>7.3561704285050474E-21</v>
      </c>
      <c r="FT203" s="24">
        <f t="shared" si="184"/>
        <v>14.026175476880605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>
        <f>FZ203*VLOOKUP('Données projet'!$B$17,Paramètres!$A$1:$I$89,3,0)*VLOOKUP('Données projet'!$B$17,Paramètres!$A$1:$I$89,5,0)</f>
        <v>0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132.18258156780018</v>
      </c>
      <c r="GF203" s="62">
        <f t="shared" si="212"/>
        <v>315.58133946947294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1.4965692868479041</v>
      </c>
      <c r="GM203" s="23">
        <f>EXP(-LN(2)/25)*GM202+(1-EXP(-LN(2)/25))/(LN(2)/25)*Calculateur!GH203*Calculateur!GJ203*VLOOKUP('Données projet'!$B$17,Paramètres!$A$1:$I$89,3,0)*0.475*44/12</f>
        <v>0.16651176164833933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1.6630810484962435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6" thickBot="1" x14ac:dyDescent="0.25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1.1289835501862808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1.1289835501862808</v>
      </c>
      <c r="BA205" s="87">
        <f>EXP(LN('Données projet'!B88)/'Données projet'!A88)</f>
        <v>1.1289835501862808</v>
      </c>
      <c r="BV205" s="87">
        <f>EXP(LN('Données projet'!B114)/'Données projet'!A114)</f>
        <v>1.1289835501862808</v>
      </c>
      <c r="CQ205" s="87">
        <f>EXP(LN('Données projet'!B140)/'Données projet'!A140)</f>
        <v>1.2709816152101407</v>
      </c>
      <c r="DL205" s="87" t="e">
        <f>EXP(LN('Données projet'!B166)/'Données projet'!A166)</f>
        <v>#NUM!</v>
      </c>
      <c r="EG205" s="87">
        <f>EXP(LN('Données projet'!B192)/'Données projet'!A192)</f>
        <v>1.2472301622014093</v>
      </c>
      <c r="FB205" s="87">
        <f>EXP(LN('Données projet'!B218)/'Données projet'!A218)</f>
        <v>1.3920038484156163</v>
      </c>
      <c r="FW205" s="87">
        <f>EXP(LN('Données projet'!B244)/'Données projet'!A244)</f>
        <v>1.2968395546510096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4" t="s">
        <v>238</v>
      </c>
      <c r="P2" s="128">
        <v>0</v>
      </c>
    </row>
    <row r="3" spans="1:16" ht="16" thickBot="1" x14ac:dyDescent="0.2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5"/>
      <c r="P3" s="135">
        <v>0.2</v>
      </c>
    </row>
    <row r="4" spans="1:16" ht="16" thickBot="1" x14ac:dyDescent="0.2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4" t="s">
        <v>237</v>
      </c>
      <c r="P5" s="128">
        <v>0</v>
      </c>
    </row>
    <row r="6" spans="1:16" x14ac:dyDescent="0.2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6"/>
      <c r="P6" s="136">
        <v>0.05</v>
      </c>
    </row>
    <row r="7" spans="1:16" x14ac:dyDescent="0.2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6"/>
      <c r="P7" s="136">
        <v>0.1</v>
      </c>
    </row>
    <row r="8" spans="1:16" ht="16" thickBot="1" x14ac:dyDescent="0.2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5"/>
      <c r="P8" s="135">
        <v>0.15</v>
      </c>
    </row>
    <row r="9" spans="1:16" ht="16" thickBot="1" x14ac:dyDescent="0.2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4" t="s">
        <v>236</v>
      </c>
      <c r="P10" s="128">
        <v>0</v>
      </c>
    </row>
    <row r="11" spans="1:16" ht="16" thickBot="1" x14ac:dyDescent="0.2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5"/>
      <c r="P11" s="135">
        <v>0.1</v>
      </c>
    </row>
    <row r="12" spans="1:16" x14ac:dyDescent="0.2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2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6" thickBot="1" x14ac:dyDescent="0.2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">
      <c r="A93" s="129" t="s">
        <v>208</v>
      </c>
    </row>
    <row r="94" spans="1:14" x14ac:dyDescent="0.2">
      <c r="A94" s="129" t="s">
        <v>209</v>
      </c>
    </row>
    <row r="95" spans="1:14" x14ac:dyDescent="0.2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3" zoomScale="90" zoomScaleNormal="90" workbookViewId="0">
      <selection activeCell="L30" sqref="L30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28"/>
      <c r="J3" s="228"/>
      <c r="K3" s="228"/>
      <c r="L3" s="228"/>
      <c r="M3" s="228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28"/>
      <c r="J4" s="228"/>
      <c r="K4" s="228"/>
      <c r="L4" s="228"/>
      <c r="M4" s="228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2" t="str">
        <f>IF('Données projet'!$B$9="","",'Données projet'!$B$9)</f>
        <v>Chêne sessile</v>
      </c>
      <c r="B6" s="153">
        <f>'Données projet'!D9</f>
        <v>1.5000028522</v>
      </c>
      <c r="C6" s="154">
        <f ca="1">IF(OR('Données projet'!B9="",'Données projet'!C9="",'Données projet'!C9=0%),0,Calculateur!S3)</f>
        <v>401.86262166363821</v>
      </c>
      <c r="D6" s="154">
        <f>IF(OR('Données projet'!B9="",'Données projet'!C9="",'Données projet'!C9=0%),0,Calculateur!T3)</f>
        <v>208.60314230781432</v>
      </c>
      <c r="E6" s="154">
        <f ca="1">MIN(C6,D6)</f>
        <v>208.60314230781432</v>
      </c>
      <c r="F6" s="154">
        <f ca="1">E6*B6</f>
        <v>312.90530843960397</v>
      </c>
      <c r="G6" s="154">
        <f ca="1">F6*(100%-'Données projet'!$C$24)*(100%-'Données projet'!$C$25)*(100%-'Données projet'!$C$26)*(100%-'Données projet'!$C$27)</f>
        <v>239.37256095629706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</v>
      </c>
      <c r="K6" s="158">
        <f>J6*(100%-'Données projet'!$C$24)*(100%-'Données projet'!$C$25)*(100%-'Données projet'!$C$26)*(100%-'Données projet'!$C$27)</f>
        <v>0</v>
      </c>
      <c r="L6" s="159">
        <f ca="1">G6+I6+K6</f>
        <v>239.37256095629706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0" t="str">
        <f>IF('Données projet'!$B$10="","",'Données projet'!$B$10)</f>
        <v>Cormier</v>
      </c>
      <c r="B7" s="161">
        <f>'Données projet'!D10</f>
        <v>0.12875298260000001</v>
      </c>
      <c r="C7" s="154">
        <f ca="1">IF(OR('Données projet'!B10="",'Données projet'!C10="",'Données projet'!C10=0%),0,Calculateur!AN3)</f>
        <v>407.22515465568205</v>
      </c>
      <c r="D7" s="154">
        <f>IF(OR('Données projet'!B10="",'Données projet'!C10="",'Données projet'!C10=0%),0,Calculateur!AO3)</f>
        <v>251.6218558398258</v>
      </c>
      <c r="E7" s="154">
        <f t="shared" ref="E7:E15" ca="1" si="0">MIN(C7,D7)</f>
        <v>251.6218558398258</v>
      </c>
      <c r="F7" s="154">
        <f t="shared" ref="F7:F15" ca="1" si="1">E7*B7</f>
        <v>32.397064426724803</v>
      </c>
      <c r="G7" s="154">
        <f ca="1">F7*(100%-'Données projet'!$C$24)*(100%-'Données projet'!$C$25)*(100%-'Données projet'!$C$26)*(100%-'Données projet'!$C$27)</f>
        <v>24.783754286444477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0</v>
      </c>
      <c r="K7" s="158">
        <f>J7*(100%-'Données projet'!$C$24)*(100%-'Données projet'!$C$25)*(100%-'Données projet'!$C$26)*(100%-'Données projet'!$C$27)</f>
        <v>0</v>
      </c>
      <c r="L7" s="159">
        <f t="shared" ref="L7:L15" ca="1" si="2">G7+I7+K7</f>
        <v>24.783754286444477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0" t="str">
        <f>IF('Données projet'!$B$11="","",'Données projet'!$B$11)</f>
        <v>Alisier torminal</v>
      </c>
      <c r="B8" s="161">
        <f>'Données projet'!D11</f>
        <v>0.12875298260000001</v>
      </c>
      <c r="C8" s="154">
        <f ca="1">IF(OR('Données projet'!B11="",'Données projet'!C11="",'Données projet'!C11=0%),0,Calculateur!BI3)</f>
        <v>357.76044008074308</v>
      </c>
      <c r="D8" s="154">
        <f>IF(OR('Données projet'!B11="",'Données projet'!C11="",'Données projet'!C11=0%),0,Calculateur!BJ3)</f>
        <v>224.26555772810445</v>
      </c>
      <c r="E8" s="154">
        <f t="shared" ca="1" si="0"/>
        <v>224.26555772810445</v>
      </c>
      <c r="F8" s="154">
        <f t="shared" ca="1" si="1"/>
        <v>28.87485945194593</v>
      </c>
      <c r="G8" s="154">
        <f ca="1">F8*(100%-'Données projet'!$C$24)*(100%-'Données projet'!$C$25)*(100%-'Données projet'!$C$26)*(100%-'Données projet'!$C$27)</f>
        <v>22.089267480738638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0</v>
      </c>
      <c r="K8" s="158">
        <f>J8*(100%-'Données projet'!$C$24)*(100%-'Données projet'!$C$25)*(100%-'Données projet'!$C$26)*(100%-'Données projet'!$C$27)</f>
        <v>0</v>
      </c>
      <c r="L8" s="159">
        <f t="shared" ca="1" si="2"/>
        <v>22.089267480738638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0" t="str">
        <f>IF('Données projet'!$B$12="","",'Données projet'!$B$12)</f>
        <v>Tilleul</v>
      </c>
      <c r="B9" s="161">
        <f>'Données projet'!D12</f>
        <v>0.12875298260000001</v>
      </c>
      <c r="C9" s="154">
        <f ca="1">IF(OR('Données projet'!B12="",'Données projet'!C12="",'Données projet'!C12=0%),0,Calculateur!CD3)</f>
        <v>222.86701323374945</v>
      </c>
      <c r="D9" s="154">
        <f>IF(OR('Données projet'!B12="",'Données projet'!C12="",'Données projet'!C12=0%),0,Calculateur!CE3)</f>
        <v>149.63671045240511</v>
      </c>
      <c r="E9" s="154">
        <f t="shared" ca="1" si="0"/>
        <v>149.63671045240511</v>
      </c>
      <c r="F9" s="154">
        <f t="shared" ca="1" si="1"/>
        <v>19.266172777199756</v>
      </c>
      <c r="G9" s="154">
        <f ca="1">F9*(100%-'Données projet'!$C$24)*(100%-'Données projet'!$C$25)*(100%-'Données projet'!$C$26)*(100%-'Données projet'!$C$27)</f>
        <v>14.738622174557815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ca="1" si="2"/>
        <v>14.738622174557815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0" t="str">
        <f>IF('Données projet'!$B$13="","",'Données projet'!$B$13)</f>
        <v>Aulne glutineux</v>
      </c>
      <c r="B10" s="161">
        <f>'Données projet'!D13</f>
        <v>0.12875298260000001</v>
      </c>
      <c r="C10" s="154">
        <f ca="1">IF(OR('Données projet'!B13="",'Données projet'!C13="",'Données projet'!C13=0%),0,Calculateur!CY3)</f>
        <v>173.15672762188746</v>
      </c>
      <c r="D10" s="154">
        <f>IF(OR('Données projet'!B13="",'Données projet'!C13="",'Données projet'!C13=0%),0,Calculateur!CZ3)</f>
        <v>208.54841796921414</v>
      </c>
      <c r="E10" s="154">
        <f t="shared" ca="1" si="0"/>
        <v>173.15672762188746</v>
      </c>
      <c r="F10" s="154">
        <f t="shared" ca="1" si="1"/>
        <v>22.294445138573817</v>
      </c>
      <c r="G10" s="154">
        <f ca="1">F10*(100%-'Données projet'!$C$24)*(100%-'Données projet'!$C$25)*(100%-'Données projet'!$C$26)*(100%-'Données projet'!$C$27)</f>
        <v>17.055250531008969</v>
      </c>
      <c r="H10" s="162">
        <f>IF(OR('Données projet'!B13="",'Données projet'!C13="",'Données projet'!C13=0%),0,AVERAGE(Calculateur!$DI$3:$DI$33)*B10)</f>
        <v>5.9503551961077898E-3</v>
      </c>
      <c r="I10" s="156">
        <f>H10*(100%-'Données projet'!$C$24)*(100%-'Données projet'!$C$25)*(100%-'Données projet'!$C$26)*(100%-'Données projet'!$C$27)</f>
        <v>4.5520217250224594E-3</v>
      </c>
      <c r="J10" s="157">
        <f>IF(OR('Données projet'!B13="",'Données projet'!C13="",'Données projet'!C13=0%),0,SUM(Calculateur!$DB$3:$DB$33)*VLOOKUP('Données projet'!$B$13,Paramètres!$A$1:$I$89,9,0)*B10)</f>
        <v>1.8991064933500001</v>
      </c>
      <c r="K10" s="158">
        <f>J10*(100%-'Données projet'!$C$24)*(100%-'Données projet'!$C$25)*(100%-'Données projet'!$C$26)*(100%-'Données projet'!$C$27)</f>
        <v>1.4528164674127502</v>
      </c>
      <c r="L10" s="159">
        <f t="shared" ca="1" si="2"/>
        <v>18.51261902014674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0" t="str">
        <f>IF('Données projet'!$B$15="","",'Données projet'!$B$15)</f>
        <v>Pin laricio</v>
      </c>
      <c r="B12" s="161">
        <f>'Données projet'!D15</f>
        <v>4.1250047205999998</v>
      </c>
      <c r="C12" s="154">
        <f ca="1">IF(OR('Données projet'!B15="",'Données projet'!C15="",'Données projet'!C15=0%),0,Calculateur!EO3)</f>
        <v>269.18638759204373</v>
      </c>
      <c r="D12" s="154">
        <f>IF(OR('Données projet'!B15="",'Données projet'!C15="",'Données projet'!C15=0%),0,Calculateur!EP3)</f>
        <v>197.07126167823969</v>
      </c>
      <c r="E12" s="154">
        <f t="shared" ca="1" si="0"/>
        <v>197.07126167823969</v>
      </c>
      <c r="F12" s="154">
        <f t="shared" ca="1" si="1"/>
        <v>812.91988471733657</v>
      </c>
      <c r="G12" s="154">
        <f ca="1">F12*(100%-'Données projet'!$C$24)*(100%-'Données projet'!$C$25)*(100%-'Données projet'!$C$26)*(100%-'Données projet'!$C$27)</f>
        <v>621.88371180876254</v>
      </c>
      <c r="H12" s="162">
        <f>IF(OR('Données projet'!B15="",'Données projet'!C15="",'Données projet'!C15=0%),0,AVERAGE(Calculateur!$EY$3:$EY$33)*B12)</f>
        <v>26.203892973306786</v>
      </c>
      <c r="I12" s="156">
        <f>H12*(100%-'Données projet'!$C$24)*(100%-'Données projet'!$C$25)*(100%-'Données projet'!$C$26)*(100%-'Données projet'!$C$27)</f>
        <v>20.04597812457969</v>
      </c>
      <c r="J12" s="157">
        <f>IF(OR('Données projet'!B15="",'Données projet'!C15="",'Données projet'!C15=0%),0,SUM(Calculateur!$ER$3:$ER$33)*VLOOKUP('Données projet'!$B$15,Paramètres!$A$1:$I$89,9,0)*B12)</f>
        <v>160.08112069468447</v>
      </c>
      <c r="K12" s="158">
        <f>J12*(100%-'Données projet'!$C$24)*(100%-'Données projet'!$C$25)*(100%-'Données projet'!$C$26)*(100%-'Données projet'!$C$27)</f>
        <v>122.46205733143363</v>
      </c>
      <c r="L12" s="159">
        <f t="shared" ca="1" si="2"/>
        <v>764.39174726477586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0" t="str">
        <f>IF('Données projet'!$B$16="","",'Données projet'!$B$16)</f>
        <v>Pin maritime</v>
      </c>
      <c r="B13" s="161">
        <f>'Données projet'!D16</f>
        <v>4.1250047205999998</v>
      </c>
      <c r="C13" s="154">
        <f ca="1">IF(OR('Données projet'!B16="",'Données projet'!C16="",'Données projet'!C16=0%),0,Calculateur!FJ3)</f>
        <v>330.48891719033065</v>
      </c>
      <c r="D13" s="154">
        <f>IF(OR('Données projet'!B16="",'Données projet'!C16="",'Données projet'!C16=0%),0,Calculateur!FK3)</f>
        <v>419.35494198427284</v>
      </c>
      <c r="E13" s="154">
        <f t="shared" ca="1" si="0"/>
        <v>330.48891719033065</v>
      </c>
      <c r="F13" s="154">
        <f t="shared" ca="1" si="1"/>
        <v>1363.2683435160964</v>
      </c>
      <c r="G13" s="154">
        <f ca="1">F13*(100%-'Données projet'!$C$24)*(100%-'Données projet'!$C$25)*(100%-'Données projet'!$C$26)*(100%-'Données projet'!$C$27)</f>
        <v>1042.9002827898137</v>
      </c>
      <c r="H13" s="162">
        <f>IF(OR('Données projet'!B16="",'Données projet'!C16="",'Données projet'!C16=0%),0,AVERAGE(Calculateur!$FT$3:$FT$33)*B13)</f>
        <v>62.915510377081389</v>
      </c>
      <c r="I13" s="156">
        <f>H13*(100%-'Données projet'!$C$24)*(100%-'Données projet'!$C$25)*(100%-'Données projet'!$C$26)*(100%-'Données projet'!$C$27)</f>
        <v>48.130365438467258</v>
      </c>
      <c r="J13" s="157">
        <f>IF(OR('Données projet'!C16="",'Données projet'!C16=0%),0,SUM(Calculateur!$FM$3:$FM$33)*VLOOKUP('Données projet'!$B$16,Paramètres!$A$1:$I$89,9,0)*B13)</f>
        <v>391.44479796416937</v>
      </c>
      <c r="K13" s="158">
        <f>J13*(100%-'Données projet'!$C$24)*(100%-'Données projet'!$C$25)*(100%-'Données projet'!$C$26)*(100%-'Données projet'!$C$27)</f>
        <v>299.45527044258955</v>
      </c>
      <c r="L13" s="159">
        <f t="shared" ca="1" si="2"/>
        <v>1390.4859186708704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0" t="str">
        <f>IF('Données projet'!$B$17="","",'Données projet'!$B$17)</f>
        <v>Peuplier Fritzi Pauley</v>
      </c>
      <c r="B14" s="161">
        <f>'Données projet'!D17</f>
        <v>2.0980352853999999</v>
      </c>
      <c r="C14" s="154">
        <f ca="1">IF(OR('Données projet'!B17="",'Données projet'!C17="",'Données projet'!C17=0%),0,Calculateur!GE3)</f>
        <v>132.18258156780018</v>
      </c>
      <c r="D14" s="154">
        <f>IF(OR('Données projet'!B17="",'Données projet'!C17="",'Données projet'!C17=0%),0,Calculateur!GF3)</f>
        <v>315.58133946947294</v>
      </c>
      <c r="E14" s="154">
        <f t="shared" ca="1" si="0"/>
        <v>132.18258156780018</v>
      </c>
      <c r="F14" s="154">
        <f t="shared" ca="1" si="1"/>
        <v>277.32372024450842</v>
      </c>
      <c r="G14" s="154">
        <f ca="1">F14*(100%-'Données projet'!$C$24)*(100%-'Données projet'!$C$25)*(100%-'Données projet'!$C$26)*(100%-'Données projet'!$C$27)</f>
        <v>212.15264598704894</v>
      </c>
      <c r="H14" s="162">
        <f>IF(OR('Données projet'!B17="",'Données projet'!C17="",'Données projet'!C17=0%),0,AVERAGE(Calculateur!$GO$3:$GO$33)*B14)</f>
        <v>26.602328723827931</v>
      </c>
      <c r="I14" s="156">
        <f>H14*(100%-'Données projet'!$C$24)*(100%-'Données projet'!$C$25)*(100%-'Données projet'!$C$26)*(100%-'Données projet'!$C$27)</f>
        <v>20.350781473728368</v>
      </c>
      <c r="J14" s="157">
        <f>IF(OR('Données projet'!B17="",'Données projet'!C17="",'Données projet'!C17=0%),0,SUM(Calculateur!$GH$3:$GH$33)*VLOOKUP('Données projet'!$B$17,Paramètres!$A$1:$I$89,9,0)*B14)</f>
        <v>654.775832220486</v>
      </c>
      <c r="K14" s="158">
        <f>J14*(100%-'Données projet'!$C$24)*(100%-'Données projet'!$C$25)*(100%-'Données projet'!$C$26)*(100%-'Données projet'!$C$27)</f>
        <v>500.90351164867178</v>
      </c>
      <c r="L14" s="159">
        <f t="shared" ca="1" si="2"/>
        <v>733.40693910944913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3"/>
      <c r="B16" s="230"/>
      <c r="C16" s="231"/>
      <c r="D16" s="25"/>
      <c r="E16" s="25"/>
      <c r="F16" s="172">
        <f t="shared" ref="F16:L16" ca="1" si="3">SUM(F6:F15)</f>
        <v>2869.2497987119896</v>
      </c>
      <c r="G16" s="173">
        <f t="shared" ca="1" si="3"/>
        <v>2194.9760960146718</v>
      </c>
      <c r="H16" s="174">
        <f t="shared" si="3"/>
        <v>115.72768242941223</v>
      </c>
      <c r="I16" s="174">
        <f t="shared" si="3"/>
        <v>88.53167705850035</v>
      </c>
      <c r="J16" s="175">
        <f t="shared" si="3"/>
        <v>1208.2008573726898</v>
      </c>
      <c r="K16" s="175">
        <f t="shared" si="3"/>
        <v>924.27365589010765</v>
      </c>
      <c r="L16" s="176">
        <f t="shared" ca="1" si="3"/>
        <v>3207.7814289632797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3"/>
      <c r="B17" s="230"/>
      <c r="C17" s="231"/>
      <c r="D17" s="228"/>
      <c r="E17" s="228"/>
      <c r="F17" s="317" t="s">
        <v>246</v>
      </c>
      <c r="G17" s="318"/>
      <c r="H17" s="318"/>
      <c r="I17" s="318"/>
      <c r="J17" s="318"/>
      <c r="K17" s="318"/>
      <c r="L17" s="31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3"/>
      <c r="B18" s="230"/>
      <c r="C18" s="231"/>
      <c r="D18" s="228"/>
      <c r="E18" s="228"/>
      <c r="F18" s="319"/>
      <c r="G18" s="319"/>
      <c r="H18" s="319"/>
      <c r="I18" s="319"/>
      <c r="J18" s="319"/>
      <c r="K18" s="319"/>
      <c r="L18" s="31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28"/>
      <c r="J19" s="228"/>
      <c r="K19" s="228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28"/>
      <c r="J20" s="228"/>
      <c r="K20" s="228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8"/>
      <c r="J21" s="228"/>
      <c r="K21" s="228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28"/>
      <c r="J22" s="228"/>
      <c r="K22" s="228"/>
      <c r="L22" s="228"/>
      <c r="M22" s="228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28"/>
      <c r="J23" s="228"/>
      <c r="K23" s="228"/>
      <c r="L23" s="228"/>
      <c r="M23" s="228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28"/>
      <c r="J24" s="228"/>
      <c r="K24" s="228"/>
      <c r="L24" s="228"/>
      <c r="M24" s="228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28"/>
      <c r="J25" s="228"/>
      <c r="K25" s="228"/>
      <c r="L25" s="228"/>
      <c r="M25" s="228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28"/>
      <c r="J26" s="228"/>
      <c r="K26" s="228"/>
      <c r="L26" s="228"/>
      <c r="M26" s="228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28"/>
      <c r="J27" s="228"/>
      <c r="K27" s="228"/>
      <c r="L27" s="228"/>
      <c r="M27" s="228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28"/>
      <c r="J28" s="228"/>
      <c r="K28" s="228"/>
      <c r="L28" s="228"/>
      <c r="M28" s="228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28"/>
      <c r="J29" s="228"/>
      <c r="K29" s="228"/>
      <c r="L29" s="228"/>
      <c r="M29" s="228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28"/>
      <c r="J30" s="228"/>
      <c r="K30" s="228"/>
      <c r="L30" s="228"/>
      <c r="M30" s="228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28"/>
      <c r="J31" s="228"/>
      <c r="K31" s="228"/>
      <c r="L31" s="228"/>
      <c r="M31" s="228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28"/>
      <c r="J32" s="228"/>
      <c r="K32" s="228"/>
      <c r="L32" s="228"/>
      <c r="M32" s="228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28"/>
      <c r="J33" s="228"/>
      <c r="K33" s="228"/>
      <c r="L33" s="228"/>
      <c r="M33" s="228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28"/>
      <c r="J34" s="228"/>
      <c r="K34" s="228"/>
      <c r="L34" s="228"/>
      <c r="M34" s="228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28"/>
      <c r="J35" s="228"/>
      <c r="K35" s="228"/>
      <c r="L35" s="228"/>
      <c r="M35" s="228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28"/>
      <c r="J36" s="228"/>
      <c r="K36" s="228"/>
      <c r="L36" s="228"/>
      <c r="M36" s="228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28"/>
      <c r="J37" s="228"/>
      <c r="K37" s="228"/>
      <c r="L37" s="228"/>
      <c r="M37" s="228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28"/>
      <c r="J38" s="228"/>
      <c r="K38" s="228"/>
      <c r="L38" s="228"/>
      <c r="M38" s="228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7" t="str">
        <f>A7</f>
        <v>Cormier</v>
      </c>
      <c r="B39" s="5"/>
      <c r="C39" s="5"/>
      <c r="D39" s="5"/>
      <c r="E39" s="5"/>
      <c r="F39" s="5"/>
      <c r="G39" s="5"/>
      <c r="H39" s="5"/>
      <c r="I39" s="228"/>
      <c r="J39" s="228"/>
      <c r="K39" s="228"/>
      <c r="L39" s="228"/>
      <c r="M39" s="228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28"/>
      <c r="J40" s="228"/>
      <c r="K40" s="228"/>
      <c r="L40" s="228"/>
      <c r="M40" s="228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28"/>
      <c r="J41" s="228"/>
      <c r="K41" s="228"/>
      <c r="L41" s="228"/>
      <c r="M41" s="228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28"/>
      <c r="J42" s="228"/>
      <c r="K42" s="228"/>
      <c r="L42" s="228"/>
      <c r="M42" s="228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28"/>
      <c r="J43" s="228"/>
      <c r="K43" s="228"/>
      <c r="L43" s="228"/>
      <c r="M43" s="228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28"/>
      <c r="J44" s="228"/>
      <c r="K44" s="228"/>
      <c r="L44" s="228"/>
      <c r="M44" s="228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28"/>
      <c r="J45" s="228"/>
      <c r="K45" s="228"/>
      <c r="L45" s="228"/>
      <c r="M45" s="228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28"/>
      <c r="J46" s="228"/>
      <c r="K46" s="228"/>
      <c r="L46" s="228"/>
      <c r="M46" s="228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28"/>
      <c r="J47" s="228"/>
      <c r="K47" s="228"/>
      <c r="L47" s="228"/>
      <c r="M47" s="228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28"/>
      <c r="J48" s="228"/>
      <c r="K48" s="228"/>
      <c r="L48" s="228"/>
      <c r="M48" s="228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28"/>
      <c r="J49" s="228"/>
      <c r="K49" s="228"/>
      <c r="L49" s="228"/>
      <c r="M49" s="228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28"/>
      <c r="J50" s="228"/>
      <c r="K50" s="228"/>
      <c r="L50" s="228"/>
      <c r="M50" s="228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28"/>
      <c r="J51" s="228"/>
      <c r="K51" s="228"/>
      <c r="L51" s="228"/>
      <c r="M51" s="228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28"/>
      <c r="J52" s="228"/>
      <c r="K52" s="228"/>
      <c r="L52" s="228"/>
      <c r="M52" s="228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28"/>
      <c r="J53" s="228"/>
      <c r="K53" s="228"/>
      <c r="L53" s="228"/>
      <c r="M53" s="228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28"/>
      <c r="J54" s="228"/>
      <c r="K54" s="228"/>
      <c r="L54" s="228"/>
      <c r="M54" s="228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28"/>
      <c r="J55" s="228"/>
      <c r="K55" s="228"/>
      <c r="L55" s="228"/>
      <c r="M55" s="228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28"/>
      <c r="J56" s="228"/>
      <c r="K56" s="228"/>
      <c r="L56" s="228"/>
      <c r="M56" s="228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7" t="str">
        <f>A8</f>
        <v>Alisier torminal</v>
      </c>
      <c r="B57" s="5"/>
      <c r="C57" s="5"/>
      <c r="D57" s="5"/>
      <c r="E57" s="5"/>
      <c r="F57" s="5"/>
      <c r="G57" s="5"/>
      <c r="H57" s="5"/>
      <c r="I57" s="228"/>
      <c r="J57" s="228"/>
      <c r="K57" s="228"/>
      <c r="L57" s="228"/>
      <c r="M57" s="228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28"/>
      <c r="J58" s="228"/>
      <c r="K58" s="228"/>
      <c r="L58" s="228"/>
      <c r="M58" s="228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28"/>
      <c r="J59" s="228"/>
      <c r="K59" s="228"/>
      <c r="L59" s="228"/>
      <c r="M59" s="228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28"/>
      <c r="J60" s="228"/>
      <c r="K60" s="228"/>
      <c r="L60" s="228"/>
      <c r="M60" s="228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28"/>
      <c r="J61" s="228"/>
      <c r="K61" s="228"/>
      <c r="L61" s="228"/>
      <c r="M61" s="228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28"/>
      <c r="J62" s="228"/>
      <c r="K62" s="228"/>
      <c r="L62" s="228"/>
      <c r="M62" s="228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28"/>
      <c r="J63" s="228"/>
      <c r="K63" s="228"/>
      <c r="L63" s="228"/>
      <c r="M63" s="228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28"/>
      <c r="J64" s="228"/>
      <c r="K64" s="228"/>
      <c r="L64" s="228"/>
      <c r="M64" s="228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28"/>
      <c r="J65" s="228"/>
      <c r="K65" s="228"/>
      <c r="L65" s="228"/>
      <c r="M65" s="228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28"/>
      <c r="J66" s="228"/>
      <c r="K66" s="228"/>
      <c r="L66" s="228"/>
      <c r="M66" s="228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28"/>
      <c r="J67" s="228"/>
      <c r="K67" s="228"/>
      <c r="L67" s="228"/>
      <c r="M67" s="228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28"/>
      <c r="J68" s="228"/>
      <c r="K68" s="228"/>
      <c r="L68" s="228"/>
      <c r="M68" s="228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28"/>
      <c r="J69" s="228"/>
      <c r="K69" s="228"/>
      <c r="L69" s="228"/>
      <c r="M69" s="228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28"/>
      <c r="J70" s="228"/>
      <c r="K70" s="228"/>
      <c r="L70" s="228"/>
      <c r="M70" s="228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28"/>
      <c r="J71" s="228"/>
      <c r="K71" s="228"/>
      <c r="L71" s="228"/>
      <c r="M71" s="228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28"/>
      <c r="J72" s="228"/>
      <c r="K72" s="228"/>
      <c r="L72" s="228"/>
      <c r="M72" s="228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28"/>
      <c r="J73" s="228"/>
      <c r="K73" s="228"/>
      <c r="L73" s="228"/>
      <c r="M73" s="228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28"/>
      <c r="J74" s="228"/>
      <c r="K74" s="228"/>
      <c r="L74" s="228"/>
      <c r="M74" s="228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28"/>
      <c r="J75" s="228"/>
      <c r="K75" s="228"/>
      <c r="L75" s="228"/>
      <c r="M75" s="228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7" t="str">
        <f>A9</f>
        <v>Tilleul</v>
      </c>
      <c r="B76" s="5"/>
      <c r="C76" s="5"/>
      <c r="D76" s="5"/>
      <c r="E76" s="5"/>
      <c r="F76" s="5"/>
      <c r="G76" s="5"/>
      <c r="H76" s="5"/>
      <c r="I76" s="228"/>
      <c r="J76" s="228"/>
      <c r="K76" s="228"/>
      <c r="L76" s="228"/>
      <c r="M76" s="228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28"/>
      <c r="J77" s="228"/>
      <c r="K77" s="228"/>
      <c r="L77" s="228"/>
      <c r="M77" s="228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28"/>
      <c r="J78" s="228"/>
      <c r="K78" s="228"/>
      <c r="L78" s="228"/>
      <c r="M78" s="228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28"/>
      <c r="J79" s="228"/>
      <c r="K79" s="228"/>
      <c r="L79" s="228"/>
      <c r="M79" s="228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28"/>
      <c r="J80" s="228"/>
      <c r="K80" s="228"/>
      <c r="L80" s="228"/>
      <c r="M80" s="228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28"/>
      <c r="J81" s="228"/>
      <c r="K81" s="228"/>
      <c r="L81" s="228"/>
      <c r="M81" s="228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28"/>
      <c r="J82" s="228"/>
      <c r="K82" s="228"/>
      <c r="L82" s="228"/>
      <c r="M82" s="228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28"/>
      <c r="J83" s="228"/>
      <c r="K83" s="228"/>
      <c r="L83" s="228"/>
      <c r="M83" s="228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28"/>
      <c r="J84" s="228"/>
      <c r="K84" s="228"/>
      <c r="L84" s="228"/>
      <c r="M84" s="228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28"/>
      <c r="J85" s="228"/>
      <c r="K85" s="228"/>
      <c r="L85" s="228"/>
      <c r="M85" s="228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28"/>
      <c r="J86" s="228"/>
      <c r="K86" s="228"/>
      <c r="L86" s="228"/>
      <c r="M86" s="228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28"/>
      <c r="J87" s="228"/>
      <c r="K87" s="228"/>
      <c r="L87" s="228"/>
      <c r="M87" s="228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28"/>
      <c r="J88" s="228"/>
      <c r="K88" s="228"/>
      <c r="L88" s="228"/>
      <c r="M88" s="228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28"/>
      <c r="J89" s="228"/>
      <c r="K89" s="228"/>
      <c r="L89" s="228"/>
      <c r="M89" s="228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28"/>
      <c r="J90" s="228"/>
      <c r="K90" s="228"/>
      <c r="L90" s="228"/>
      <c r="M90" s="228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28"/>
      <c r="J91" s="228"/>
      <c r="K91" s="228"/>
      <c r="L91" s="228"/>
      <c r="M91" s="228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28"/>
      <c r="J92" s="228"/>
      <c r="K92" s="228"/>
      <c r="L92" s="228"/>
      <c r="M92" s="228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28"/>
      <c r="J93" s="228"/>
      <c r="K93" s="228"/>
      <c r="L93" s="228"/>
      <c r="M93" s="228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7" t="str">
        <f>A10</f>
        <v>Aulne glutineux</v>
      </c>
      <c r="B94" s="5"/>
      <c r="C94" s="5"/>
      <c r="D94" s="5"/>
      <c r="E94" s="5"/>
      <c r="F94" s="5"/>
      <c r="G94" s="5"/>
      <c r="H94" s="5"/>
      <c r="I94" s="228"/>
      <c r="J94" s="228"/>
      <c r="K94" s="228"/>
      <c r="L94" s="228"/>
      <c r="M94" s="228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28"/>
      <c r="J95" s="228"/>
      <c r="K95" s="228"/>
      <c r="L95" s="228"/>
      <c r="M95" s="228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28"/>
      <c r="J96" s="228"/>
      <c r="K96" s="228"/>
      <c r="L96" s="228"/>
      <c r="M96" s="228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28"/>
      <c r="J97" s="228"/>
      <c r="K97" s="228"/>
      <c r="L97" s="228"/>
      <c r="M97" s="228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28"/>
      <c r="J98" s="228"/>
      <c r="K98" s="228"/>
      <c r="L98" s="228"/>
      <c r="M98" s="228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28"/>
      <c r="J99" s="228"/>
      <c r="K99" s="228"/>
      <c r="L99" s="228"/>
      <c r="M99" s="228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28"/>
      <c r="J100" s="228"/>
      <c r="K100" s="228"/>
      <c r="L100" s="228"/>
      <c r="M100" s="228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28"/>
      <c r="J101" s="228"/>
      <c r="K101" s="228"/>
      <c r="L101" s="228"/>
      <c r="M101" s="228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28"/>
      <c r="J102" s="228"/>
      <c r="K102" s="228"/>
      <c r="L102" s="228"/>
      <c r="M102" s="228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28"/>
      <c r="J103" s="228"/>
      <c r="K103" s="228"/>
      <c r="L103" s="228"/>
      <c r="M103" s="228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28"/>
      <c r="J104" s="228"/>
      <c r="K104" s="228"/>
      <c r="L104" s="228"/>
      <c r="M104" s="228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28"/>
      <c r="J105" s="228"/>
      <c r="K105" s="228"/>
      <c r="L105" s="228"/>
      <c r="M105" s="228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28"/>
      <c r="J106" s="228"/>
      <c r="K106" s="228"/>
      <c r="L106" s="228"/>
      <c r="M106" s="228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28"/>
      <c r="J107" s="228"/>
      <c r="K107" s="228"/>
      <c r="L107" s="228"/>
      <c r="M107" s="228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28"/>
      <c r="J108" s="228"/>
      <c r="K108" s="228"/>
      <c r="L108" s="228"/>
      <c r="M108" s="228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28"/>
      <c r="J109" s="228"/>
      <c r="K109" s="228"/>
      <c r="L109" s="228"/>
      <c r="M109" s="228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28"/>
      <c r="J110" s="228"/>
      <c r="K110" s="228"/>
      <c r="L110" s="228"/>
      <c r="M110" s="228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28"/>
      <c r="J111" s="228"/>
      <c r="K111" s="228"/>
      <c r="L111" s="228"/>
      <c r="M111" s="228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8"/>
      <c r="J112" s="228"/>
      <c r="K112" s="228"/>
      <c r="L112" s="228"/>
      <c r="M112" s="228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28"/>
      <c r="J113" s="228"/>
      <c r="K113" s="228"/>
      <c r="L113" s="228"/>
      <c r="M113" s="228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28"/>
      <c r="J114" s="228"/>
      <c r="K114" s="228"/>
      <c r="L114" s="228"/>
      <c r="M114" s="228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28"/>
      <c r="J115" s="228"/>
      <c r="K115" s="228"/>
      <c r="L115" s="228"/>
      <c r="M115" s="228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28"/>
      <c r="J116" s="228"/>
      <c r="K116" s="228"/>
      <c r="L116" s="228"/>
      <c r="M116" s="228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28"/>
      <c r="J117" s="228"/>
      <c r="K117" s="228"/>
      <c r="L117" s="228"/>
      <c r="M117" s="228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28"/>
      <c r="J118" s="228"/>
      <c r="K118" s="228"/>
      <c r="L118" s="228"/>
      <c r="M118" s="228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28"/>
      <c r="J119" s="228"/>
      <c r="K119" s="228"/>
      <c r="L119" s="228"/>
      <c r="M119" s="228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28"/>
      <c r="J120" s="228"/>
      <c r="K120" s="228"/>
      <c r="L120" s="228"/>
      <c r="M120" s="228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28"/>
      <c r="J121" s="228"/>
      <c r="K121" s="228"/>
      <c r="L121" s="228"/>
      <c r="M121" s="228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28"/>
      <c r="J122" s="228"/>
      <c r="K122" s="228"/>
      <c r="L122" s="228"/>
      <c r="M122" s="228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28"/>
      <c r="J123" s="228"/>
      <c r="K123" s="228"/>
      <c r="L123" s="228"/>
      <c r="M123" s="228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28"/>
      <c r="J124" s="228"/>
      <c r="K124" s="228"/>
      <c r="L124" s="228"/>
      <c r="M124" s="228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28"/>
      <c r="J125" s="228"/>
      <c r="K125" s="228"/>
      <c r="L125" s="228"/>
      <c r="M125" s="228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28"/>
      <c r="J126" s="228"/>
      <c r="K126" s="228"/>
      <c r="L126" s="228"/>
      <c r="M126" s="228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28"/>
      <c r="J127" s="228"/>
      <c r="K127" s="228"/>
      <c r="L127" s="228"/>
      <c r="M127" s="228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28"/>
      <c r="J128" s="228"/>
      <c r="K128" s="228"/>
      <c r="L128" s="228"/>
      <c r="M128" s="228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28"/>
      <c r="J129" s="228"/>
      <c r="K129" s="228"/>
      <c r="L129" s="228"/>
      <c r="M129" s="228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7" t="str">
        <f>A12</f>
        <v>Pin laricio</v>
      </c>
      <c r="B130" s="5"/>
      <c r="C130" s="5"/>
      <c r="D130" s="5"/>
      <c r="E130" s="5"/>
      <c r="F130" s="5"/>
      <c r="G130" s="5"/>
      <c r="H130" s="5"/>
      <c r="I130" s="228"/>
      <c r="J130" s="228"/>
      <c r="K130" s="228"/>
      <c r="L130" s="228"/>
      <c r="M130" s="228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28"/>
      <c r="J131" s="228"/>
      <c r="K131" s="228"/>
      <c r="L131" s="228"/>
      <c r="M131" s="228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28"/>
      <c r="J132" s="228"/>
      <c r="K132" s="228"/>
      <c r="L132" s="228"/>
      <c r="M132" s="228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28"/>
      <c r="J133" s="228"/>
      <c r="K133" s="228"/>
      <c r="L133" s="228"/>
      <c r="M133" s="228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28"/>
      <c r="J134" s="228"/>
      <c r="K134" s="228"/>
      <c r="L134" s="228"/>
      <c r="M134" s="228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28"/>
      <c r="J135" s="228"/>
      <c r="K135" s="228"/>
      <c r="L135" s="228"/>
      <c r="M135" s="228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28"/>
      <c r="J136" s="228"/>
      <c r="K136" s="228"/>
      <c r="L136" s="228"/>
      <c r="M136" s="228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28"/>
      <c r="J137" s="228"/>
      <c r="K137" s="228"/>
      <c r="L137" s="228"/>
      <c r="M137" s="228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28"/>
      <c r="J138" s="228"/>
      <c r="K138" s="228"/>
      <c r="L138" s="228"/>
      <c r="M138" s="228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28"/>
      <c r="J139" s="228"/>
      <c r="K139" s="228"/>
      <c r="L139" s="228"/>
      <c r="M139" s="228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28"/>
      <c r="J140" s="228"/>
      <c r="K140" s="228"/>
      <c r="L140" s="228"/>
      <c r="M140" s="228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28"/>
      <c r="J141" s="228"/>
      <c r="K141" s="228"/>
      <c r="L141" s="228"/>
      <c r="M141" s="228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28"/>
      <c r="J142" s="228"/>
      <c r="K142" s="228"/>
      <c r="L142" s="228"/>
      <c r="M142" s="228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28"/>
      <c r="J143" s="228"/>
      <c r="K143" s="228"/>
      <c r="L143" s="228"/>
      <c r="M143" s="228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28"/>
      <c r="J144" s="228"/>
      <c r="K144" s="228"/>
      <c r="L144" s="228"/>
      <c r="M144" s="228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28"/>
      <c r="J145" s="228"/>
      <c r="K145" s="228"/>
      <c r="L145" s="228"/>
      <c r="M145" s="228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28"/>
      <c r="J146" s="228"/>
      <c r="K146" s="228"/>
      <c r="L146" s="228"/>
      <c r="M146" s="228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28"/>
      <c r="J147" s="228"/>
      <c r="K147" s="228"/>
      <c r="L147" s="228"/>
      <c r="M147" s="228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7" t="str">
        <f>A13</f>
        <v>Pin maritime</v>
      </c>
      <c r="B148" s="5"/>
      <c r="C148" s="5"/>
      <c r="D148" s="5"/>
      <c r="E148" s="5"/>
      <c r="F148" s="5"/>
      <c r="G148" s="5"/>
      <c r="H148" s="5"/>
      <c r="I148" s="228"/>
      <c r="J148" s="228"/>
      <c r="K148" s="228"/>
      <c r="L148" s="228"/>
      <c r="M148" s="228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28"/>
      <c r="J149" s="228"/>
      <c r="K149" s="228"/>
      <c r="L149" s="228"/>
      <c r="M149" s="228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28"/>
      <c r="J150" s="228"/>
      <c r="K150" s="228"/>
      <c r="L150" s="228"/>
      <c r="M150" s="228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28"/>
      <c r="J151" s="228"/>
      <c r="K151" s="228"/>
      <c r="L151" s="228"/>
      <c r="M151" s="228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28"/>
      <c r="J152" s="228"/>
      <c r="K152" s="228"/>
      <c r="L152" s="228"/>
      <c r="M152" s="228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28"/>
      <c r="J153" s="228"/>
      <c r="K153" s="228"/>
      <c r="L153" s="228"/>
      <c r="M153" s="228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28"/>
      <c r="J154" s="228"/>
      <c r="K154" s="228"/>
      <c r="L154" s="228"/>
      <c r="M154" s="228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28"/>
      <c r="J155" s="228"/>
      <c r="K155" s="228"/>
      <c r="L155" s="228"/>
      <c r="M155" s="228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28"/>
      <c r="J156" s="228"/>
      <c r="K156" s="228"/>
      <c r="L156" s="228"/>
      <c r="M156" s="228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28"/>
      <c r="J157" s="228"/>
      <c r="K157" s="228"/>
      <c r="L157" s="228"/>
      <c r="M157" s="228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28"/>
      <c r="J158" s="228"/>
      <c r="K158" s="228"/>
      <c r="L158" s="228"/>
      <c r="M158" s="228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28"/>
      <c r="J159" s="228"/>
      <c r="K159" s="228"/>
      <c r="L159" s="228"/>
      <c r="M159" s="228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28"/>
      <c r="J160" s="228"/>
      <c r="K160" s="228"/>
      <c r="L160" s="228"/>
      <c r="M160" s="228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28"/>
      <c r="J161" s="228"/>
      <c r="K161" s="228"/>
      <c r="L161" s="228"/>
      <c r="M161" s="228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28"/>
      <c r="J162" s="228"/>
      <c r="K162" s="228"/>
      <c r="L162" s="228"/>
      <c r="M162" s="228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28"/>
      <c r="J163" s="228"/>
      <c r="K163" s="228"/>
      <c r="L163" s="228"/>
      <c r="M163" s="228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28"/>
      <c r="J164" s="228"/>
      <c r="K164" s="228"/>
      <c r="L164" s="228"/>
      <c r="M164" s="228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28"/>
      <c r="J165" s="228"/>
      <c r="K165" s="228"/>
      <c r="L165" s="228"/>
      <c r="M165" s="228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7" t="str">
        <f>A14</f>
        <v>Peuplier Fritzi Pauley</v>
      </c>
      <c r="B166" s="5"/>
      <c r="C166" s="5"/>
      <c r="D166" s="5"/>
      <c r="E166" s="5"/>
      <c r="F166" s="5"/>
      <c r="G166" s="5"/>
      <c r="H166" s="5"/>
      <c r="I166" s="228"/>
      <c r="J166" s="228"/>
      <c r="K166" s="228"/>
      <c r="L166" s="228"/>
      <c r="M166" s="228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28"/>
      <c r="J167" s="228"/>
      <c r="K167" s="228"/>
      <c r="L167" s="228"/>
      <c r="M167" s="228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28"/>
      <c r="J168" s="228"/>
      <c r="K168" s="228"/>
      <c r="L168" s="228"/>
      <c r="M168" s="228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28"/>
      <c r="J169" s="228"/>
      <c r="K169" s="228"/>
      <c r="L169" s="228"/>
      <c r="M169" s="228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28"/>
      <c r="J170" s="228"/>
      <c r="K170" s="228"/>
      <c r="L170" s="228"/>
      <c r="M170" s="228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28"/>
      <c r="J171" s="228"/>
      <c r="K171" s="228"/>
      <c r="L171" s="228"/>
      <c r="M171" s="228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28"/>
      <c r="J172" s="228"/>
      <c r="K172" s="228"/>
      <c r="L172" s="228"/>
      <c r="M172" s="228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28"/>
      <c r="J173" s="228"/>
      <c r="K173" s="228"/>
      <c r="L173" s="228"/>
      <c r="M173" s="228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28"/>
      <c r="J174" s="228"/>
      <c r="K174" s="228"/>
      <c r="L174" s="228"/>
      <c r="M174" s="228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28"/>
      <c r="J175" s="228"/>
      <c r="K175" s="228"/>
      <c r="L175" s="228"/>
      <c r="M175" s="228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28"/>
      <c r="J176" s="228"/>
      <c r="K176" s="228"/>
      <c r="L176" s="228"/>
      <c r="M176" s="228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28"/>
      <c r="J177" s="228"/>
      <c r="K177" s="228"/>
      <c r="L177" s="228"/>
      <c r="M177" s="228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28"/>
      <c r="J178" s="228"/>
      <c r="K178" s="228"/>
      <c r="L178" s="228"/>
      <c r="M178" s="228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28"/>
      <c r="J179" s="228"/>
      <c r="K179" s="228"/>
      <c r="L179" s="228"/>
      <c r="M179" s="228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28"/>
      <c r="J180" s="228"/>
      <c r="K180" s="228"/>
      <c r="L180" s="228"/>
      <c r="M180" s="228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28"/>
      <c r="J181" s="228"/>
      <c r="K181" s="228"/>
      <c r="L181" s="228"/>
      <c r="M181" s="228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28"/>
      <c r="J182" s="228"/>
      <c r="K182" s="228"/>
      <c r="L182" s="228"/>
      <c r="M182" s="228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28"/>
      <c r="J183" s="228"/>
      <c r="K183" s="228"/>
      <c r="L183" s="228"/>
      <c r="M183" s="228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8"/>
      <c r="J184" s="228"/>
      <c r="K184" s="228"/>
      <c r="L184" s="228"/>
      <c r="M184" s="228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28"/>
      <c r="J185" s="228"/>
      <c r="K185" s="228"/>
      <c r="L185" s="228"/>
      <c r="M185" s="228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28"/>
      <c r="J186" s="228"/>
      <c r="K186" s="228"/>
      <c r="L186" s="228"/>
      <c r="M186" s="228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28"/>
      <c r="J187" s="228"/>
      <c r="K187" s="228"/>
      <c r="L187" s="228"/>
      <c r="M187" s="228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28"/>
      <c r="J188" s="228"/>
      <c r="K188" s="228"/>
      <c r="L188" s="228"/>
      <c r="M188" s="228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28"/>
      <c r="J189" s="228"/>
      <c r="K189" s="228"/>
      <c r="L189" s="228"/>
      <c r="M189" s="228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28"/>
      <c r="J190" s="228"/>
      <c r="K190" s="228"/>
      <c r="L190" s="228"/>
      <c r="M190" s="228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28"/>
      <c r="J191" s="228"/>
      <c r="K191" s="228"/>
      <c r="L191" s="228"/>
      <c r="M191" s="228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28"/>
      <c r="J192" s="228"/>
      <c r="K192" s="228"/>
      <c r="L192" s="228"/>
      <c r="M192" s="228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28"/>
      <c r="J193" s="228"/>
      <c r="K193" s="228"/>
      <c r="L193" s="228"/>
      <c r="M193" s="228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28"/>
      <c r="J194" s="228"/>
      <c r="K194" s="228"/>
      <c r="L194" s="228"/>
      <c r="M194" s="228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28"/>
      <c r="J195" s="228"/>
      <c r="K195" s="228"/>
      <c r="L195" s="228"/>
      <c r="M195" s="228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28"/>
      <c r="J196" s="228"/>
      <c r="K196" s="228"/>
      <c r="L196" s="228"/>
      <c r="M196" s="228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28"/>
      <c r="J197" s="228"/>
      <c r="K197" s="228"/>
      <c r="L197" s="228"/>
      <c r="M197" s="228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28"/>
      <c r="J198" s="228"/>
      <c r="K198" s="228"/>
      <c r="L198" s="228"/>
      <c r="M198" s="228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28"/>
      <c r="J199" s="228"/>
      <c r="K199" s="228"/>
      <c r="L199" s="228"/>
      <c r="M199" s="228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28"/>
      <c r="J200" s="228"/>
      <c r="K200" s="228"/>
      <c r="L200" s="228"/>
      <c r="M200" s="228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28"/>
      <c r="J201" s="228"/>
      <c r="K201" s="228"/>
      <c r="L201" s="228"/>
      <c r="M201" s="228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28"/>
      <c r="J202" s="228"/>
      <c r="K202" s="228"/>
      <c r="L202" s="228"/>
      <c r="M202" s="228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8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" zoomScale="80" zoomScaleNormal="80" workbookViewId="0">
      <selection activeCell="V36" sqref="V36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">
      <c r="A4" s="97"/>
      <c r="B4" s="97"/>
      <c r="C4" s="97"/>
      <c r="D4" s="97"/>
      <c r="E4" s="97"/>
      <c r="G4" s="178"/>
      <c r="H4" s="337" t="s">
        <v>315</v>
      </c>
      <c r="I4" s="337"/>
      <c r="K4" s="334" t="s">
        <v>253</v>
      </c>
      <c r="L4" s="335"/>
      <c r="M4" s="265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6" thickBot="1" x14ac:dyDescent="0.25">
      <c r="A6" s="97"/>
      <c r="B6" s="97"/>
      <c r="C6" s="97"/>
      <c r="D6" s="97"/>
      <c r="E6" s="97"/>
      <c r="F6" s="226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35">
      <c r="A7" s="272"/>
      <c r="B7" s="273"/>
      <c r="C7" s="273"/>
      <c r="D7" s="273"/>
      <c r="E7" s="274"/>
      <c r="F7" s="274" t="s">
        <v>192</v>
      </c>
      <c r="G7" s="275"/>
      <c r="H7" s="273"/>
      <c r="I7" s="273"/>
      <c r="J7" s="276"/>
      <c r="K7" s="270"/>
      <c r="L7" s="271"/>
      <c r="M7" s="271"/>
      <c r="N7" s="277" t="s">
        <v>191</v>
      </c>
      <c r="O7" s="277"/>
      <c r="P7" s="278"/>
      <c r="Q7" s="279"/>
      <c r="R7" s="326" t="s">
        <v>310</v>
      </c>
      <c r="S7" s="327"/>
      <c r="T7" s="327"/>
      <c r="U7" s="327"/>
      <c r="V7" s="328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">
      <c r="A8" s="25"/>
      <c r="C8" s="25"/>
      <c r="D8" s="25"/>
      <c r="E8" s="25"/>
      <c r="F8" s="218"/>
      <c r="G8" s="218"/>
      <c r="H8" s="5"/>
      <c r="I8" s="5"/>
      <c r="J8" s="211"/>
      <c r="K8" s="222"/>
      <c r="L8" s="25"/>
      <c r="M8" s="25"/>
      <c r="N8" s="25"/>
      <c r="O8" s="25"/>
      <c r="P8" s="25"/>
      <c r="Q8" s="262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7" t="s">
        <v>311</v>
      </c>
      <c r="C9" s="25"/>
      <c r="D9" s="25"/>
      <c r="E9" s="25"/>
      <c r="F9" s="258"/>
      <c r="G9" s="257" t="s">
        <v>314</v>
      </c>
      <c r="J9" s="211"/>
      <c r="K9" s="222"/>
      <c r="O9" s="25"/>
      <c r="P9" s="25"/>
      <c r="Q9" s="262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7" t="s">
        <v>317</v>
      </c>
      <c r="C10" s="25"/>
      <c r="D10" s="25"/>
      <c r="E10" s="25"/>
      <c r="F10" s="258"/>
      <c r="G10" s="257" t="s">
        <v>316</v>
      </c>
      <c r="J10" s="211"/>
      <c r="K10" s="222"/>
      <c r="O10" s="25"/>
      <c r="P10" s="25"/>
      <c r="Q10" s="262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-3680.0476095997101</v>
      </c>
      <c r="U10" s="188">
        <f>'Données projet'!D9</f>
        <v>1.5000028522</v>
      </c>
      <c r="V10" s="187">
        <f>U10*T10</f>
        <v>-5520.0819106313575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7" t="s">
        <v>312</v>
      </c>
      <c r="B11" s="25"/>
      <c r="C11" s="25"/>
      <c r="D11" s="25"/>
      <c r="E11" s="25"/>
      <c r="F11" s="258"/>
      <c r="G11" s="257" t="s">
        <v>313</v>
      </c>
      <c r="J11" s="211"/>
      <c r="K11" s="222"/>
      <c r="M11" s="5"/>
      <c r="N11" s="5"/>
      <c r="O11" s="25"/>
      <c r="P11" s="25"/>
      <c r="Q11" s="262"/>
      <c r="R11" s="25"/>
      <c r="S11" s="183" t="str">
        <f>B45</f>
        <v>Cormier</v>
      </c>
      <c r="T11" s="26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-4063.676240425471</v>
      </c>
      <c r="U11" s="188">
        <f>'Données projet'!D10</f>
        <v>0.12875298260000001</v>
      </c>
      <c r="V11" s="187">
        <f t="shared" ref="V11" si="0">U11*T11</f>
        <v>-523.21043627553411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58"/>
      <c r="G12" s="1"/>
      <c r="J12" s="211"/>
      <c r="K12" s="222"/>
      <c r="L12" s="214"/>
      <c r="M12" s="25"/>
      <c r="N12" s="25"/>
      <c r="O12" s="25"/>
      <c r="P12" s="25"/>
      <c r="Q12" s="262"/>
      <c r="R12" s="25"/>
      <c r="S12" s="183" t="str">
        <f>B76</f>
        <v>Alisier torminal</v>
      </c>
      <c r="T12" s="26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-3795.8608849125735</v>
      </c>
      <c r="U12" s="188">
        <f>'Données projet'!D11</f>
        <v>0.12875298260000001</v>
      </c>
      <c r="V12" s="187">
        <f t="shared" ref="V12:V19" si="1">U12*T12</f>
        <v>-488.72841046716923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58"/>
      <c r="J13" s="25"/>
      <c r="K13" s="222"/>
      <c r="L13" s="182" t="s">
        <v>257</v>
      </c>
      <c r="M13" s="25"/>
      <c r="N13" s="25"/>
      <c r="O13" s="25"/>
      <c r="P13" s="25"/>
      <c r="Q13" s="262"/>
      <c r="R13" s="25"/>
      <c r="S13" s="183" t="str">
        <f>B107</f>
        <v>Tilleul</v>
      </c>
      <c r="T13" s="26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-4354.1460384479633</v>
      </c>
      <c r="U13" s="188">
        <f>'Données projet'!D12</f>
        <v>0.12875298260000001</v>
      </c>
      <c r="V13" s="187">
        <f t="shared" si="1"/>
        <v>-560.60928912614963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8"/>
      <c r="G14" s="218"/>
      <c r="H14" s="183" t="s">
        <v>178</v>
      </c>
      <c r="I14" s="183" t="s">
        <v>290</v>
      </c>
      <c r="J14" s="212"/>
      <c r="K14" s="181"/>
      <c r="L14" s="214"/>
      <c r="M14" s="25"/>
      <c r="N14" s="25"/>
      <c r="O14" s="5"/>
      <c r="P14" s="5"/>
      <c r="Q14" s="263"/>
      <c r="R14" s="5"/>
      <c r="S14" s="183" t="str">
        <f>B138</f>
        <v>Aulne glutineux</v>
      </c>
      <c r="T14" s="26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-3493.5892512078249</v>
      </c>
      <c r="U14" s="188">
        <f>'Données projet'!D13</f>
        <v>0.12875298260000001</v>
      </c>
      <c r="V14" s="187">
        <f t="shared" si="1"/>
        <v>-449.81003607230815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58"/>
      <c r="G15" s="338" t="s">
        <v>318</v>
      </c>
      <c r="H15" s="201"/>
      <c r="I15" s="202"/>
      <c r="J15" s="213"/>
      <c r="K15" s="222"/>
      <c r="L15" s="214"/>
      <c r="M15" s="25"/>
      <c r="N15" s="25"/>
      <c r="O15" s="25"/>
      <c r="P15" s="25"/>
      <c r="Q15" s="262"/>
      <c r="R15" s="25"/>
      <c r="S15" s="183" t="str">
        <f>B169</f>
        <v/>
      </c>
      <c r="T15" s="26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4" t="s">
        <v>180</v>
      </c>
      <c r="B16" s="51" t="s">
        <v>256</v>
      </c>
      <c r="C16" s="51" t="s">
        <v>255</v>
      </c>
      <c r="D16" s="254" t="s">
        <v>252</v>
      </c>
      <c r="E16" s="254" t="s">
        <v>320</v>
      </c>
      <c r="F16" s="258"/>
      <c r="G16" s="338"/>
      <c r="H16" s="201"/>
      <c r="I16" s="202"/>
      <c r="J16" s="213"/>
      <c r="K16" s="222"/>
      <c r="L16" s="334" t="s">
        <v>254</v>
      </c>
      <c r="M16" s="335"/>
      <c r="N16" s="2">
        <v>30</v>
      </c>
      <c r="O16" s="25"/>
      <c r="P16" s="25"/>
      <c r="Q16" s="262"/>
      <c r="R16" s="25"/>
      <c r="S16" s="183" t="str">
        <f>B200</f>
        <v>Pin laricio</v>
      </c>
      <c r="T16" s="26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-1048.4469115191998</v>
      </c>
      <c r="U16" s="188">
        <f>'Données projet'!D15</f>
        <v>4.1250047205999998</v>
      </c>
      <c r="V16" s="187">
        <f t="shared" si="1"/>
        <v>-4324.8484593151898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7">
        <v>0</v>
      </c>
      <c r="B17" s="210" t="s">
        <v>132</v>
      </c>
      <c r="C17" s="209" t="s">
        <v>132</v>
      </c>
      <c r="D17" s="208" t="s">
        <v>132</v>
      </c>
      <c r="E17" s="204">
        <v>5171.28</v>
      </c>
      <c r="F17" s="258"/>
      <c r="G17" s="338"/>
      <c r="J17" s="213"/>
      <c r="K17" s="222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29.999999999999993</v>
      </c>
      <c r="O17" s="25"/>
      <c r="P17" s="25"/>
      <c r="Q17" s="262"/>
      <c r="R17" s="25"/>
      <c r="S17" s="183" t="str">
        <f>B231</f>
        <v>Pin maritime</v>
      </c>
      <c r="T17" s="26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2066.9950898074549</v>
      </c>
      <c r="U17" s="188">
        <f>'Données projet'!D16</f>
        <v>4.1250047205999998</v>
      </c>
      <c r="V17" s="187">
        <f t="shared" si="1"/>
        <v>8526.3645029127711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7">
        <v>1</v>
      </c>
      <c r="B18" s="210" t="s">
        <v>132</v>
      </c>
      <c r="C18" s="209" t="s">
        <v>132</v>
      </c>
      <c r="D18" s="208" t="s">
        <v>132</v>
      </c>
      <c r="E18" s="204"/>
      <c r="F18" s="258"/>
      <c r="G18" s="338"/>
      <c r="J18" s="213"/>
      <c r="K18" s="222"/>
      <c r="L18" s="292" t="s">
        <v>255</v>
      </c>
      <c r="M18" s="294"/>
      <c r="N18" s="203">
        <v>10</v>
      </c>
      <c r="O18" s="25"/>
      <c r="P18" s="25"/>
      <c r="Q18" s="262"/>
      <c r="R18" s="25"/>
      <c r="S18" s="183" t="str">
        <f>B262</f>
        <v>Peuplier Fritzi Pauley</v>
      </c>
      <c r="T18" s="26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-682.54629682865334</v>
      </c>
      <c r="U18" s="188">
        <f>'Données projet'!D17</f>
        <v>2.0980352853999999</v>
      </c>
      <c r="V18" s="187">
        <f t="shared" si="1"/>
        <v>-1432.0062146656169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7">
        <v>2</v>
      </c>
      <c r="B19" s="210" t="s">
        <v>132</v>
      </c>
      <c r="C19" s="209" t="s">
        <v>132</v>
      </c>
      <c r="D19" s="208" t="s">
        <v>132</v>
      </c>
      <c r="E19" s="204"/>
      <c r="F19" s="258"/>
      <c r="G19" s="338"/>
      <c r="H19" s="229" t="s">
        <v>178</v>
      </c>
      <c r="I19" s="229" t="s">
        <v>287</v>
      </c>
      <c r="J19" s="257"/>
      <c r="K19" s="181"/>
      <c r="L19" s="334" t="s">
        <v>288</v>
      </c>
      <c r="M19" s="335"/>
      <c r="N19" s="189">
        <f>N17*N18</f>
        <v>299.99999999999994</v>
      </c>
      <c r="O19" s="25"/>
      <c r="P19" s="5"/>
      <c r="Q19" s="263"/>
      <c r="R19" s="5"/>
      <c r="S19" s="183" t="str">
        <f>B293</f>
        <v/>
      </c>
      <c r="T19" s="26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7">
        <v>3</v>
      </c>
      <c r="B20" s="210" t="s">
        <v>132</v>
      </c>
      <c r="C20" s="209" t="s">
        <v>132</v>
      </c>
      <c r="D20" s="208" t="s">
        <v>132</v>
      </c>
      <c r="E20" s="204"/>
      <c r="F20" s="258"/>
      <c r="G20" s="338"/>
      <c r="H20" s="201">
        <v>0</v>
      </c>
      <c r="I20" s="202">
        <f>1170+500</f>
        <v>1670</v>
      </c>
      <c r="J20" s="5"/>
      <c r="K20" s="181"/>
      <c r="O20" s="25"/>
      <c r="P20" s="5"/>
      <c r="Q20" s="263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7">
        <v>4</v>
      </c>
      <c r="B21" s="210" t="s">
        <v>132</v>
      </c>
      <c r="C21" s="209" t="s">
        <v>132</v>
      </c>
      <c r="D21" s="208" t="s">
        <v>132</v>
      </c>
      <c r="E21" s="204"/>
      <c r="F21" s="258"/>
      <c r="H21" s="201">
        <v>1</v>
      </c>
      <c r="I21" s="202">
        <v>500</v>
      </c>
      <c r="K21" s="181"/>
      <c r="O21" s="25"/>
      <c r="P21" s="5"/>
      <c r="Q21" s="263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7">
        <v>5</v>
      </c>
      <c r="B22" s="210" t="s">
        <v>132</v>
      </c>
      <c r="C22" s="209" t="s">
        <v>132</v>
      </c>
      <c r="D22" s="208" t="s">
        <v>132</v>
      </c>
      <c r="E22" s="204"/>
      <c r="F22" s="258"/>
      <c r="H22" s="201">
        <v>2</v>
      </c>
      <c r="I22" s="202">
        <v>500</v>
      </c>
      <c r="K22" s="181"/>
      <c r="O22" s="25"/>
      <c r="P22" s="5"/>
      <c r="Q22" s="263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0">
        <f>'Données projet'!A36</f>
        <v>42</v>
      </c>
      <c r="B23" s="191">
        <f>'Données projet'!D36</f>
        <v>43.21</v>
      </c>
      <c r="C23" s="204">
        <f>225*'Données projet'!E36+13.8*('Données projet'!F36+'Données projet'!G36)+10*'Données projet'!G36</f>
        <v>45</v>
      </c>
      <c r="D23" s="192">
        <f>B23*C23</f>
        <v>1944.45</v>
      </c>
      <c r="E23" s="204"/>
      <c r="F23" s="258"/>
      <c r="H23" s="201">
        <v>3</v>
      </c>
      <c r="I23" s="202">
        <v>500</v>
      </c>
      <c r="K23" s="222"/>
      <c r="L23" s="336" t="s">
        <v>260</v>
      </c>
      <c r="M23" s="336"/>
      <c r="N23" s="336"/>
      <c r="O23" s="25"/>
      <c r="P23" s="25"/>
      <c r="Q23" s="262"/>
      <c r="R23" s="25"/>
      <c r="S23" s="183" t="s">
        <v>264</v>
      </c>
      <c r="T23" s="33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-48041.563010332582</v>
      </c>
      <c r="U23" s="331"/>
      <c r="V23" s="33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0">
        <f>'Données projet'!A37</f>
        <v>50</v>
      </c>
      <c r="B24" s="191">
        <f>'Données projet'!D37</f>
        <v>35.58</v>
      </c>
      <c r="C24" s="204">
        <f>225*'Données projet'!E37+13.8*('Données projet'!F37+'Données projet'!G37)+10*'Données projet'!G37</f>
        <v>45</v>
      </c>
      <c r="D24" s="192">
        <f t="shared" ref="D24:D42" si="2">B24*C24</f>
        <v>1601.1</v>
      </c>
      <c r="E24" s="204"/>
      <c r="F24" s="261"/>
      <c r="H24" s="201">
        <v>4</v>
      </c>
      <c r="I24" s="202">
        <v>500</v>
      </c>
      <c r="K24" s="222"/>
      <c r="O24" s="25"/>
      <c r="P24" s="25"/>
      <c r="Q24" s="262"/>
      <c r="R24" s="25"/>
      <c r="S24" s="183" t="s">
        <v>261</v>
      </c>
      <c r="T24" s="332">
        <f ca="1">'Scénario référence'!$B$8*$M$30*'Données projet'!$C$5+('Scénario référence'!B9+'Scénario référence'!B10+'Scénario référence'!F8+'Scénario référence'!F9)*$N$19/(1+M4)^N16*'Données projet'!$C$5</f>
        <v>1000.5932381131139</v>
      </c>
      <c r="U24" s="332"/>
      <c r="V24" s="33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0">
        <f>'Données projet'!A38</f>
        <v>58</v>
      </c>
      <c r="B25" s="191">
        <f>'Données projet'!D38</f>
        <v>44.93</v>
      </c>
      <c r="C25" s="204">
        <f>225*'Données projet'!E38+13.8*('Données projet'!F38+'Données projet'!G38)+10*'Données projet'!G38</f>
        <v>45</v>
      </c>
      <c r="D25" s="192">
        <f t="shared" si="2"/>
        <v>2021.85</v>
      </c>
      <c r="E25" s="204"/>
      <c r="F25" s="261"/>
      <c r="G25" s="1"/>
      <c r="H25" s="201">
        <v>5</v>
      </c>
      <c r="I25" s="202"/>
      <c r="K25" s="222"/>
      <c r="L25" s="268" t="s">
        <v>285</v>
      </c>
      <c r="M25" s="268"/>
      <c r="N25" s="268"/>
      <c r="O25" s="268"/>
      <c r="P25" s="203"/>
      <c r="Q25" s="262"/>
      <c r="R25" s="25"/>
      <c r="S25" s="196" t="s">
        <v>266</v>
      </c>
      <c r="T25" s="333">
        <f ca="1">T23-T24</f>
        <v>-49042.156248445695</v>
      </c>
      <c r="U25" s="333"/>
      <c r="V25" s="33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0">
        <f>'Données projet'!A39</f>
        <v>66</v>
      </c>
      <c r="B26" s="191">
        <f>'Données projet'!D39</f>
        <v>49.91</v>
      </c>
      <c r="C26" s="204">
        <f>225*'Données projet'!E39+13.8*('Données projet'!F39+'Données projet'!G39)+10*'Données projet'!G39</f>
        <v>67.5</v>
      </c>
      <c r="D26" s="192">
        <f t="shared" si="2"/>
        <v>3368.9249999999997</v>
      </c>
      <c r="E26" s="204"/>
      <c r="F26" s="261"/>
      <c r="G26" s="256"/>
      <c r="H26" s="201"/>
      <c r="I26" s="202"/>
      <c r="K26" s="222"/>
      <c r="L26" s="320" t="s">
        <v>258</v>
      </c>
      <c r="M26" s="321"/>
      <c r="N26" s="321"/>
      <c r="O26" s="321"/>
      <c r="P26" s="322"/>
      <c r="Q26" s="262"/>
      <c r="R26" s="25"/>
      <c r="S26" s="196" t="s">
        <v>265</v>
      </c>
      <c r="T26" s="330" t="str">
        <f ca="1">IF(T25&lt;0,"Votre projet est additionnel","Votre projet n'est pas additionnel")</f>
        <v>Votre projet est additionnel</v>
      </c>
      <c r="U26" s="330"/>
      <c r="V26" s="33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0">
        <f>'Données projet'!A40</f>
        <v>74</v>
      </c>
      <c r="B27" s="191">
        <f>'Données projet'!D40</f>
        <v>47.4</v>
      </c>
      <c r="C27" s="204">
        <f>225*'Données projet'!E40+13.8*('Données projet'!F40+'Données projet'!G40)+10*'Données projet'!G40</f>
        <v>90</v>
      </c>
      <c r="D27" s="192">
        <f t="shared" si="2"/>
        <v>4266</v>
      </c>
      <c r="E27" s="204"/>
      <c r="F27" s="261"/>
      <c r="G27" s="256"/>
      <c r="H27" s="201"/>
      <c r="I27" s="202"/>
      <c r="K27" s="222"/>
      <c r="L27" s="323"/>
      <c r="M27" s="324"/>
      <c r="N27" s="324"/>
      <c r="O27" s="324"/>
      <c r="P27" s="325"/>
      <c r="Q27" s="262"/>
      <c r="R27" s="25"/>
      <c r="S27" s="329" t="s">
        <v>267</v>
      </c>
      <c r="T27" s="329"/>
      <c r="U27" s="329"/>
      <c r="V27" s="32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0">
        <f>'Données projet'!A41</f>
        <v>84</v>
      </c>
      <c r="B28" s="191">
        <f>'Données projet'!D41</f>
        <v>61.47</v>
      </c>
      <c r="C28" s="204">
        <f>225*'Données projet'!E41+13.8*('Données projet'!F41+'Données projet'!G41)+10*'Données projet'!G41</f>
        <v>90</v>
      </c>
      <c r="D28" s="192">
        <f t="shared" si="2"/>
        <v>5532.3</v>
      </c>
      <c r="E28" s="204"/>
      <c r="F28" s="261"/>
      <c r="G28" s="219"/>
      <c r="H28" s="201"/>
      <c r="I28" s="202"/>
      <c r="K28" s="222"/>
      <c r="Q28" s="262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0">
        <f>'Données projet'!A42</f>
        <v>94</v>
      </c>
      <c r="B29" s="191">
        <f>'Données projet'!D42</f>
        <v>61.85</v>
      </c>
      <c r="C29" s="204">
        <f>225*'Données projet'!E42+13.8*('Données projet'!F42+'Données projet'!G42)+10*'Données projet'!G42</f>
        <v>112.5</v>
      </c>
      <c r="D29" s="192">
        <f t="shared" si="2"/>
        <v>6958.125</v>
      </c>
      <c r="E29" s="204"/>
      <c r="F29" s="261"/>
      <c r="G29" s="215"/>
      <c r="H29" s="201"/>
      <c r="I29" s="202"/>
      <c r="K29" s="222"/>
      <c r="O29" s="25"/>
      <c r="P29" s="25"/>
      <c r="Q29" s="262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0">
        <f>'Données projet'!A43</f>
        <v>104</v>
      </c>
      <c r="B30" s="191">
        <f>'Données projet'!D43</f>
        <v>60.19</v>
      </c>
      <c r="C30" s="204">
        <f>225*'Données projet'!E43+13.8*('Données projet'!F43+'Données projet'!G43)+10*'Données projet'!G43</f>
        <v>112.5</v>
      </c>
      <c r="D30" s="192">
        <f t="shared" si="2"/>
        <v>6771.375</v>
      </c>
      <c r="E30" s="204"/>
      <c r="F30" s="261"/>
      <c r="G30" s="215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3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0">
        <f>'Données projet'!A44</f>
        <v>114</v>
      </c>
      <c r="B31" s="191">
        <f>'Données projet'!D44</f>
        <v>56.07</v>
      </c>
      <c r="C31" s="204">
        <f>225*'Données projet'!E44+13.8*('Données projet'!F44+'Données projet'!G44)+10*'Données projet'!G44</f>
        <v>135</v>
      </c>
      <c r="D31" s="192">
        <f t="shared" si="2"/>
        <v>7569.45</v>
      </c>
      <c r="E31" s="204"/>
      <c r="F31" s="261"/>
      <c r="G31" s="215"/>
      <c r="H31" s="201"/>
      <c r="I31" s="202"/>
      <c r="K31" s="181"/>
      <c r="Q31" s="262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0">
        <f>'Données projet'!A45</f>
        <v>124</v>
      </c>
      <c r="B32" s="191">
        <f>'Données projet'!D45</f>
        <v>52.53</v>
      </c>
      <c r="C32" s="204">
        <f>225*'Données projet'!E45+13.8*('Données projet'!F45+'Données projet'!G45)+10*'Données projet'!G45</f>
        <v>157.5</v>
      </c>
      <c r="D32" s="192">
        <f t="shared" si="2"/>
        <v>8273.4750000000004</v>
      </c>
      <c r="E32" s="204"/>
      <c r="F32" s="261"/>
      <c r="G32" s="215"/>
      <c r="H32" s="201"/>
      <c r="I32" s="202"/>
      <c r="K32" s="181"/>
      <c r="N32" s="5"/>
      <c r="O32" s="267" t="s">
        <v>178</v>
      </c>
      <c r="P32" s="267" t="s">
        <v>252</v>
      </c>
      <c r="Q32" s="262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0">
        <f>'Données projet'!A46</f>
        <v>134</v>
      </c>
      <c r="B33" s="191">
        <f>'Données projet'!D46</f>
        <v>54.95</v>
      </c>
      <c r="C33" s="204">
        <f>225*'Données projet'!E46+13.8*('Données projet'!F46+'Données projet'!G46)+10*'Données projet'!G46</f>
        <v>157.5</v>
      </c>
      <c r="D33" s="192">
        <f t="shared" si="2"/>
        <v>8654.625</v>
      </c>
      <c r="E33" s="204"/>
      <c r="F33" s="261"/>
      <c r="G33" s="215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2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0">
        <f>'Données projet'!A47</f>
        <v>144</v>
      </c>
      <c r="B34" s="191">
        <f>'Données projet'!D47</f>
        <v>56.01</v>
      </c>
      <c r="C34" s="204">
        <f>225*'Données projet'!E47+13.8*('Données projet'!F47+'Données projet'!G47)+10*'Données projet'!G47</f>
        <v>157.5</v>
      </c>
      <c r="D34" s="192">
        <f t="shared" si="2"/>
        <v>8821.5749999999989</v>
      </c>
      <c r="E34" s="204"/>
      <c r="F34" s="261"/>
      <c r="G34" s="215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3"/>
        <v>0</v>
      </c>
      <c r="Q34" s="262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0">
        <f>'Données projet'!A48</f>
        <v>154</v>
      </c>
      <c r="B35" s="191">
        <f>'Données projet'!D48</f>
        <v>55.13</v>
      </c>
      <c r="C35" s="204">
        <f>225*'Données projet'!E48+13.8*('Données projet'!F48+'Données projet'!G48)+10*'Données projet'!G48</f>
        <v>157.5</v>
      </c>
      <c r="D35" s="192">
        <f t="shared" si="2"/>
        <v>8682.9750000000004</v>
      </c>
      <c r="E35" s="204"/>
      <c r="F35" s="261"/>
      <c r="G35" s="215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3"/>
        <v>0</v>
      </c>
      <c r="Q35" s="262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0">
        <f>'Données projet'!A49</f>
        <v>164</v>
      </c>
      <c r="B36" s="191">
        <f>'Données projet'!D49</f>
        <v>59.58</v>
      </c>
      <c r="C36" s="204">
        <f>225*'Données projet'!E49+13.8*('Données projet'!F49+'Données projet'!G49)+10*'Données projet'!G49</f>
        <v>180</v>
      </c>
      <c r="D36" s="192">
        <f t="shared" si="2"/>
        <v>10724.4</v>
      </c>
      <c r="E36" s="204"/>
      <c r="F36" s="261"/>
      <c r="G36" s="215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2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0">
        <f>'Données projet'!A50</f>
        <v>174</v>
      </c>
      <c r="B37" s="191">
        <f>'Données projet'!D50</f>
        <v>214.77</v>
      </c>
      <c r="C37" s="204">
        <f>225*'Données projet'!E50+13.8*('Données projet'!F50+'Données projet'!G50)+10*'Données projet'!G50</f>
        <v>180</v>
      </c>
      <c r="D37" s="192">
        <f t="shared" si="2"/>
        <v>38658.6</v>
      </c>
      <c r="E37" s="204"/>
      <c r="F37" s="261"/>
      <c r="G37" s="215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2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0">
        <f>'Données projet'!A51</f>
        <v>177</v>
      </c>
      <c r="B38" s="191">
        <f>'Données projet'!D51</f>
        <v>115.19</v>
      </c>
      <c r="C38" s="204">
        <f>225*'Données projet'!E51+13.8*('Données projet'!F51+'Données projet'!G51)+10*'Données projet'!G51</f>
        <v>180</v>
      </c>
      <c r="D38" s="192">
        <f t="shared" si="2"/>
        <v>20734.2</v>
      </c>
      <c r="E38" s="204"/>
      <c r="F38" s="261"/>
      <c r="G38" s="215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2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0">
        <f>'Données projet'!A52</f>
        <v>180</v>
      </c>
      <c r="B39" s="191">
        <f>'Données projet'!D52</f>
        <v>77.72</v>
      </c>
      <c r="C39" s="204">
        <f>225*'Données projet'!E52+13.8*('Données projet'!F52+'Données projet'!G52)+10*'Données projet'!G52</f>
        <v>180</v>
      </c>
      <c r="D39" s="192">
        <f t="shared" si="2"/>
        <v>13989.6</v>
      </c>
      <c r="E39" s="204"/>
      <c r="F39" s="261"/>
      <c r="G39" s="215"/>
      <c r="H39" s="201"/>
      <c r="I39" s="202"/>
      <c r="K39" s="222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2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0">
        <f>'Données projet'!A53</f>
        <v>183</v>
      </c>
      <c r="B40" s="191">
        <f>'Données projet'!D53</f>
        <v>169.76</v>
      </c>
      <c r="C40" s="204">
        <f>225*'Données projet'!E53+13.8*('Données projet'!F53+'Données projet'!G53)+10*'Données projet'!G53</f>
        <v>180</v>
      </c>
      <c r="D40" s="192">
        <f t="shared" si="2"/>
        <v>30556.799999999999</v>
      </c>
      <c r="E40" s="204"/>
      <c r="F40" s="261"/>
      <c r="G40" s="215"/>
      <c r="H40" s="201"/>
      <c r="I40" s="202"/>
      <c r="K40" s="222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2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0">
        <f>'Données projet'!A54</f>
        <v>0</v>
      </c>
      <c r="B41" s="191">
        <f>'Données projet'!D54</f>
        <v>0</v>
      </c>
      <c r="C41" s="204">
        <f>225*'Données projet'!E54+13.8*('Données projet'!F54+'Données projet'!G54)+10*'Données projet'!G54</f>
        <v>0</v>
      </c>
      <c r="D41" s="192">
        <f t="shared" si="2"/>
        <v>0</v>
      </c>
      <c r="E41" s="204"/>
      <c r="F41" s="261"/>
      <c r="G41" s="215"/>
      <c r="H41" s="201"/>
      <c r="I41" s="202"/>
      <c r="K41" s="222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2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0">
        <f>'Données projet'!A55</f>
        <v>0</v>
      </c>
      <c r="B42" s="191">
        <f>'Données projet'!D55</f>
        <v>0</v>
      </c>
      <c r="C42" s="204">
        <f>225*'Données projet'!E55+13.8*('Données projet'!F55+'Données projet'!G55)+10*'Données projet'!G55</f>
        <v>0</v>
      </c>
      <c r="D42" s="192">
        <f t="shared" si="2"/>
        <v>0</v>
      </c>
      <c r="E42" s="204"/>
      <c r="F42" s="261"/>
      <c r="G42" s="215"/>
      <c r="H42" s="201"/>
      <c r="I42" s="202"/>
      <c r="K42" s="222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2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7"/>
      <c r="B43" s="197"/>
      <c r="C43" s="197"/>
      <c r="D43" s="253"/>
      <c r="E43" s="253"/>
      <c r="F43" s="266"/>
      <c r="G43" s="215"/>
      <c r="H43" s="201"/>
      <c r="I43" s="202"/>
      <c r="K43" s="222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58"/>
      <c r="G44" s="215"/>
      <c r="H44" s="201"/>
      <c r="I44" s="202"/>
      <c r="K44" s="222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4" t="str">
        <f>IF('Données projet'!$B$10="","",'Données projet'!$B$10)</f>
        <v>Cormier</v>
      </c>
      <c r="C45" s="5"/>
      <c r="D45" s="5"/>
      <c r="E45" s="5"/>
      <c r="F45" s="258"/>
      <c r="G45" s="215"/>
      <c r="H45" s="201"/>
      <c r="I45" s="202"/>
      <c r="J45" s="25"/>
      <c r="K45" s="222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58"/>
      <c r="G46" s="215"/>
      <c r="H46" s="201"/>
      <c r="I46" s="202"/>
      <c r="J46" s="25"/>
      <c r="K46" s="222"/>
      <c r="L46" s="217"/>
      <c r="M46" s="217"/>
      <c r="N46" s="217"/>
      <c r="O46" s="205">
        <f>IF(O45+1&lt;=MIN('Données projet'!$E$9:$E$18),O45+1,"STOP")</f>
        <v>13</v>
      </c>
      <c r="P46" s="198">
        <f t="shared" si="3"/>
        <v>0</v>
      </c>
      <c r="Q46" s="26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4" t="s">
        <v>180</v>
      </c>
      <c r="B47" s="51" t="s">
        <v>256</v>
      </c>
      <c r="C47" s="51" t="s">
        <v>255</v>
      </c>
      <c r="D47" s="254" t="s">
        <v>252</v>
      </c>
      <c r="E47" s="254" t="s">
        <v>320</v>
      </c>
      <c r="F47" s="259"/>
      <c r="G47" s="215"/>
      <c r="H47" s="201"/>
      <c r="I47" s="202"/>
      <c r="J47" s="25"/>
      <c r="K47" s="222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7">
        <v>0</v>
      </c>
      <c r="B48" s="210" t="s">
        <v>132</v>
      </c>
      <c r="C48" s="209" t="s">
        <v>132</v>
      </c>
      <c r="D48" s="208" t="s">
        <v>132</v>
      </c>
      <c r="E48" s="204">
        <v>6138.96</v>
      </c>
      <c r="F48" s="259"/>
      <c r="G48" s="215"/>
      <c r="H48" s="201"/>
      <c r="I48" s="202"/>
      <c r="J48" s="25"/>
      <c r="K48" s="222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">
      <c r="A49" s="207">
        <v>1</v>
      </c>
      <c r="B49" s="210" t="s">
        <v>132</v>
      </c>
      <c r="C49" s="209" t="s">
        <v>132</v>
      </c>
      <c r="D49" s="208" t="s">
        <v>132</v>
      </c>
      <c r="E49" s="204"/>
      <c r="F49" s="259"/>
      <c r="G49" s="216"/>
      <c r="H49" s="201"/>
      <c r="I49" s="202"/>
      <c r="J49" s="217"/>
      <c r="K49" s="224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4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ht="16" x14ac:dyDescent="0.2">
      <c r="A50" s="207">
        <v>2</v>
      </c>
      <c r="B50" s="210" t="s">
        <v>132</v>
      </c>
      <c r="C50" s="209" t="s">
        <v>132</v>
      </c>
      <c r="D50" s="208" t="s">
        <v>132</v>
      </c>
      <c r="E50" s="204"/>
      <c r="F50" s="259"/>
      <c r="G50" s="218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7">
        <v>3</v>
      </c>
      <c r="B51" s="210" t="s">
        <v>132</v>
      </c>
      <c r="C51" s="209" t="s">
        <v>132</v>
      </c>
      <c r="D51" s="208" t="s">
        <v>132</v>
      </c>
      <c r="E51" s="204"/>
      <c r="F51" s="259"/>
      <c r="G51" s="218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7">
        <v>4</v>
      </c>
      <c r="B52" s="210" t="s">
        <v>132</v>
      </c>
      <c r="C52" s="209" t="s">
        <v>132</v>
      </c>
      <c r="D52" s="208" t="s">
        <v>132</v>
      </c>
      <c r="E52" s="204"/>
      <c r="F52" s="259"/>
      <c r="G52" s="218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7">
        <v>5</v>
      </c>
      <c r="B53" s="210" t="s">
        <v>132</v>
      </c>
      <c r="C53" s="209" t="s">
        <v>132</v>
      </c>
      <c r="D53" s="208" t="s">
        <v>132</v>
      </c>
      <c r="E53" s="204"/>
      <c r="F53" s="259"/>
      <c r="G53" s="219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0">
        <f>'Données projet'!A62</f>
        <v>42</v>
      </c>
      <c r="B54" s="191">
        <f>'Données projet'!D62</f>
        <v>43.21</v>
      </c>
      <c r="C54" s="202">
        <f>300*'Données projet'!E62+13.8*('Données projet'!F62+'Données projet'!G62)+10*'Données projet'!H62</f>
        <v>68</v>
      </c>
      <c r="D54" s="189">
        <f>B54*C54</f>
        <v>2938.28</v>
      </c>
      <c r="E54" s="204"/>
      <c r="F54" s="260"/>
      <c r="G54" s="219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0">
        <f>'Données projet'!A63</f>
        <v>50</v>
      </c>
      <c r="B55" s="191">
        <f>'Données projet'!D63</f>
        <v>35.58</v>
      </c>
      <c r="C55" s="202">
        <f>300*'Données projet'!E63+13.8*('Données projet'!F63+'Données projet'!G63)+10*'Données projet'!H63</f>
        <v>68</v>
      </c>
      <c r="D55" s="189">
        <f t="shared" ref="D55:D73" si="4">B55*C55</f>
        <v>2419.44</v>
      </c>
      <c r="E55" s="204"/>
      <c r="F55" s="260"/>
      <c r="G55" s="219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0">
        <f>'Données projet'!A64</f>
        <v>58</v>
      </c>
      <c r="B56" s="191">
        <f>'Données projet'!D64</f>
        <v>44.93</v>
      </c>
      <c r="C56" s="202">
        <f>300*'Données projet'!E64+13.8*('Données projet'!F64+'Données projet'!G64)+10*'Données projet'!H64</f>
        <v>68</v>
      </c>
      <c r="D56" s="189">
        <f t="shared" si="4"/>
        <v>3055.24</v>
      </c>
      <c r="E56" s="204"/>
      <c r="F56" s="260"/>
      <c r="G56" s="219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0">
        <f>'Données projet'!A65</f>
        <v>66</v>
      </c>
      <c r="B57" s="191">
        <f>'Données projet'!D65</f>
        <v>49.91</v>
      </c>
      <c r="C57" s="202">
        <f>300*'Données projet'!E65+13.8*('Données projet'!F65+'Données projet'!G65)+10*'Données projet'!H65</f>
        <v>97</v>
      </c>
      <c r="D57" s="189">
        <f t="shared" si="4"/>
        <v>4841.2699999999995</v>
      </c>
      <c r="E57" s="204"/>
      <c r="F57" s="260"/>
      <c r="G57" s="219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0">
        <f>'Données projet'!A66</f>
        <v>74</v>
      </c>
      <c r="B58" s="191">
        <f>'Données projet'!D66</f>
        <v>47.4</v>
      </c>
      <c r="C58" s="202">
        <f>300*'Données projet'!E66+13.8*('Données projet'!F66+'Données projet'!G66)+10*'Données projet'!H66</f>
        <v>126</v>
      </c>
      <c r="D58" s="189">
        <f t="shared" si="4"/>
        <v>5972.4</v>
      </c>
      <c r="E58" s="204"/>
      <c r="F58" s="260"/>
      <c r="G58" s="219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0">
        <f>'Données projet'!A67</f>
        <v>84</v>
      </c>
      <c r="B59" s="191">
        <f>'Données projet'!D67</f>
        <v>61.47</v>
      </c>
      <c r="C59" s="202">
        <f>300*'Données projet'!E67+13.8*('Données projet'!F67+'Données projet'!G67)+10*'Données projet'!H67</f>
        <v>126</v>
      </c>
      <c r="D59" s="189">
        <f t="shared" si="4"/>
        <v>7745.22</v>
      </c>
      <c r="E59" s="204"/>
      <c r="F59" s="260"/>
      <c r="G59" s="219"/>
      <c r="H59" s="201"/>
      <c r="I59" s="202"/>
      <c r="J59" s="25"/>
      <c r="K59" s="181"/>
      <c r="L59" s="5"/>
      <c r="M59" s="5"/>
      <c r="N59" s="5"/>
      <c r="O59" s="205" t="str">
        <f>IF(O58+1&lt;=MIN('Données projet'!$E$9:$E$18),O58+1,"STOP")</f>
        <v>STOP</v>
      </c>
      <c r="P59" s="195" t="e">
        <f t="shared" si="3"/>
        <v>#VALUE!</v>
      </c>
      <c r="Q59" s="26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0">
        <f>'Données projet'!A68</f>
        <v>94</v>
      </c>
      <c r="B60" s="191">
        <f>'Données projet'!D68</f>
        <v>61.85</v>
      </c>
      <c r="C60" s="202">
        <f>300*'Données projet'!E68+13.8*('Données projet'!F68+'Données projet'!G68)+10*'Données projet'!H68</f>
        <v>155</v>
      </c>
      <c r="D60" s="189">
        <f t="shared" si="4"/>
        <v>9586.75</v>
      </c>
      <c r="E60" s="204"/>
      <c r="F60" s="260"/>
      <c r="G60" s="220"/>
      <c r="H60" s="201"/>
      <c r="I60" s="202"/>
      <c r="J60" s="25"/>
      <c r="K60" s="181"/>
      <c r="L60" s="5"/>
      <c r="M60" s="5"/>
      <c r="N60" s="5"/>
      <c r="O60" s="205" t="e">
        <f>IF(O59+1&lt;=MIN('Données projet'!$E$9:$E$18),O59+1,"STOP")</f>
        <v>#VALUE!</v>
      </c>
      <c r="P60" s="195" t="e">
        <f t="shared" si="3"/>
        <v>#VALUE!</v>
      </c>
      <c r="Q60" s="263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0">
        <f>'Données projet'!A69</f>
        <v>104</v>
      </c>
      <c r="B61" s="191">
        <f>'Données projet'!D69</f>
        <v>60.19</v>
      </c>
      <c r="C61" s="202">
        <f>300*'Données projet'!E69+13.8*('Données projet'!F69+'Données projet'!G69)+10*'Données projet'!H69</f>
        <v>155</v>
      </c>
      <c r="D61" s="189">
        <f t="shared" si="4"/>
        <v>9329.4499999999989</v>
      </c>
      <c r="E61" s="204"/>
      <c r="F61" s="260"/>
      <c r="G61" s="220"/>
      <c r="H61" s="201"/>
      <c r="I61" s="202"/>
      <c r="J61" s="25"/>
      <c r="K61" s="181"/>
      <c r="L61" s="5"/>
      <c r="M61" s="5"/>
      <c r="N61" s="5"/>
      <c r="O61" s="205" t="e">
        <f>IF(O60+1&lt;=MIN('Données projet'!$E$9:$E$18),O60+1,"STOP")</f>
        <v>#VALUE!</v>
      </c>
      <c r="P61" s="195" t="e">
        <f t="shared" si="3"/>
        <v>#VALUE!</v>
      </c>
      <c r="Q61" s="263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0">
        <f>'Données projet'!A70</f>
        <v>114</v>
      </c>
      <c r="B62" s="191">
        <f>'Données projet'!D70</f>
        <v>56.07</v>
      </c>
      <c r="C62" s="202">
        <f>300*'Données projet'!E70+13.8*('Données projet'!F70+'Données projet'!G70)+10*'Données projet'!H70</f>
        <v>184</v>
      </c>
      <c r="D62" s="189">
        <f t="shared" si="4"/>
        <v>10316.879999999999</v>
      </c>
      <c r="E62" s="204"/>
      <c r="F62" s="260"/>
      <c r="G62" s="220"/>
      <c r="H62" s="201"/>
      <c r="I62" s="202"/>
      <c r="J62" s="25"/>
      <c r="K62" s="181"/>
      <c r="L62" s="5"/>
      <c r="M62" s="5"/>
      <c r="N62" s="5"/>
      <c r="O62" s="205" t="e">
        <f>IF(O61+1&lt;=MIN('Données projet'!$E$9:$E$18),O61+1,"STOP")</f>
        <v>#VALUE!</v>
      </c>
      <c r="P62" s="195" t="e">
        <f t="shared" si="3"/>
        <v>#VALUE!</v>
      </c>
      <c r="Q62" s="263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0">
        <f>'Données projet'!A71</f>
        <v>124</v>
      </c>
      <c r="B63" s="191">
        <f>'Données projet'!D71</f>
        <v>408.42</v>
      </c>
      <c r="C63" s="202">
        <f>300*'Données projet'!E71+13.8*('Données projet'!F71+'Données projet'!G71)+10*'Données projet'!H71</f>
        <v>213</v>
      </c>
      <c r="D63" s="189">
        <f t="shared" si="4"/>
        <v>86993.46</v>
      </c>
      <c r="E63" s="204"/>
      <c r="F63" s="260"/>
      <c r="G63" s="220"/>
      <c r="H63" s="201"/>
      <c r="I63" s="202"/>
      <c r="J63" s="25"/>
      <c r="K63" s="181"/>
      <c r="L63" s="5"/>
      <c r="M63" s="5"/>
      <c r="N63" s="5"/>
      <c r="O63" s="205" t="e">
        <f>IF(O62+1&lt;=MIN('Données projet'!$E$9:$E$18),O62+1,"STOP")</f>
        <v>#VALUE!</v>
      </c>
      <c r="P63" s="195" t="e">
        <f t="shared" si="3"/>
        <v>#VALUE!</v>
      </c>
      <c r="Q63" s="263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0">
        <f>'Données projet'!A72</f>
        <v>0</v>
      </c>
      <c r="B64" s="191">
        <f>'Données projet'!D72</f>
        <v>0</v>
      </c>
      <c r="C64" s="202">
        <f>300*'Données projet'!E72+13.8*('Données projet'!F72+'Données projet'!G72)+10*'Données projet'!H72</f>
        <v>0</v>
      </c>
      <c r="D64" s="189">
        <f t="shared" si="4"/>
        <v>0</v>
      </c>
      <c r="E64" s="204"/>
      <c r="F64" s="260"/>
      <c r="G64" s="220"/>
      <c r="H64" s="201"/>
      <c r="I64" s="202"/>
      <c r="J64" s="221"/>
      <c r="K64" s="181"/>
      <c r="L64" s="5"/>
      <c r="M64" s="5"/>
      <c r="N64" s="5"/>
      <c r="O64" s="205" t="e">
        <f>IF(O63+1&lt;=MIN('Données projet'!$E$9:$E$18),O63+1,"STOP")</f>
        <v>#VALUE!</v>
      </c>
      <c r="P64" s="195" t="e">
        <f t="shared" si="3"/>
        <v>#VALUE!</v>
      </c>
      <c r="Q64" s="263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0">
        <f>'Données projet'!A73</f>
        <v>0</v>
      </c>
      <c r="B65" s="191">
        <f>'Données projet'!D73</f>
        <v>0</v>
      </c>
      <c r="C65" s="202">
        <f>300*'Données projet'!E73+13.8*('Données projet'!F73+'Données projet'!G73)+10*'Données projet'!H73</f>
        <v>0</v>
      </c>
      <c r="D65" s="189">
        <f t="shared" si="4"/>
        <v>0</v>
      </c>
      <c r="E65" s="204"/>
      <c r="F65" s="260"/>
      <c r="G65" s="220"/>
      <c r="H65" s="201"/>
      <c r="I65" s="202"/>
      <c r="J65" s="199"/>
      <c r="K65" s="181"/>
      <c r="L65" s="5"/>
      <c r="M65" s="5"/>
      <c r="N65" s="5"/>
      <c r="O65" s="205" t="e">
        <f>IF(O64+1&lt;=MIN('Données projet'!$E$9:$E$18),O64+1,"STOP")</f>
        <v>#VALUE!</v>
      </c>
      <c r="P65" s="195" t="e">
        <f t="shared" ref="P65:P96" si="5">$P$25/(1+$M$4)^O65</f>
        <v>#VALUE!</v>
      </c>
      <c r="Q65" s="263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0">
        <f>'Données projet'!A74</f>
        <v>0</v>
      </c>
      <c r="B66" s="191">
        <f>'Données projet'!D74</f>
        <v>0</v>
      </c>
      <c r="C66" s="202">
        <f>300*'Données projet'!E74+13.8*('Données projet'!F74+'Données projet'!G74)+10*'Données projet'!H74</f>
        <v>0</v>
      </c>
      <c r="D66" s="189">
        <f t="shared" si="4"/>
        <v>0</v>
      </c>
      <c r="E66" s="204"/>
      <c r="F66" s="260"/>
      <c r="G66" s="220"/>
      <c r="H66" s="201"/>
      <c r="I66" s="202"/>
      <c r="J66" s="199"/>
      <c r="K66" s="181"/>
      <c r="L66" s="5"/>
      <c r="M66" s="5"/>
      <c r="N66" s="5"/>
      <c r="O66" s="205" t="e">
        <f>IF(O65+1&lt;=MIN('Données projet'!$E$9:$E$18),O65+1,"STOP")</f>
        <v>#VALUE!</v>
      </c>
      <c r="P66" s="195" t="e">
        <f t="shared" si="5"/>
        <v>#VALUE!</v>
      </c>
      <c r="Q66" s="263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0">
        <f>'Données projet'!A75</f>
        <v>0</v>
      </c>
      <c r="B67" s="191">
        <f>'Données projet'!D75</f>
        <v>0</v>
      </c>
      <c r="C67" s="202">
        <f>300*'Données projet'!E75+13.8*('Données projet'!F75+'Données projet'!G75)+10*'Données projet'!H75</f>
        <v>0</v>
      </c>
      <c r="D67" s="189">
        <f t="shared" si="4"/>
        <v>0</v>
      </c>
      <c r="E67" s="204"/>
      <c r="F67" s="260"/>
      <c r="G67" s="220"/>
      <c r="H67" s="201"/>
      <c r="I67" s="202"/>
      <c r="J67" s="199"/>
      <c r="K67" s="181"/>
      <c r="L67" s="5"/>
      <c r="M67" s="5"/>
      <c r="N67" s="5"/>
      <c r="O67" s="205" t="e">
        <f>IF(O66+1&lt;=MIN('Données projet'!$E$9:$E$18),O66+1,"STOP")</f>
        <v>#VALUE!</v>
      </c>
      <c r="P67" s="195" t="e">
        <f t="shared" si="5"/>
        <v>#VALUE!</v>
      </c>
      <c r="Q67" s="263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0">
        <f>'Données projet'!A76</f>
        <v>0</v>
      </c>
      <c r="B68" s="191">
        <f>'Données projet'!D76</f>
        <v>0</v>
      </c>
      <c r="C68" s="202">
        <f>300*'Données projet'!E76+13.8*('Données projet'!F76+'Données projet'!G76)+10*'Données projet'!H76</f>
        <v>0</v>
      </c>
      <c r="D68" s="189">
        <f t="shared" si="4"/>
        <v>0</v>
      </c>
      <c r="E68" s="204"/>
      <c r="F68" s="260"/>
      <c r="G68" s="220"/>
      <c r="H68" s="201"/>
      <c r="I68" s="202"/>
      <c r="J68" s="199"/>
      <c r="K68" s="181"/>
      <c r="L68" s="5"/>
      <c r="M68" s="5"/>
      <c r="N68" s="5"/>
      <c r="O68" s="205" t="e">
        <f>IF(O67+1&lt;=MIN('Données projet'!$E$9:$E$18),O67+1,"STOP")</f>
        <v>#VALUE!</v>
      </c>
      <c r="P68" s="195" t="e">
        <f t="shared" si="5"/>
        <v>#VALUE!</v>
      </c>
      <c r="Q68" s="263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0">
        <f>'Données projet'!A77</f>
        <v>0</v>
      </c>
      <c r="B69" s="191">
        <f>'Données projet'!D77</f>
        <v>0</v>
      </c>
      <c r="C69" s="202">
        <f>300*'Données projet'!E77+13.8*('Données projet'!F77+'Données projet'!G77)+10*'Données projet'!H77</f>
        <v>0</v>
      </c>
      <c r="D69" s="189">
        <f t="shared" si="4"/>
        <v>0</v>
      </c>
      <c r="E69" s="204"/>
      <c r="F69" s="260"/>
      <c r="G69" s="220"/>
      <c r="H69" s="201"/>
      <c r="I69" s="202"/>
      <c r="J69" s="199"/>
      <c r="K69" s="181"/>
      <c r="L69" s="5"/>
      <c r="M69" s="5"/>
      <c r="N69" s="5"/>
      <c r="O69" s="205" t="e">
        <f>IF(O68+1&lt;=MIN('Données projet'!$E$9:$E$18),O68+1,"STOP")</f>
        <v>#VALUE!</v>
      </c>
      <c r="P69" s="195" t="e">
        <f t="shared" si="5"/>
        <v>#VALUE!</v>
      </c>
      <c r="Q69" s="263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0">
        <f>'Données projet'!A78</f>
        <v>0</v>
      </c>
      <c r="B70" s="191">
        <f>'Données projet'!D78</f>
        <v>0</v>
      </c>
      <c r="C70" s="202">
        <f>300*'Données projet'!E78+13.8*('Données projet'!F78+'Données projet'!G78)+10*'Données projet'!H78</f>
        <v>0</v>
      </c>
      <c r="D70" s="189">
        <f t="shared" si="4"/>
        <v>0</v>
      </c>
      <c r="E70" s="204"/>
      <c r="F70" s="260"/>
      <c r="G70" s="220"/>
      <c r="H70" s="201"/>
      <c r="I70" s="202"/>
      <c r="J70" s="199"/>
      <c r="K70" s="181"/>
      <c r="L70" s="5"/>
      <c r="M70" s="5"/>
      <c r="N70" s="5"/>
      <c r="O70" s="205" t="e">
        <f>IF(O69+1&lt;=MIN('Données projet'!$E$9:$E$18),O69+1,"STOP")</f>
        <v>#VALUE!</v>
      </c>
      <c r="P70" s="195" t="e">
        <f t="shared" si="5"/>
        <v>#VALUE!</v>
      </c>
      <c r="Q70" s="263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0">
        <f>'Données projet'!A79</f>
        <v>0</v>
      </c>
      <c r="B71" s="191">
        <f>'Données projet'!D79</f>
        <v>0</v>
      </c>
      <c r="C71" s="202">
        <f>300*'Données projet'!E79+13.8*('Données projet'!F79+'Données projet'!G79)+10*'Données projet'!H79</f>
        <v>0</v>
      </c>
      <c r="D71" s="189">
        <f t="shared" si="4"/>
        <v>0</v>
      </c>
      <c r="E71" s="204"/>
      <c r="F71" s="260"/>
      <c r="G71" s="220"/>
      <c r="H71" s="201"/>
      <c r="I71" s="202"/>
      <c r="J71" s="199"/>
      <c r="K71" s="181"/>
      <c r="L71" s="5"/>
      <c r="M71" s="5"/>
      <c r="N71" s="5"/>
      <c r="O71" s="205" t="e">
        <f>IF(O70+1&lt;=MIN('Données projet'!$E$9:$E$18),O70+1,"STOP")</f>
        <v>#VALUE!</v>
      </c>
      <c r="P71" s="195" t="e">
        <f t="shared" si="5"/>
        <v>#VALUE!</v>
      </c>
      <c r="Q71" s="263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0">
        <f>'Données projet'!A80</f>
        <v>0</v>
      </c>
      <c r="B72" s="191">
        <f>'Données projet'!D80</f>
        <v>0</v>
      </c>
      <c r="C72" s="202">
        <f>300*'Données projet'!E80+13.8*('Données projet'!F80+'Données projet'!G80)+10*'Données projet'!H80</f>
        <v>0</v>
      </c>
      <c r="D72" s="189">
        <f t="shared" si="4"/>
        <v>0</v>
      </c>
      <c r="E72" s="204"/>
      <c r="F72" s="260"/>
      <c r="G72" s="220"/>
      <c r="H72" s="201"/>
      <c r="I72" s="202"/>
      <c r="J72" s="5"/>
      <c r="K72" s="181"/>
      <c r="L72" s="5"/>
      <c r="M72" s="5"/>
      <c r="N72" s="5"/>
      <c r="O72" s="205" t="e">
        <f>IF(O71+1&lt;=MIN('Données projet'!$E$9:$E$18),O71+1,"STOP")</f>
        <v>#VALUE!</v>
      </c>
      <c r="P72" s="195" t="e">
        <f t="shared" si="5"/>
        <v>#VALUE!</v>
      </c>
      <c r="Q72" s="263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0">
        <f>'Données projet'!A81</f>
        <v>0</v>
      </c>
      <c r="B73" s="191">
        <f>'Données projet'!D81</f>
        <v>0</v>
      </c>
      <c r="C73" s="202">
        <f>300*'Données projet'!E81+13.8*('Données projet'!F81+'Données projet'!G81)+10*'Données projet'!H81</f>
        <v>0</v>
      </c>
      <c r="D73" s="189">
        <f t="shared" si="4"/>
        <v>0</v>
      </c>
      <c r="E73" s="204"/>
      <c r="F73" s="260"/>
      <c r="G73" s="220"/>
      <c r="H73" s="201"/>
      <c r="I73" s="202"/>
      <c r="J73" s="5"/>
      <c r="K73" s="181"/>
      <c r="L73" s="5"/>
      <c r="M73" s="5"/>
      <c r="N73" s="5"/>
      <c r="O73" s="205" t="e">
        <f>IF(O72+1&lt;=MIN('Données projet'!$E$9:$E$18),O72+1,"STOP")</f>
        <v>#VALUE!</v>
      </c>
      <c r="P73" s="195" t="e">
        <f t="shared" si="5"/>
        <v>#VALUE!</v>
      </c>
      <c r="Q73" s="263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58"/>
      <c r="G74" s="220"/>
      <c r="H74" s="201"/>
      <c r="I74" s="202"/>
      <c r="J74" s="5"/>
      <c r="K74" s="181"/>
      <c r="L74" s="5"/>
      <c r="M74" s="5"/>
      <c r="N74" s="5"/>
      <c r="O74" s="205" t="e">
        <f>IF(O73+1&lt;=MIN('Données projet'!$E$9:$E$18),O73+1,"STOP")</f>
        <v>#VALUE!</v>
      </c>
      <c r="P74" s="195" t="e">
        <f t="shared" si="5"/>
        <v>#VALUE!</v>
      </c>
      <c r="Q74" s="263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58"/>
      <c r="G75" s="220"/>
      <c r="H75" s="201"/>
      <c r="I75" s="202"/>
      <c r="J75" s="5"/>
      <c r="K75" s="181"/>
      <c r="L75" s="5"/>
      <c r="M75" s="5"/>
      <c r="N75" s="5"/>
      <c r="O75" s="205" t="e">
        <f>IF(O74+1&lt;=MIN('Données projet'!$E$9:$E$18),O74+1,"STOP")</f>
        <v>#VALUE!</v>
      </c>
      <c r="P75" s="195" t="e">
        <f t="shared" si="5"/>
        <v>#VALUE!</v>
      </c>
      <c r="Q75" s="263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4" t="str">
        <f>IF('Données projet'!B11="","",'Données projet'!B11)</f>
        <v>Alisier torminal</v>
      </c>
      <c r="C76" s="5"/>
      <c r="D76" s="5"/>
      <c r="E76" s="5"/>
      <c r="F76" s="258"/>
      <c r="G76" s="220"/>
      <c r="H76" s="201"/>
      <c r="I76" s="202"/>
      <c r="J76" s="5"/>
      <c r="K76" s="181"/>
      <c r="L76" s="5"/>
      <c r="M76" s="5"/>
      <c r="N76" s="5"/>
      <c r="O76" s="205" t="e">
        <f>IF(O75+1&lt;=MIN('Données projet'!$E$9:$E$18),O75+1,"STOP")</f>
        <v>#VALUE!</v>
      </c>
      <c r="P76" s="195" t="e">
        <f t="shared" si="5"/>
        <v>#VALUE!</v>
      </c>
      <c r="Q76" s="263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58"/>
      <c r="G77" s="220"/>
      <c r="H77" s="201"/>
      <c r="I77" s="202"/>
      <c r="J77" s="5"/>
      <c r="K77" s="181"/>
      <c r="L77" s="5"/>
      <c r="M77" s="5"/>
      <c r="N77" s="5"/>
      <c r="O77" s="205" t="e">
        <f>IF(O76+1&lt;=MIN('Données projet'!$E$9:$E$18),O76+1,"STOP")</f>
        <v>#VALUE!</v>
      </c>
      <c r="P77" s="195" t="e">
        <f t="shared" si="5"/>
        <v>#VALUE!</v>
      </c>
      <c r="Q77" s="263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4" t="s">
        <v>180</v>
      </c>
      <c r="B78" s="51" t="s">
        <v>256</v>
      </c>
      <c r="C78" s="51" t="s">
        <v>255</v>
      </c>
      <c r="D78" s="254" t="s">
        <v>252</v>
      </c>
      <c r="E78" s="254" t="s">
        <v>320</v>
      </c>
      <c r="F78" s="259"/>
      <c r="G78" s="220"/>
      <c r="H78" s="201"/>
      <c r="I78" s="202"/>
      <c r="J78" s="5"/>
      <c r="K78" s="181"/>
      <c r="L78" s="5"/>
      <c r="M78" s="5"/>
      <c r="N78" s="5"/>
      <c r="O78" s="205" t="e">
        <f>IF(O77+1&lt;=MIN('Données projet'!$E$9:$E$18),O77+1,"STOP")</f>
        <v>#VALUE!</v>
      </c>
      <c r="P78" s="195" t="e">
        <f t="shared" si="5"/>
        <v>#VALUE!</v>
      </c>
      <c r="Q78" s="263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7">
        <v>0</v>
      </c>
      <c r="B79" s="210" t="s">
        <v>132</v>
      </c>
      <c r="C79" s="209" t="s">
        <v>132</v>
      </c>
      <c r="D79" s="208" t="s">
        <v>132</v>
      </c>
      <c r="E79" s="204">
        <v>6139</v>
      </c>
      <c r="F79" s="259"/>
      <c r="G79" s="220"/>
      <c r="H79" s="201"/>
      <c r="I79" s="202"/>
      <c r="J79" s="5"/>
      <c r="K79" s="181"/>
      <c r="L79" s="5"/>
      <c r="M79" s="5"/>
      <c r="N79" s="5"/>
      <c r="O79" s="205" t="e">
        <f>IF(O78+1&lt;=MIN('Données projet'!$E$9:$E$18),O78+1,"STOP")</f>
        <v>#VALUE!</v>
      </c>
      <c r="P79" s="195" t="e">
        <f t="shared" si="5"/>
        <v>#VALUE!</v>
      </c>
      <c r="Q79" s="263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7">
        <v>1</v>
      </c>
      <c r="B80" s="210" t="s">
        <v>132</v>
      </c>
      <c r="C80" s="209" t="s">
        <v>132</v>
      </c>
      <c r="D80" s="208" t="s">
        <v>132</v>
      </c>
      <c r="E80" s="204"/>
      <c r="F80" s="259"/>
      <c r="G80" s="218"/>
      <c r="H80" s="201"/>
      <c r="I80" s="202"/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5"/>
        <v>#VALUE!</v>
      </c>
      <c r="Q80" s="263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7">
        <v>2</v>
      </c>
      <c r="B81" s="210" t="s">
        <v>132</v>
      </c>
      <c r="C81" s="209" t="s">
        <v>132</v>
      </c>
      <c r="D81" s="208" t="s">
        <v>132</v>
      </c>
      <c r="E81" s="204"/>
      <c r="F81" s="259"/>
      <c r="G81" s="218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5"/>
        <v>#VALUE!</v>
      </c>
      <c r="Q81" s="263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7">
        <v>3</v>
      </c>
      <c r="B82" s="210" t="s">
        <v>132</v>
      </c>
      <c r="C82" s="209" t="s">
        <v>132</v>
      </c>
      <c r="D82" s="208" t="s">
        <v>132</v>
      </c>
      <c r="E82" s="204"/>
      <c r="F82" s="259"/>
      <c r="G82" s="218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5"/>
        <v>#VALUE!</v>
      </c>
      <c r="Q82" s="263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7">
        <v>4</v>
      </c>
      <c r="B83" s="210" t="s">
        <v>132</v>
      </c>
      <c r="C83" s="209" t="s">
        <v>132</v>
      </c>
      <c r="D83" s="208" t="s">
        <v>132</v>
      </c>
      <c r="E83" s="204"/>
      <c r="F83" s="259"/>
      <c r="G83" s="218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5"/>
        <v>#VALUE!</v>
      </c>
      <c r="Q83" s="263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7">
        <v>5</v>
      </c>
      <c r="B84" s="210" t="s">
        <v>132</v>
      </c>
      <c r="C84" s="209" t="s">
        <v>132</v>
      </c>
      <c r="D84" s="208" t="s">
        <v>132</v>
      </c>
      <c r="E84" s="204"/>
      <c r="F84" s="259"/>
      <c r="G84" s="219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5"/>
        <v>#VALUE!</v>
      </c>
      <c r="Q84" s="263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0">
        <f>'Données projet'!A88</f>
        <v>42</v>
      </c>
      <c r="B85" s="191">
        <f>'Données projet'!D88</f>
        <v>43.21</v>
      </c>
      <c r="C85" s="202">
        <f>300*'Données projet'!E88+13.8*('Données projet'!F88+'Données projet'!G88)+10*'Données projet'!H88</f>
        <v>68</v>
      </c>
      <c r="D85" s="189">
        <f>B85*C85</f>
        <v>2938.28</v>
      </c>
      <c r="E85" s="204"/>
      <c r="F85" s="260"/>
      <c r="G85" s="219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5"/>
        <v>#VALUE!</v>
      </c>
      <c r="Q85" s="263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0">
        <f>'Données projet'!A89</f>
        <v>50</v>
      </c>
      <c r="B86" s="191">
        <f>'Données projet'!D89</f>
        <v>35.58</v>
      </c>
      <c r="C86" s="202">
        <f>300*'Données projet'!E89+13.8*('Données projet'!F89+'Données projet'!G89)+10*'Données projet'!H89</f>
        <v>68</v>
      </c>
      <c r="D86" s="189">
        <f t="shared" ref="D86:D104" si="6">B86*C86</f>
        <v>2419.44</v>
      </c>
      <c r="E86" s="204"/>
      <c r="F86" s="260"/>
      <c r="G86" s="219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5"/>
        <v>#VALUE!</v>
      </c>
      <c r="Q86" s="263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0">
        <f>'Données projet'!A90</f>
        <v>58</v>
      </c>
      <c r="B87" s="191">
        <f>'Données projet'!D90</f>
        <v>44.93</v>
      </c>
      <c r="C87" s="202">
        <f>300*'Données projet'!E90+13.8*('Données projet'!F90+'Données projet'!G90)+10*'Données projet'!H90</f>
        <v>68</v>
      </c>
      <c r="D87" s="189">
        <f t="shared" si="6"/>
        <v>3055.24</v>
      </c>
      <c r="E87" s="204"/>
      <c r="F87" s="260"/>
      <c r="G87" s="219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5"/>
        <v>#VALUE!</v>
      </c>
      <c r="Q87" s="263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0">
        <f>'Données projet'!A91</f>
        <v>66</v>
      </c>
      <c r="B88" s="191">
        <f>'Données projet'!D91</f>
        <v>49.91</v>
      </c>
      <c r="C88" s="202">
        <f>300*'Données projet'!E91+13.8*('Données projet'!F91+'Données projet'!G91)+10*'Données projet'!H91</f>
        <v>97</v>
      </c>
      <c r="D88" s="189">
        <f t="shared" si="6"/>
        <v>4841.2699999999995</v>
      </c>
      <c r="E88" s="204"/>
      <c r="F88" s="260"/>
      <c r="G88" s="219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5"/>
        <v>#VALUE!</v>
      </c>
      <c r="Q88" s="263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0">
        <f>'Données projet'!A92</f>
        <v>74</v>
      </c>
      <c r="B89" s="191">
        <f>'Données projet'!D92</f>
        <v>47.4</v>
      </c>
      <c r="C89" s="202">
        <f>300*'Données projet'!E92+13.8*('Données projet'!F92+'Données projet'!G92)+10*'Données projet'!H92</f>
        <v>126</v>
      </c>
      <c r="D89" s="189">
        <f t="shared" si="6"/>
        <v>5972.4</v>
      </c>
      <c r="E89" s="204"/>
      <c r="F89" s="260"/>
      <c r="G89" s="219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5"/>
        <v>#VALUE!</v>
      </c>
      <c r="Q89" s="263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0">
        <f>'Données projet'!A93</f>
        <v>84</v>
      </c>
      <c r="B90" s="191">
        <f>'Données projet'!D93</f>
        <v>61.47</v>
      </c>
      <c r="C90" s="202">
        <f>300*'Données projet'!E93+13.8*('Données projet'!F93+'Données projet'!G93)+10*'Données projet'!H93</f>
        <v>126</v>
      </c>
      <c r="D90" s="189">
        <f t="shared" si="6"/>
        <v>7745.22</v>
      </c>
      <c r="E90" s="204"/>
      <c r="F90" s="260"/>
      <c r="G90" s="219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3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0">
        <f>'Données projet'!A94</f>
        <v>94</v>
      </c>
      <c r="B91" s="191">
        <f>'Données projet'!D94</f>
        <v>61.85</v>
      </c>
      <c r="C91" s="202">
        <f>300*'Données projet'!E94+13.8*('Données projet'!F94+'Données projet'!G94)+10*'Données projet'!H94</f>
        <v>155</v>
      </c>
      <c r="D91" s="189">
        <f t="shared" si="6"/>
        <v>9586.75</v>
      </c>
      <c r="E91" s="204"/>
      <c r="F91" s="260"/>
      <c r="G91" s="220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3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0">
        <f>'Données projet'!A95</f>
        <v>104</v>
      </c>
      <c r="B92" s="191">
        <f>'Données projet'!D95</f>
        <v>60.19</v>
      </c>
      <c r="C92" s="202">
        <f>300*'Données projet'!E95+13.8*('Données projet'!F95+'Données projet'!G95)+10*'Données projet'!H95</f>
        <v>155</v>
      </c>
      <c r="D92" s="189">
        <f t="shared" si="6"/>
        <v>9329.4499999999989</v>
      </c>
      <c r="E92" s="204"/>
      <c r="F92" s="260"/>
      <c r="G92" s="220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3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0">
        <f>'Données projet'!A96</f>
        <v>114</v>
      </c>
      <c r="B93" s="191">
        <f>'Données projet'!D96</f>
        <v>56.07</v>
      </c>
      <c r="C93" s="202">
        <f>300*'Données projet'!E96+13.8*('Données projet'!F96+'Données projet'!G96)+10*'Données projet'!H96</f>
        <v>184</v>
      </c>
      <c r="D93" s="189">
        <f t="shared" si="6"/>
        <v>10316.879999999999</v>
      </c>
      <c r="E93" s="204"/>
      <c r="F93" s="260"/>
      <c r="G93" s="220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3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0">
        <f>'Données projet'!A97</f>
        <v>124</v>
      </c>
      <c r="B94" s="191">
        <f>'Données projet'!D97</f>
        <v>408.42</v>
      </c>
      <c r="C94" s="202">
        <f>300*'Données projet'!E97+13.8*('Données projet'!F97+'Données projet'!G97)+10*'Données projet'!H97</f>
        <v>213</v>
      </c>
      <c r="D94" s="189">
        <f t="shared" si="6"/>
        <v>86993.46</v>
      </c>
      <c r="E94" s="204"/>
      <c r="F94" s="260"/>
      <c r="G94" s="220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3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0">
        <f>'Données projet'!A98</f>
        <v>0</v>
      </c>
      <c r="B95" s="191">
        <f>'Données projet'!D98</f>
        <v>0</v>
      </c>
      <c r="C95" s="202">
        <f>300*'Données projet'!E98+13.8*('Données projet'!F98+'Données projet'!G98)+10*'Données projet'!H98</f>
        <v>0</v>
      </c>
      <c r="D95" s="189">
        <f t="shared" si="6"/>
        <v>0</v>
      </c>
      <c r="E95" s="204"/>
      <c r="F95" s="260"/>
      <c r="G95" s="220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3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0">
        <f>'Données projet'!A99</f>
        <v>0</v>
      </c>
      <c r="B96" s="191">
        <f>'Données projet'!D99</f>
        <v>0</v>
      </c>
      <c r="C96" s="202">
        <f>300*'Données projet'!E99+13.8*('Données projet'!F99+'Données projet'!G99)+10*'Données projet'!H99</f>
        <v>0</v>
      </c>
      <c r="D96" s="189">
        <f t="shared" si="6"/>
        <v>0</v>
      </c>
      <c r="E96" s="204"/>
      <c r="F96" s="260"/>
      <c r="G96" s="220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3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0">
        <f>'Données projet'!A100</f>
        <v>0</v>
      </c>
      <c r="B97" s="191">
        <f>'Données projet'!D100</f>
        <v>0</v>
      </c>
      <c r="C97" s="202">
        <f>300*'Données projet'!E100+13.8*('Données projet'!F100+'Données projet'!G100)+10*'Données projet'!H100</f>
        <v>0</v>
      </c>
      <c r="D97" s="189">
        <f t="shared" si="6"/>
        <v>0</v>
      </c>
      <c r="E97" s="204"/>
      <c r="F97" s="260"/>
      <c r="G97" s="220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3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0">
        <f>'Données projet'!A101</f>
        <v>0</v>
      </c>
      <c r="B98" s="191">
        <f>'Données projet'!D101</f>
        <v>0</v>
      </c>
      <c r="C98" s="202">
        <f>300*'Données projet'!E101+13.8*('Données projet'!F101+'Données projet'!G101)+10*'Données projet'!H101</f>
        <v>0</v>
      </c>
      <c r="D98" s="189">
        <f t="shared" si="6"/>
        <v>0</v>
      </c>
      <c r="E98" s="204"/>
      <c r="F98" s="260"/>
      <c r="G98" s="220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3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0">
        <f>'Données projet'!A102</f>
        <v>0</v>
      </c>
      <c r="B99" s="191">
        <f>'Données projet'!D102</f>
        <v>0</v>
      </c>
      <c r="C99" s="202">
        <f>300*'Données projet'!E102+13.8*('Données projet'!F102+'Données projet'!G102)+10*'Données projet'!H102</f>
        <v>0</v>
      </c>
      <c r="D99" s="189">
        <f t="shared" si="6"/>
        <v>0</v>
      </c>
      <c r="E99" s="204"/>
      <c r="F99" s="260"/>
      <c r="G99" s="220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3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0">
        <f>'Données projet'!A103</f>
        <v>0</v>
      </c>
      <c r="B100" s="191">
        <f>'Données projet'!D103</f>
        <v>0</v>
      </c>
      <c r="C100" s="202">
        <f>300*'Données projet'!E103+13.8*('Données projet'!F103+'Données projet'!G103)+10*'Données projet'!H103</f>
        <v>0</v>
      </c>
      <c r="D100" s="189">
        <f t="shared" si="6"/>
        <v>0</v>
      </c>
      <c r="E100" s="204"/>
      <c r="F100" s="260"/>
      <c r="G100" s="220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3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0">
        <f>'Données projet'!A104</f>
        <v>0</v>
      </c>
      <c r="B101" s="191">
        <f>'Données projet'!D104</f>
        <v>0</v>
      </c>
      <c r="C101" s="202">
        <f>300*'Données projet'!E104+13.8*('Données projet'!F104+'Données projet'!G104)+10*'Données projet'!H104</f>
        <v>0</v>
      </c>
      <c r="D101" s="189">
        <f t="shared" si="6"/>
        <v>0</v>
      </c>
      <c r="E101" s="204"/>
      <c r="F101" s="260"/>
      <c r="G101" s="220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3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0">
        <f>'Données projet'!A105</f>
        <v>0</v>
      </c>
      <c r="B102" s="191">
        <f>'Données projet'!D105</f>
        <v>0</v>
      </c>
      <c r="C102" s="202">
        <f>300*'Données projet'!E105+13.8*('Données projet'!F105+'Données projet'!G105)+10*'Données projet'!H105</f>
        <v>0</v>
      </c>
      <c r="D102" s="189">
        <f t="shared" si="6"/>
        <v>0</v>
      </c>
      <c r="E102" s="204"/>
      <c r="F102" s="260"/>
      <c r="G102" s="220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3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0">
        <f>'Données projet'!A106</f>
        <v>0</v>
      </c>
      <c r="B103" s="191">
        <f>'Données projet'!D106</f>
        <v>0</v>
      </c>
      <c r="C103" s="202">
        <f>300*'Données projet'!E106+13.8*('Données projet'!F106+'Données projet'!G106)+10*'Données projet'!H106</f>
        <v>0</v>
      </c>
      <c r="D103" s="189">
        <f t="shared" si="6"/>
        <v>0</v>
      </c>
      <c r="E103" s="204"/>
      <c r="F103" s="260"/>
      <c r="G103" s="220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3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0">
        <f>'Données projet'!A107</f>
        <v>0</v>
      </c>
      <c r="B104" s="191">
        <f>'Données projet'!D107</f>
        <v>0</v>
      </c>
      <c r="C104" s="202">
        <f>300*'Données projet'!E107+13.8*('Données projet'!F107+'Données projet'!G107)+10*'Données projet'!H107</f>
        <v>0</v>
      </c>
      <c r="D104" s="189">
        <f t="shared" si="6"/>
        <v>0</v>
      </c>
      <c r="E104" s="204"/>
      <c r="F104" s="260"/>
      <c r="G104" s="220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3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58"/>
      <c r="G105" s="220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3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58"/>
      <c r="G106" s="220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3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4" t="str">
        <f>IF('Données projet'!B12="","",'Données projet'!B12)</f>
        <v>Tilleul</v>
      </c>
      <c r="C107" s="5"/>
      <c r="D107" s="5"/>
      <c r="E107" s="5"/>
      <c r="F107" s="258"/>
      <c r="G107" s="220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3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58"/>
      <c r="G108" s="220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4" t="s">
        <v>180</v>
      </c>
      <c r="B109" s="51" t="s">
        <v>256</v>
      </c>
      <c r="C109" s="51" t="s">
        <v>255</v>
      </c>
      <c r="D109" s="254" t="s">
        <v>252</v>
      </c>
      <c r="E109" s="254" t="s">
        <v>320</v>
      </c>
      <c r="F109" s="259"/>
      <c r="G109" s="220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3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7">
        <v>0</v>
      </c>
      <c r="B110" s="210" t="s">
        <v>132</v>
      </c>
      <c r="C110" s="209" t="s">
        <v>132</v>
      </c>
      <c r="D110" s="208" t="s">
        <v>132</v>
      </c>
      <c r="E110" s="204">
        <v>4884.5600000000004</v>
      </c>
      <c r="F110" s="259"/>
      <c r="G110" s="220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3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7">
        <v>1</v>
      </c>
      <c r="B111" s="210" t="s">
        <v>132</v>
      </c>
      <c r="C111" s="209" t="s">
        <v>132</v>
      </c>
      <c r="D111" s="208" t="s">
        <v>132</v>
      </c>
      <c r="E111" s="204"/>
      <c r="F111" s="259"/>
      <c r="G111" s="218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3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7">
        <v>2</v>
      </c>
      <c r="B112" s="210" t="s">
        <v>132</v>
      </c>
      <c r="C112" s="209" t="s">
        <v>132</v>
      </c>
      <c r="D112" s="208" t="s">
        <v>132</v>
      </c>
      <c r="E112" s="204"/>
      <c r="F112" s="259"/>
      <c r="G112" s="218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3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7">
        <v>3</v>
      </c>
      <c r="B113" s="210" t="s">
        <v>132</v>
      </c>
      <c r="C113" s="209" t="s">
        <v>132</v>
      </c>
      <c r="D113" s="208" t="s">
        <v>132</v>
      </c>
      <c r="E113" s="204"/>
      <c r="F113" s="259"/>
      <c r="G113" s="218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3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7">
        <v>4</v>
      </c>
      <c r="B114" s="210" t="s">
        <v>132</v>
      </c>
      <c r="C114" s="209" t="s">
        <v>132</v>
      </c>
      <c r="D114" s="208" t="s">
        <v>132</v>
      </c>
      <c r="E114" s="204"/>
      <c r="F114" s="259"/>
      <c r="G114" s="218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3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7">
        <v>5</v>
      </c>
      <c r="B115" s="210" t="s">
        <v>132</v>
      </c>
      <c r="C115" s="209" t="s">
        <v>132</v>
      </c>
      <c r="D115" s="208" t="s">
        <v>132</v>
      </c>
      <c r="E115" s="204"/>
      <c r="F115" s="259"/>
      <c r="G115" s="219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3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0">
        <f>'Données projet'!A114</f>
        <v>42</v>
      </c>
      <c r="B116" s="191">
        <f>'Données projet'!D114</f>
        <v>43.21</v>
      </c>
      <c r="C116" s="202">
        <f>50*'Données projet'!E114+13.8*('Données projet'!F114+'Données projet'!G114)+10*'Données projet'!H114</f>
        <v>18</v>
      </c>
      <c r="D116" s="189">
        <f>B116*C116</f>
        <v>777.78</v>
      </c>
      <c r="E116" s="204"/>
      <c r="F116" s="260"/>
      <c r="G116" s="219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3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0">
        <f>'Données projet'!A115</f>
        <v>50</v>
      </c>
      <c r="B117" s="191">
        <f>'Données projet'!D115</f>
        <v>35.58</v>
      </c>
      <c r="C117" s="202">
        <f>50*'Données projet'!E115+13.8*('Données projet'!F115+'Données projet'!G115)+10*'Données projet'!H115</f>
        <v>18</v>
      </c>
      <c r="D117" s="189">
        <f t="shared" ref="D117:D135" si="8">B117*C117</f>
        <v>640.43999999999994</v>
      </c>
      <c r="E117" s="204"/>
      <c r="F117" s="260"/>
      <c r="G117" s="219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3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0">
        <f>'Données projet'!A116</f>
        <v>58</v>
      </c>
      <c r="B118" s="191">
        <f>'Données projet'!D116</f>
        <v>44.93</v>
      </c>
      <c r="C118" s="202">
        <f>50*'Données projet'!E116+13.8*('Données projet'!F116+'Données projet'!G116)+10*'Données projet'!H116</f>
        <v>18</v>
      </c>
      <c r="D118" s="189">
        <f t="shared" si="8"/>
        <v>808.74</v>
      </c>
      <c r="E118" s="204"/>
      <c r="F118" s="260"/>
      <c r="G118" s="219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0">
        <f>'Données projet'!A117</f>
        <v>66</v>
      </c>
      <c r="B119" s="191">
        <f>'Données projet'!D117</f>
        <v>49.91</v>
      </c>
      <c r="C119" s="202">
        <f>50*'Données projet'!E117+13.8*('Données projet'!F117+'Données projet'!G117)+10*'Données projet'!H117</f>
        <v>22</v>
      </c>
      <c r="D119" s="189">
        <f t="shared" si="8"/>
        <v>1098.02</v>
      </c>
      <c r="E119" s="204"/>
      <c r="F119" s="260"/>
      <c r="G119" s="219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0">
        <f>'Données projet'!A118</f>
        <v>74</v>
      </c>
      <c r="B120" s="191">
        <f>'Données projet'!D118</f>
        <v>47.4</v>
      </c>
      <c r="C120" s="202">
        <f>50*'Données projet'!E118+13.8*('Données projet'!F118+'Données projet'!G118)+10*'Données projet'!H118</f>
        <v>26</v>
      </c>
      <c r="D120" s="189">
        <f t="shared" si="8"/>
        <v>1232.3999999999999</v>
      </c>
      <c r="E120" s="204"/>
      <c r="F120" s="260"/>
      <c r="G120" s="219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0">
        <f>'Données projet'!A119</f>
        <v>84</v>
      </c>
      <c r="B121" s="191">
        <f>'Données projet'!D119</f>
        <v>61.47</v>
      </c>
      <c r="C121" s="202">
        <f>50*'Données projet'!E119+13.8*('Données projet'!F119+'Données projet'!G119)+10*'Données projet'!H119</f>
        <v>26</v>
      </c>
      <c r="D121" s="189">
        <f t="shared" si="8"/>
        <v>1598.22</v>
      </c>
      <c r="E121" s="204"/>
      <c r="F121" s="260"/>
      <c r="G121" s="219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0">
        <f>'Données projet'!A120</f>
        <v>94</v>
      </c>
      <c r="B122" s="191">
        <f>'Données projet'!D120</f>
        <v>61.85</v>
      </c>
      <c r="C122" s="202">
        <f>50*'Données projet'!E120+13.8*('Données projet'!F120+'Données projet'!G120)+10*'Données projet'!H120</f>
        <v>30</v>
      </c>
      <c r="D122" s="189">
        <f t="shared" si="8"/>
        <v>1855.5</v>
      </c>
      <c r="E122" s="204"/>
      <c r="F122" s="260"/>
      <c r="G122" s="220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0">
        <f>'Données projet'!A121</f>
        <v>104</v>
      </c>
      <c r="B123" s="191">
        <f>'Données projet'!D121</f>
        <v>60.19</v>
      </c>
      <c r="C123" s="202">
        <f>50*'Données projet'!E121+13.8*('Données projet'!F121+'Données projet'!G121)+10*'Données projet'!H121</f>
        <v>30</v>
      </c>
      <c r="D123" s="189">
        <f t="shared" si="8"/>
        <v>1805.6999999999998</v>
      </c>
      <c r="E123" s="204"/>
      <c r="F123" s="260"/>
      <c r="G123" s="220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0">
        <f>'Données projet'!A122</f>
        <v>114</v>
      </c>
      <c r="B124" s="191">
        <f>'Données projet'!D122</f>
        <v>56.07</v>
      </c>
      <c r="C124" s="202">
        <f>50*'Données projet'!E122+13.8*('Données projet'!F122+'Données projet'!G122)+10*'Données projet'!H122</f>
        <v>34</v>
      </c>
      <c r="D124" s="189">
        <f t="shared" si="8"/>
        <v>1906.38</v>
      </c>
      <c r="E124" s="204"/>
      <c r="F124" s="260"/>
      <c r="G124" s="220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0">
        <f>'Données projet'!A123</f>
        <v>124</v>
      </c>
      <c r="B125" s="191">
        <f>'Données projet'!D123</f>
        <v>408.42</v>
      </c>
      <c r="C125" s="202">
        <f>50*'Données projet'!E123+13.8*('Données projet'!F123+'Données projet'!G123)+10*'Données projet'!H123</f>
        <v>38</v>
      </c>
      <c r="D125" s="189">
        <f t="shared" si="8"/>
        <v>15519.960000000001</v>
      </c>
      <c r="E125" s="204"/>
      <c r="F125" s="260"/>
      <c r="G125" s="220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0">
        <f>'Données projet'!A124</f>
        <v>0</v>
      </c>
      <c r="B126" s="191">
        <f>'Données projet'!D124</f>
        <v>0</v>
      </c>
      <c r="C126" s="202">
        <f>50*'Données projet'!E124+13.8*('Données projet'!F124+'Données projet'!G124)+10*'Données projet'!H124</f>
        <v>0</v>
      </c>
      <c r="D126" s="189">
        <f t="shared" si="8"/>
        <v>0</v>
      </c>
      <c r="E126" s="204"/>
      <c r="F126" s="260"/>
      <c r="G126" s="220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3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0">
        <f>'Données projet'!A125</f>
        <v>0</v>
      </c>
      <c r="B127" s="191">
        <f>'Données projet'!D125</f>
        <v>0</v>
      </c>
      <c r="C127" s="202">
        <f>50*'Données projet'!E125+13.8*('Données projet'!F125+'Données projet'!G125)+10*'Données projet'!H125</f>
        <v>0</v>
      </c>
      <c r="D127" s="189">
        <f t="shared" si="8"/>
        <v>0</v>
      </c>
      <c r="E127" s="204"/>
      <c r="F127" s="260"/>
      <c r="G127" s="220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3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0">
        <f>'Données projet'!A126</f>
        <v>0</v>
      </c>
      <c r="B128" s="191">
        <f>'Données projet'!D126</f>
        <v>0</v>
      </c>
      <c r="C128" s="202">
        <f>50*'Données projet'!E126+13.8*('Données projet'!F126+'Données projet'!G126)+10*'Données projet'!H126</f>
        <v>0</v>
      </c>
      <c r="D128" s="189">
        <f t="shared" si="8"/>
        <v>0</v>
      </c>
      <c r="E128" s="204"/>
      <c r="F128" s="260"/>
      <c r="G128" s="220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3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0">
        <f>'Données projet'!A127</f>
        <v>0</v>
      </c>
      <c r="B129" s="191">
        <f>'Données projet'!D127</f>
        <v>0</v>
      </c>
      <c r="C129" s="202">
        <f>50*'Données projet'!E127+13.8*('Données projet'!F127+'Données projet'!G127)+10*'Données projet'!H127</f>
        <v>0</v>
      </c>
      <c r="D129" s="189">
        <f t="shared" si="8"/>
        <v>0</v>
      </c>
      <c r="E129" s="204"/>
      <c r="F129" s="260"/>
      <c r="G129" s="220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3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0">
        <f>'Données projet'!A128</f>
        <v>0</v>
      </c>
      <c r="B130" s="191">
        <f>'Données projet'!D128</f>
        <v>0</v>
      </c>
      <c r="C130" s="202">
        <f>50*'Données projet'!E128+13.8*('Données projet'!F128+'Données projet'!G128)+10*'Données projet'!H128</f>
        <v>0</v>
      </c>
      <c r="D130" s="189">
        <f t="shared" si="8"/>
        <v>0</v>
      </c>
      <c r="E130" s="204"/>
      <c r="F130" s="260"/>
      <c r="G130" s="220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3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0">
        <f>'Données projet'!A129</f>
        <v>0</v>
      </c>
      <c r="B131" s="191">
        <f>'Données projet'!D129</f>
        <v>0</v>
      </c>
      <c r="C131" s="202">
        <f>50*'Données projet'!E129+13.8*('Données projet'!F129+'Données projet'!G129)+10*'Données projet'!H129</f>
        <v>0</v>
      </c>
      <c r="D131" s="189">
        <f t="shared" si="8"/>
        <v>0</v>
      </c>
      <c r="E131" s="204"/>
      <c r="F131" s="260"/>
      <c r="G131" s="220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3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0">
        <f>'Données projet'!A130</f>
        <v>0</v>
      </c>
      <c r="B132" s="191">
        <f>'Données projet'!D130</f>
        <v>0</v>
      </c>
      <c r="C132" s="202">
        <f>50*'Données projet'!E130+13.8*('Données projet'!F130+'Données projet'!G130)+10*'Données projet'!H130</f>
        <v>0</v>
      </c>
      <c r="D132" s="189">
        <f t="shared" si="8"/>
        <v>0</v>
      </c>
      <c r="E132" s="204"/>
      <c r="F132" s="260"/>
      <c r="G132" s="220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3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0">
        <f>'Données projet'!A131</f>
        <v>0</v>
      </c>
      <c r="B133" s="191">
        <f>'Données projet'!D131</f>
        <v>0</v>
      </c>
      <c r="C133" s="202">
        <f>50*'Données projet'!E131+13.8*('Données projet'!F131+'Données projet'!G131)+10*'Données projet'!H131</f>
        <v>0</v>
      </c>
      <c r="D133" s="189">
        <f t="shared" si="8"/>
        <v>0</v>
      </c>
      <c r="E133" s="204"/>
      <c r="F133" s="260"/>
      <c r="G133" s="220"/>
      <c r="H133" s="201"/>
      <c r="I133" s="202"/>
      <c r="J133" s="5"/>
      <c r="K133" s="181"/>
      <c r="Q133" s="263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0">
        <f>'Données projet'!A132</f>
        <v>0</v>
      </c>
      <c r="B134" s="191">
        <f>'Données projet'!D132</f>
        <v>0</v>
      </c>
      <c r="C134" s="202">
        <f>50*'Données projet'!E132+13.8*('Données projet'!F132+'Données projet'!G132)+10*'Données projet'!H132</f>
        <v>0</v>
      </c>
      <c r="D134" s="189">
        <f t="shared" si="8"/>
        <v>0</v>
      </c>
      <c r="E134" s="204"/>
      <c r="F134" s="260"/>
      <c r="G134" s="220"/>
      <c r="H134" s="201"/>
      <c r="I134" s="202"/>
      <c r="J134" s="5"/>
      <c r="K134" s="181"/>
      <c r="Q134" s="263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0">
        <f>'Données projet'!A133</f>
        <v>0</v>
      </c>
      <c r="B135" s="191">
        <f>'Données projet'!D133</f>
        <v>0</v>
      </c>
      <c r="C135" s="202">
        <f>50*'Données projet'!E133+13.8*('Données projet'!F133+'Données projet'!G133)+10*'Données projet'!H133</f>
        <v>0</v>
      </c>
      <c r="D135" s="189">
        <f t="shared" si="8"/>
        <v>0</v>
      </c>
      <c r="E135" s="204"/>
      <c r="F135" s="260"/>
      <c r="G135" s="220"/>
      <c r="H135" s="201"/>
      <c r="I135" s="202"/>
      <c r="J135" s="5"/>
      <c r="K135" s="181"/>
      <c r="Q135" s="263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58"/>
      <c r="G136" s="220"/>
      <c r="H136" s="201"/>
      <c r="I136" s="202"/>
      <c r="J136" s="5"/>
      <c r="K136" s="181"/>
      <c r="L136" s="5"/>
      <c r="M136" s="5"/>
      <c r="N136" s="5"/>
      <c r="Q136" s="263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58"/>
      <c r="G137" s="220"/>
      <c r="H137" s="201"/>
      <c r="I137" s="202"/>
      <c r="J137" s="5"/>
      <c r="K137" s="181"/>
      <c r="L137" s="5"/>
      <c r="M137" s="5"/>
      <c r="N137" s="5"/>
      <c r="Q137" s="263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4" t="str">
        <f>IF('Données projet'!B13="","",'Données projet'!B13)</f>
        <v>Aulne glutineux</v>
      </c>
      <c r="C138" s="5"/>
      <c r="D138" s="5"/>
      <c r="E138" s="5"/>
      <c r="F138" s="258"/>
      <c r="G138" s="220"/>
      <c r="H138" s="201"/>
      <c r="I138" s="202"/>
      <c r="J138" s="5"/>
      <c r="K138" s="181"/>
      <c r="L138" s="5"/>
      <c r="M138" s="5"/>
      <c r="N138" s="5"/>
      <c r="Q138" s="263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58"/>
      <c r="G139" s="220"/>
      <c r="H139" s="201"/>
      <c r="I139" s="202"/>
      <c r="J139" s="5"/>
      <c r="K139" s="181"/>
      <c r="L139" s="5"/>
      <c r="M139" s="5"/>
      <c r="N139" s="5"/>
      <c r="Q139" s="263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4" t="s">
        <v>180</v>
      </c>
      <c r="B140" s="51" t="s">
        <v>256</v>
      </c>
      <c r="C140" s="51" t="s">
        <v>255</v>
      </c>
      <c r="D140" s="254" t="s">
        <v>252</v>
      </c>
      <c r="E140" s="254" t="s">
        <v>320</v>
      </c>
      <c r="F140" s="259"/>
      <c r="G140" s="220"/>
      <c r="H140" s="201"/>
      <c r="I140" s="202"/>
      <c r="J140" s="5"/>
      <c r="K140" s="181"/>
      <c r="L140" s="5"/>
      <c r="M140" s="5"/>
      <c r="N140" s="5"/>
      <c r="Q140" s="263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7">
        <v>0</v>
      </c>
      <c r="B141" s="210" t="s">
        <v>132</v>
      </c>
      <c r="C141" s="209" t="s">
        <v>132</v>
      </c>
      <c r="D141" s="208" t="s">
        <v>132</v>
      </c>
      <c r="E141" s="204">
        <v>4364.88</v>
      </c>
      <c r="F141" s="259"/>
      <c r="G141" s="220"/>
      <c r="H141" s="201"/>
      <c r="I141" s="202"/>
      <c r="J141" s="5"/>
      <c r="K141" s="181"/>
      <c r="L141" s="5"/>
      <c r="M141" s="5"/>
      <c r="N141" s="5"/>
      <c r="Q141" s="263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7">
        <v>1</v>
      </c>
      <c r="B142" s="210" t="s">
        <v>132</v>
      </c>
      <c r="C142" s="209" t="s">
        <v>132</v>
      </c>
      <c r="D142" s="208" t="s">
        <v>132</v>
      </c>
      <c r="E142" s="204"/>
      <c r="F142" s="259"/>
      <c r="G142" s="218"/>
      <c r="H142" s="201"/>
      <c r="I142" s="202"/>
      <c r="J142" s="5"/>
      <c r="K142" s="181"/>
      <c r="L142" s="5"/>
      <c r="M142" s="5"/>
      <c r="N142" s="5"/>
      <c r="Q142" s="263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7">
        <v>2</v>
      </c>
      <c r="B143" s="210" t="s">
        <v>132</v>
      </c>
      <c r="C143" s="209" t="s">
        <v>132</v>
      </c>
      <c r="D143" s="208" t="s">
        <v>132</v>
      </c>
      <c r="E143" s="204"/>
      <c r="F143" s="259"/>
      <c r="G143" s="218"/>
      <c r="H143" s="201"/>
      <c r="I143" s="202"/>
      <c r="J143" s="5"/>
      <c r="K143" s="181"/>
      <c r="L143" s="5"/>
      <c r="M143" s="5"/>
      <c r="N143" s="5"/>
      <c r="Q143" s="263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7">
        <v>3</v>
      </c>
      <c r="B144" s="210" t="s">
        <v>132</v>
      </c>
      <c r="C144" s="209" t="s">
        <v>132</v>
      </c>
      <c r="D144" s="208" t="s">
        <v>132</v>
      </c>
      <c r="E144" s="204"/>
      <c r="F144" s="259"/>
      <c r="G144" s="218"/>
      <c r="H144" s="201"/>
      <c r="I144" s="202"/>
      <c r="J144" s="5"/>
      <c r="K144" s="181"/>
      <c r="L144" s="5"/>
      <c r="M144" s="5"/>
      <c r="N144" s="5"/>
      <c r="Q144" s="263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7">
        <v>4</v>
      </c>
      <c r="B145" s="210" t="s">
        <v>132</v>
      </c>
      <c r="C145" s="209" t="s">
        <v>132</v>
      </c>
      <c r="D145" s="208" t="s">
        <v>132</v>
      </c>
      <c r="E145" s="204"/>
      <c r="F145" s="259"/>
      <c r="G145" s="218"/>
      <c r="H145" s="201"/>
      <c r="I145" s="202"/>
      <c r="J145" s="5"/>
      <c r="K145" s="181"/>
      <c r="L145" s="5"/>
      <c r="M145" s="5"/>
      <c r="N145" s="5"/>
      <c r="Q145" s="263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7">
        <v>5</v>
      </c>
      <c r="B146" s="210" t="s">
        <v>132</v>
      </c>
      <c r="C146" s="209" t="s">
        <v>132</v>
      </c>
      <c r="D146" s="208" t="s">
        <v>132</v>
      </c>
      <c r="E146" s="204"/>
      <c r="F146" s="259"/>
      <c r="G146" s="219"/>
      <c r="H146" s="201"/>
      <c r="I146" s="202"/>
      <c r="J146" s="5"/>
      <c r="K146" s="181"/>
      <c r="L146" s="5"/>
      <c r="M146" s="5"/>
      <c r="N146" s="5"/>
      <c r="Q146" s="263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10</v>
      </c>
      <c r="B147" s="185">
        <f>'Données projet'!D140</f>
        <v>1</v>
      </c>
      <c r="C147" s="202">
        <f>40*'Données projet'!E140+13.8*('Données projet'!F140+'Données projet'!G140)+10*'Données projet'!H140</f>
        <v>10</v>
      </c>
      <c r="D147" s="192">
        <f>B147*C147</f>
        <v>10</v>
      </c>
      <c r="E147" s="204"/>
      <c r="F147" s="261"/>
      <c r="G147" s="219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15</v>
      </c>
      <c r="B148" s="185">
        <f>'Données projet'!D141</f>
        <v>4</v>
      </c>
      <c r="C148" s="202">
        <f>40*'Données projet'!E141+13.8*('Données projet'!F141+'Données projet'!G141)+10*'Données projet'!H141</f>
        <v>10</v>
      </c>
      <c r="D148" s="192">
        <f t="shared" ref="D148:D166" si="10">B148*C148</f>
        <v>40</v>
      </c>
      <c r="E148" s="204"/>
      <c r="F148" s="261"/>
      <c r="G148" s="219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20</v>
      </c>
      <c r="B149" s="185">
        <f>'Données projet'!D142</f>
        <v>10</v>
      </c>
      <c r="C149" s="202">
        <f>40*'Données projet'!E142+13.8*('Données projet'!F142+'Données projet'!G142)+10*'Données projet'!H142</f>
        <v>10</v>
      </c>
      <c r="D149" s="192">
        <f t="shared" si="10"/>
        <v>100</v>
      </c>
      <c r="E149" s="204"/>
      <c r="F149" s="261"/>
      <c r="G149" s="219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25</v>
      </c>
      <c r="B150" s="185">
        <f>'Données projet'!D143</f>
        <v>21</v>
      </c>
      <c r="C150" s="202">
        <f>40*'Données projet'!E143+13.8*('Données projet'!F143+'Données projet'!G143)+10*'Données projet'!H143</f>
        <v>10</v>
      </c>
      <c r="D150" s="192">
        <f t="shared" si="10"/>
        <v>210</v>
      </c>
      <c r="E150" s="204"/>
      <c r="F150" s="261"/>
      <c r="G150" s="219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30</v>
      </c>
      <c r="B151" s="185">
        <f>'Données projet'!D144</f>
        <v>23</v>
      </c>
      <c r="C151" s="202">
        <f>40*'Données projet'!E144+13.8*('Données projet'!F144+'Données projet'!G144)+10*'Données projet'!H144</f>
        <v>16</v>
      </c>
      <c r="D151" s="192">
        <f t="shared" si="10"/>
        <v>368</v>
      </c>
      <c r="E151" s="204"/>
      <c r="F151" s="261"/>
      <c r="G151" s="219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35</v>
      </c>
      <c r="B152" s="185">
        <f>'Données projet'!D145</f>
        <v>25</v>
      </c>
      <c r="C152" s="202">
        <f>40*'Données projet'!E145+13.8*('Données projet'!F145+'Données projet'!G145)+10*'Données projet'!H145</f>
        <v>16</v>
      </c>
      <c r="D152" s="192">
        <f t="shared" si="10"/>
        <v>400</v>
      </c>
      <c r="E152" s="204"/>
      <c r="F152" s="261"/>
      <c r="G152" s="219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40</v>
      </c>
      <c r="B153" s="185">
        <f>'Données projet'!D146</f>
        <v>25</v>
      </c>
      <c r="C153" s="202">
        <f>40*'Données projet'!E146+13.8*('Données projet'!F146+'Données projet'!G146)+10*'Données projet'!H146</f>
        <v>19</v>
      </c>
      <c r="D153" s="192">
        <f t="shared" si="10"/>
        <v>475</v>
      </c>
      <c r="E153" s="204"/>
      <c r="F153" s="261"/>
      <c r="G153" s="215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45</v>
      </c>
      <c r="B154" s="185">
        <f>'Données projet'!D147</f>
        <v>25</v>
      </c>
      <c r="C154" s="202">
        <f>40*'Données projet'!E147+13.8*('Données projet'!F147+'Données projet'!G147)+10*'Données projet'!H147</f>
        <v>19</v>
      </c>
      <c r="D154" s="192">
        <f t="shared" si="10"/>
        <v>475</v>
      </c>
      <c r="E154" s="204"/>
      <c r="F154" s="261"/>
      <c r="G154" s="215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50</v>
      </c>
      <c r="B155" s="185">
        <f>'Données projet'!D148</f>
        <v>24</v>
      </c>
      <c r="C155" s="202">
        <f>40*'Données projet'!E148+13.8*('Données projet'!F148+'Données projet'!G148)+10*'Données projet'!H148</f>
        <v>22</v>
      </c>
      <c r="D155" s="192">
        <f t="shared" si="10"/>
        <v>528</v>
      </c>
      <c r="E155" s="204"/>
      <c r="F155" s="261"/>
      <c r="G155" s="215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55</v>
      </c>
      <c r="B156" s="185">
        <f>'Données projet'!D149</f>
        <v>23</v>
      </c>
      <c r="C156" s="202">
        <f>40*'Données projet'!E149+13.8*('Données projet'!F149+'Données projet'!G149)+10*'Données projet'!H149</f>
        <v>22</v>
      </c>
      <c r="D156" s="192">
        <f t="shared" si="10"/>
        <v>506</v>
      </c>
      <c r="E156" s="204"/>
      <c r="F156" s="261"/>
      <c r="G156" s="215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60</v>
      </c>
      <c r="B157" s="185">
        <f>'Données projet'!D150</f>
        <v>22</v>
      </c>
      <c r="C157" s="202">
        <f>40*'Données projet'!E150+13.8*('Données projet'!F150+'Données projet'!G150)+10*'Données projet'!H150</f>
        <v>25</v>
      </c>
      <c r="D157" s="192">
        <f t="shared" si="10"/>
        <v>550</v>
      </c>
      <c r="E157" s="204"/>
      <c r="F157" s="261"/>
      <c r="G157" s="215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65</v>
      </c>
      <c r="B158" s="185">
        <f>'Données projet'!D151</f>
        <v>20</v>
      </c>
      <c r="C158" s="202">
        <f>40*'Données projet'!E151+13.8*('Données projet'!F151+'Données projet'!G151)+10*'Données projet'!H151</f>
        <v>25</v>
      </c>
      <c r="D158" s="192">
        <f t="shared" si="10"/>
        <v>500</v>
      </c>
      <c r="E158" s="204"/>
      <c r="F158" s="261"/>
      <c r="G158" s="215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70</v>
      </c>
      <c r="B159" s="185">
        <f>'Données projet'!D152</f>
        <v>19</v>
      </c>
      <c r="C159" s="202">
        <f>40*'Données projet'!E152+13.8*('Données projet'!F152+'Données projet'!G152)+10*'Données projet'!H152</f>
        <v>28</v>
      </c>
      <c r="D159" s="192">
        <f t="shared" si="10"/>
        <v>532</v>
      </c>
      <c r="E159" s="204"/>
      <c r="F159" s="261"/>
      <c r="G159" s="215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75</v>
      </c>
      <c r="B160" s="185">
        <f>'Données projet'!D153</f>
        <v>18</v>
      </c>
      <c r="C160" s="202">
        <f>40*'Données projet'!E153+13.8*('Données projet'!F153+'Données projet'!G153)+10*'Données projet'!H153</f>
        <v>28</v>
      </c>
      <c r="D160" s="192">
        <f t="shared" si="10"/>
        <v>504</v>
      </c>
      <c r="E160" s="204"/>
      <c r="F160" s="261"/>
      <c r="G160" s="215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80</v>
      </c>
      <c r="B161" s="185">
        <f>'Données projet'!D154</f>
        <v>16</v>
      </c>
      <c r="C161" s="202">
        <f>40*'Données projet'!E154+13.8*('Données projet'!F154+'Données projet'!G154)+10*'Données projet'!H154</f>
        <v>31</v>
      </c>
      <c r="D161" s="192">
        <f t="shared" si="10"/>
        <v>496</v>
      </c>
      <c r="E161" s="204"/>
      <c r="F161" s="261"/>
      <c r="G161" s="215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85</v>
      </c>
      <c r="B162" s="185">
        <f>'Données projet'!D155</f>
        <v>15</v>
      </c>
      <c r="C162" s="202">
        <f>40*'Données projet'!E155+13.8*('Données projet'!F155+'Données projet'!G155)+10*'Données projet'!H155</f>
        <v>31</v>
      </c>
      <c r="D162" s="192">
        <f t="shared" si="10"/>
        <v>465</v>
      </c>
      <c r="E162" s="204"/>
      <c r="F162" s="261"/>
      <c r="G162" s="215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90</v>
      </c>
      <c r="B163" s="185">
        <f>'Données projet'!D156</f>
        <v>250</v>
      </c>
      <c r="C163" s="202">
        <f>40*'Données projet'!E156+13.8*('Données projet'!F156+'Données projet'!G156)+10*'Données projet'!H156</f>
        <v>34</v>
      </c>
      <c r="D163" s="192">
        <f t="shared" si="10"/>
        <v>8500</v>
      </c>
      <c r="E163" s="204"/>
      <c r="F163" s="261"/>
      <c r="G163" s="215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5">
        <f>'Données projet'!D157</f>
        <v>0</v>
      </c>
      <c r="C164" s="202">
        <f>40*'Données projet'!E157+13.8*('Données projet'!F157+'Données projet'!G157)+10*'Données projet'!H157</f>
        <v>0</v>
      </c>
      <c r="D164" s="192">
        <f t="shared" si="10"/>
        <v>0</v>
      </c>
      <c r="E164" s="204"/>
      <c r="F164" s="261"/>
      <c r="G164" s="215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5">
        <f>'Données projet'!D158</f>
        <v>0</v>
      </c>
      <c r="C165" s="202">
        <f>40*'Données projet'!E158+13.8*('Données projet'!F158+'Données projet'!G158)+10*'Données projet'!H158</f>
        <v>0</v>
      </c>
      <c r="D165" s="192">
        <f t="shared" si="10"/>
        <v>0</v>
      </c>
      <c r="E165" s="204"/>
      <c r="F165" s="261"/>
      <c r="G165" s="215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5">
        <f>'Données projet'!D159</f>
        <v>0</v>
      </c>
      <c r="C166" s="202">
        <f>40*'Données projet'!E159+13.8*('Données projet'!F159+'Données projet'!G159)+10*'Données projet'!H159</f>
        <v>0</v>
      </c>
      <c r="D166" s="192">
        <f t="shared" si="10"/>
        <v>0</v>
      </c>
      <c r="E166" s="204"/>
      <c r="F166" s="261"/>
      <c r="G166" s="215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58"/>
      <c r="G167" s="215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58"/>
      <c r="G168" s="215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8"/>
      <c r="G169" s="215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58"/>
      <c r="G170" s="215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4" t="s">
        <v>180</v>
      </c>
      <c r="B171" s="51" t="s">
        <v>256</v>
      </c>
      <c r="C171" s="51" t="s">
        <v>255</v>
      </c>
      <c r="D171" s="254" t="s">
        <v>252</v>
      </c>
      <c r="E171" s="254" t="s">
        <v>320</v>
      </c>
      <c r="F171" s="259"/>
      <c r="G171" s="215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7">
        <v>0</v>
      </c>
      <c r="B172" s="210" t="s">
        <v>132</v>
      </c>
      <c r="C172" s="209" t="s">
        <v>132</v>
      </c>
      <c r="D172" s="208" t="s">
        <v>132</v>
      </c>
      <c r="E172" s="204"/>
      <c r="F172" s="259"/>
      <c r="G172" s="215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7">
        <v>1</v>
      </c>
      <c r="B173" s="210" t="s">
        <v>132</v>
      </c>
      <c r="C173" s="209" t="s">
        <v>132</v>
      </c>
      <c r="D173" s="208" t="s">
        <v>132</v>
      </c>
      <c r="E173" s="204"/>
      <c r="F173" s="259"/>
      <c r="G173" s="218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7">
        <v>2</v>
      </c>
      <c r="B174" s="210" t="s">
        <v>132</v>
      </c>
      <c r="C174" s="209" t="s">
        <v>132</v>
      </c>
      <c r="D174" s="208" t="s">
        <v>132</v>
      </c>
      <c r="E174" s="204"/>
      <c r="F174" s="259"/>
      <c r="G174" s="218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7">
        <v>3</v>
      </c>
      <c r="B175" s="210" t="s">
        <v>132</v>
      </c>
      <c r="C175" s="209" t="s">
        <v>132</v>
      </c>
      <c r="D175" s="208" t="s">
        <v>132</v>
      </c>
      <c r="E175" s="204"/>
      <c r="F175" s="259"/>
      <c r="G175" s="218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7">
        <v>4</v>
      </c>
      <c r="B176" s="210" t="s">
        <v>132</v>
      </c>
      <c r="C176" s="209" t="s">
        <v>132</v>
      </c>
      <c r="D176" s="208" t="s">
        <v>132</v>
      </c>
      <c r="E176" s="204"/>
      <c r="F176" s="259"/>
      <c r="G176" s="218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7">
        <v>5</v>
      </c>
      <c r="B177" s="210" t="s">
        <v>132</v>
      </c>
      <c r="C177" s="209" t="s">
        <v>132</v>
      </c>
      <c r="D177" s="208" t="s">
        <v>132</v>
      </c>
      <c r="E177" s="204"/>
      <c r="F177" s="259"/>
      <c r="G177" s="219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0">
        <f>'Données projet'!A166</f>
        <v>0</v>
      </c>
      <c r="B178" s="191">
        <f>'Données projet'!D166</f>
        <v>0</v>
      </c>
      <c r="C178" s="204"/>
      <c r="D178" s="189">
        <f>B178*C178</f>
        <v>0</v>
      </c>
      <c r="E178" s="204"/>
      <c r="F178" s="260"/>
      <c r="G178" s="219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0">
        <f>'Données projet'!A167</f>
        <v>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0"/>
      <c r="G179" s="219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0">
        <f>'Données projet'!A168</f>
        <v>0</v>
      </c>
      <c r="B180" s="191">
        <f>'Données projet'!D168</f>
        <v>0</v>
      </c>
      <c r="C180" s="204"/>
      <c r="D180" s="189">
        <f t="shared" si="11"/>
        <v>0</v>
      </c>
      <c r="E180" s="204"/>
      <c r="F180" s="260"/>
      <c r="G180" s="219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0">
        <f>'Données projet'!A169</f>
        <v>0</v>
      </c>
      <c r="B181" s="191">
        <f>'Données projet'!D169</f>
        <v>0</v>
      </c>
      <c r="C181" s="204"/>
      <c r="D181" s="189">
        <f t="shared" si="11"/>
        <v>0</v>
      </c>
      <c r="E181" s="204"/>
      <c r="F181" s="260"/>
      <c r="G181" s="219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0">
        <f>'Données projet'!A170</f>
        <v>0</v>
      </c>
      <c r="B182" s="191">
        <f>'Données projet'!D170</f>
        <v>0</v>
      </c>
      <c r="C182" s="204"/>
      <c r="D182" s="189">
        <f t="shared" si="11"/>
        <v>0</v>
      </c>
      <c r="E182" s="204"/>
      <c r="F182" s="260"/>
      <c r="G182" s="219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0">
        <f>'Données projet'!A171</f>
        <v>0</v>
      </c>
      <c r="B183" s="191">
        <f>'Données projet'!D171</f>
        <v>0</v>
      </c>
      <c r="C183" s="204"/>
      <c r="D183" s="189">
        <f t="shared" si="11"/>
        <v>0</v>
      </c>
      <c r="E183" s="204"/>
      <c r="F183" s="260"/>
      <c r="G183" s="219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0">
        <f>'Données projet'!A172</f>
        <v>0</v>
      </c>
      <c r="B184" s="191">
        <f>'Données projet'!D172</f>
        <v>0</v>
      </c>
      <c r="C184" s="204"/>
      <c r="D184" s="189">
        <f t="shared" si="11"/>
        <v>0</v>
      </c>
      <c r="E184" s="204"/>
      <c r="F184" s="260"/>
      <c r="G184" s="220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0">
        <f>'Données projet'!A173</f>
        <v>0</v>
      </c>
      <c r="B185" s="191">
        <f>'Données projet'!D173</f>
        <v>0</v>
      </c>
      <c r="C185" s="204"/>
      <c r="D185" s="189">
        <f t="shared" si="11"/>
        <v>0</v>
      </c>
      <c r="E185" s="204"/>
      <c r="F185" s="260"/>
      <c r="G185" s="220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0">
        <f>'Données projet'!A174</f>
        <v>0</v>
      </c>
      <c r="B186" s="191">
        <f>'Données projet'!D174</f>
        <v>0</v>
      </c>
      <c r="C186" s="204"/>
      <c r="D186" s="189">
        <f t="shared" si="11"/>
        <v>0</v>
      </c>
      <c r="E186" s="204"/>
      <c r="F186" s="260"/>
      <c r="G186" s="220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0"/>
      <c r="G187" s="220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0"/>
      <c r="G188" s="220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0"/>
      <c r="G189" s="220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0"/>
      <c r="G190" s="220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0"/>
      <c r="G191" s="220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0"/>
      <c r="G192" s="220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0"/>
      <c r="G193" s="220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0"/>
      <c r="G194" s="220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0"/>
      <c r="G195" s="220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0"/>
      <c r="G196" s="220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0"/>
      <c r="G197" s="220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58"/>
      <c r="G198" s="220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58"/>
      <c r="G199" s="220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4" t="str">
        <f>IF('Données projet'!$B$15="","",'Données projet'!$B$15)</f>
        <v>Pin laricio</v>
      </c>
      <c r="C200" s="5"/>
      <c r="D200" s="5"/>
      <c r="E200" s="5"/>
      <c r="F200" s="258"/>
      <c r="G200" s="220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58"/>
      <c r="G201" s="220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4" t="s">
        <v>180</v>
      </c>
      <c r="B202" s="51" t="s">
        <v>256</v>
      </c>
      <c r="C202" s="51" t="s">
        <v>255</v>
      </c>
      <c r="D202" s="254" t="s">
        <v>252</v>
      </c>
      <c r="E202" s="254" t="s">
        <v>320</v>
      </c>
      <c r="F202" s="259"/>
      <c r="G202" s="220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7">
        <v>0</v>
      </c>
      <c r="B203" s="210" t="s">
        <v>132</v>
      </c>
      <c r="C203" s="209" t="s">
        <v>132</v>
      </c>
      <c r="D203" s="208" t="s">
        <v>132</v>
      </c>
      <c r="E203" s="204">
        <v>3756</v>
      </c>
      <c r="F203" s="259"/>
      <c r="G203" s="220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7">
        <v>1</v>
      </c>
      <c r="B204" s="210" t="s">
        <v>132</v>
      </c>
      <c r="C204" s="209" t="s">
        <v>132</v>
      </c>
      <c r="D204" s="208" t="s">
        <v>132</v>
      </c>
      <c r="E204" s="204"/>
      <c r="F204" s="259"/>
      <c r="G204" s="218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7">
        <v>2</v>
      </c>
      <c r="B205" s="210" t="s">
        <v>132</v>
      </c>
      <c r="C205" s="209" t="s">
        <v>132</v>
      </c>
      <c r="D205" s="208" t="s">
        <v>132</v>
      </c>
      <c r="E205" s="204"/>
      <c r="F205" s="259"/>
      <c r="G205" s="218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7">
        <v>3</v>
      </c>
      <c r="B206" s="210" t="s">
        <v>132</v>
      </c>
      <c r="C206" s="209" t="s">
        <v>132</v>
      </c>
      <c r="D206" s="208" t="s">
        <v>132</v>
      </c>
      <c r="E206" s="204"/>
      <c r="F206" s="259"/>
      <c r="G206" s="218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7">
        <v>4</v>
      </c>
      <c r="B207" s="210" t="s">
        <v>132</v>
      </c>
      <c r="C207" s="209" t="s">
        <v>132</v>
      </c>
      <c r="D207" s="208" t="s">
        <v>132</v>
      </c>
      <c r="E207" s="204"/>
      <c r="F207" s="259"/>
      <c r="G207" s="218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7">
        <v>5</v>
      </c>
      <c r="B208" s="210" t="s">
        <v>132</v>
      </c>
      <c r="C208" s="209" t="s">
        <v>132</v>
      </c>
      <c r="D208" s="208" t="s">
        <v>132</v>
      </c>
      <c r="E208" s="204"/>
      <c r="F208" s="259"/>
      <c r="G208" s="219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0">
        <f>'Données projet'!A192</f>
        <v>22</v>
      </c>
      <c r="B209" s="191">
        <f>'Données projet'!D192</f>
        <v>52.41</v>
      </c>
      <c r="C209" s="204">
        <f>41*'Données projet'!E192+19.4*('Données projet'!F192+'Données projet'!G192)+10*'Données projet'!H192</f>
        <v>25.879999999999995</v>
      </c>
      <c r="D209" s="189">
        <f>B209*C209</f>
        <v>1356.3707999999997</v>
      </c>
      <c r="E209" s="204"/>
      <c r="F209" s="260"/>
      <c r="G209" s="219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0">
        <f>'Données projet'!A193</f>
        <v>27</v>
      </c>
      <c r="B210" s="191">
        <f>'Données projet'!D193</f>
        <v>37.840000000000003</v>
      </c>
      <c r="C210" s="204">
        <f>41*'Données projet'!E193+19.4*('Données projet'!F193+'Données projet'!G193)+10*'Données projet'!H193</f>
        <v>28.040000000000003</v>
      </c>
      <c r="D210" s="189">
        <f t="shared" ref="D210:D228" si="12">B210*C210</f>
        <v>1061.0336000000002</v>
      </c>
      <c r="E210" s="204"/>
      <c r="F210" s="260"/>
      <c r="G210" s="219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0">
        <f>'Données projet'!A194</f>
        <v>33</v>
      </c>
      <c r="B211" s="191">
        <f>'Données projet'!D194</f>
        <v>50.41</v>
      </c>
      <c r="C211" s="204">
        <f>41*'Données projet'!E194+19.4*('Données projet'!F194+'Données projet'!G194)+10*'Données projet'!H194</f>
        <v>30.2</v>
      </c>
      <c r="D211" s="189">
        <f t="shared" si="12"/>
        <v>1522.3819999999998</v>
      </c>
      <c r="E211" s="204"/>
      <c r="F211" s="260"/>
      <c r="G211" s="219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0">
        <f>'Données projet'!A195</f>
        <v>41</v>
      </c>
      <c r="B212" s="191">
        <f>'Données projet'!D195</f>
        <v>72.13</v>
      </c>
      <c r="C212" s="204">
        <f>41*'Données projet'!E195+19.4*('Données projet'!F195+'Données projet'!G195)+10*'Données projet'!H195</f>
        <v>32.36</v>
      </c>
      <c r="D212" s="189">
        <f t="shared" si="12"/>
        <v>2334.1268</v>
      </c>
      <c r="E212" s="204"/>
      <c r="F212" s="260"/>
      <c r="G212" s="219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0">
        <f>'Données projet'!A196</f>
        <v>50</v>
      </c>
      <c r="B213" s="191">
        <f>'Données projet'!D196</f>
        <v>70.2</v>
      </c>
      <c r="C213" s="204">
        <f>41*'Données projet'!E196+19.4*('Données projet'!F196+'Données projet'!G196)+10*'Données projet'!H196</f>
        <v>34.519999999999996</v>
      </c>
      <c r="D213" s="189">
        <f t="shared" si="12"/>
        <v>2423.3039999999996</v>
      </c>
      <c r="E213" s="204"/>
      <c r="F213" s="260"/>
      <c r="G213" s="219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0">
        <f>'Données projet'!A197</f>
        <v>60</v>
      </c>
      <c r="B214" s="191">
        <f>'Données projet'!D197</f>
        <v>69.849999999999994</v>
      </c>
      <c r="C214" s="204">
        <f>41*'Données projet'!E197+19.4*('Données projet'!F197+'Données projet'!G197)+10*'Données projet'!H197</f>
        <v>36.680000000000007</v>
      </c>
      <c r="D214" s="189">
        <f t="shared" si="12"/>
        <v>2562.0980000000004</v>
      </c>
      <c r="E214" s="204"/>
      <c r="F214" s="260"/>
      <c r="G214" s="219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0">
        <f>'Données projet'!A198</f>
        <v>70</v>
      </c>
      <c r="B215" s="191">
        <f>'Données projet'!D198</f>
        <v>67.88</v>
      </c>
      <c r="C215" s="204">
        <f>41*'Données projet'!E198+19.4*('Données projet'!F198+'Données projet'!G198)+10*'Données projet'!H198</f>
        <v>36.680000000000007</v>
      </c>
      <c r="D215" s="189">
        <f t="shared" si="12"/>
        <v>2489.8384000000001</v>
      </c>
      <c r="E215" s="204"/>
      <c r="F215" s="260"/>
      <c r="G215" s="220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0">
        <f>'Données projet'!A199</f>
        <v>80</v>
      </c>
      <c r="B216" s="191">
        <f>'Données projet'!D199</f>
        <v>520</v>
      </c>
      <c r="C216" s="204">
        <f>41*'Données projet'!E199+19.4*('Données projet'!F199+'Données projet'!G199)+10*'Données projet'!H199</f>
        <v>36.680000000000007</v>
      </c>
      <c r="D216" s="189">
        <f t="shared" si="12"/>
        <v>19073.600000000002</v>
      </c>
      <c r="E216" s="204"/>
      <c r="F216" s="260"/>
      <c r="G216" s="220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0">
        <f>'Données projet'!A200</f>
        <v>0</v>
      </c>
      <c r="B217" s="191">
        <f>'Données projet'!D200</f>
        <v>0</v>
      </c>
      <c r="C217" s="204">
        <f>41*'Données projet'!E200+19.4*('Données projet'!F200+'Données projet'!G200)+10*'Données projet'!H200</f>
        <v>0</v>
      </c>
      <c r="D217" s="189">
        <f t="shared" si="12"/>
        <v>0</v>
      </c>
      <c r="E217" s="204"/>
      <c r="F217" s="260"/>
      <c r="G217" s="220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0">
        <f>'Données projet'!A201</f>
        <v>0</v>
      </c>
      <c r="B218" s="191">
        <f>'Données projet'!D201</f>
        <v>0</v>
      </c>
      <c r="C218" s="204">
        <f>41*'Données projet'!E201+19.4*('Données projet'!F201+'Données projet'!G201)+10*'Données projet'!H201</f>
        <v>0</v>
      </c>
      <c r="D218" s="189">
        <f t="shared" si="12"/>
        <v>0</v>
      </c>
      <c r="E218" s="204"/>
      <c r="F218" s="260"/>
      <c r="G218" s="220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0">
        <f>'Données projet'!A202</f>
        <v>0</v>
      </c>
      <c r="B219" s="191">
        <f>'Données projet'!D202</f>
        <v>0</v>
      </c>
      <c r="C219" s="204">
        <f>41*'Données projet'!E202+19.4*('Données projet'!F202+'Données projet'!G202)+10*'Données projet'!H202</f>
        <v>0</v>
      </c>
      <c r="D219" s="189">
        <f t="shared" si="12"/>
        <v>0</v>
      </c>
      <c r="E219" s="204"/>
      <c r="F219" s="260"/>
      <c r="G219" s="220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0">
        <f>'Données projet'!A203</f>
        <v>0</v>
      </c>
      <c r="B220" s="191">
        <f>'Données projet'!D203</f>
        <v>0</v>
      </c>
      <c r="C220" s="204">
        <f>41*'Données projet'!E203+19.4*('Données projet'!F203+'Données projet'!G203)+10*'Données projet'!H203</f>
        <v>0</v>
      </c>
      <c r="D220" s="189">
        <f t="shared" si="12"/>
        <v>0</v>
      </c>
      <c r="E220" s="204"/>
      <c r="F220" s="260"/>
      <c r="G220" s="220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0">
        <f>'Données projet'!A204</f>
        <v>0</v>
      </c>
      <c r="B221" s="191">
        <f>'Données projet'!D204</f>
        <v>0</v>
      </c>
      <c r="C221" s="204">
        <f>41*'Données projet'!E204+19.4*('Données projet'!F204+'Données projet'!G204)+10*'Données projet'!H204</f>
        <v>0</v>
      </c>
      <c r="D221" s="189">
        <f t="shared" si="12"/>
        <v>0</v>
      </c>
      <c r="E221" s="204"/>
      <c r="F221" s="260"/>
      <c r="G221" s="220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0">
        <f>'Données projet'!A205</f>
        <v>0</v>
      </c>
      <c r="B222" s="191">
        <f>'Données projet'!D205</f>
        <v>0</v>
      </c>
      <c r="C222" s="204">
        <f>41*'Données projet'!E205+19.4*('Données projet'!F205+'Données projet'!G205)+10*'Données projet'!H205</f>
        <v>0</v>
      </c>
      <c r="D222" s="189">
        <f t="shared" si="12"/>
        <v>0</v>
      </c>
      <c r="E222" s="204"/>
      <c r="F222" s="260"/>
      <c r="G222" s="220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0">
        <f>'Données projet'!A206</f>
        <v>0</v>
      </c>
      <c r="B223" s="191">
        <f>'Données projet'!D206</f>
        <v>0</v>
      </c>
      <c r="C223" s="204">
        <f>41*'Données projet'!E206+19.4*('Données projet'!F206+'Données projet'!G206)+10*'Données projet'!H206</f>
        <v>0</v>
      </c>
      <c r="D223" s="189">
        <f t="shared" si="12"/>
        <v>0</v>
      </c>
      <c r="E223" s="204"/>
      <c r="F223" s="260"/>
      <c r="G223" s="220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0">
        <f>'Données projet'!A207</f>
        <v>0</v>
      </c>
      <c r="B224" s="191">
        <f>'Données projet'!D207</f>
        <v>0</v>
      </c>
      <c r="C224" s="204">
        <f>41*'Données projet'!E207+19.4*('Données projet'!F207+'Données projet'!G207)+10*'Données projet'!H207</f>
        <v>0</v>
      </c>
      <c r="D224" s="189">
        <f t="shared" si="12"/>
        <v>0</v>
      </c>
      <c r="E224" s="204"/>
      <c r="F224" s="260"/>
      <c r="G224" s="220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0">
        <f>'Données projet'!A208</f>
        <v>0</v>
      </c>
      <c r="B225" s="191">
        <f>'Données projet'!D208</f>
        <v>0</v>
      </c>
      <c r="C225" s="204">
        <f>41*'Données projet'!E208+19.4*('Données projet'!F208+'Données projet'!G208)+10*'Données projet'!H208</f>
        <v>0</v>
      </c>
      <c r="D225" s="189">
        <f t="shared" si="12"/>
        <v>0</v>
      </c>
      <c r="E225" s="204"/>
      <c r="F225" s="260"/>
      <c r="G225" s="220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0">
        <f>'Données projet'!A209</f>
        <v>0</v>
      </c>
      <c r="B226" s="191">
        <f>'Données projet'!D209</f>
        <v>0</v>
      </c>
      <c r="C226" s="204">
        <f>41*'Données projet'!E209+19.4*('Données projet'!F209+'Données projet'!G209)+10*'Données projet'!H209</f>
        <v>0</v>
      </c>
      <c r="D226" s="189">
        <f t="shared" si="12"/>
        <v>0</v>
      </c>
      <c r="E226" s="204"/>
      <c r="F226" s="260"/>
      <c r="G226" s="220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0">
        <f>'Données projet'!A210</f>
        <v>0</v>
      </c>
      <c r="B227" s="191">
        <f>'Données projet'!D210</f>
        <v>0</v>
      </c>
      <c r="C227" s="204">
        <f>41*'Données projet'!E210+19.4*('Données projet'!F210+'Données projet'!G210)+10*'Données projet'!H210</f>
        <v>0</v>
      </c>
      <c r="D227" s="189">
        <f t="shared" si="12"/>
        <v>0</v>
      </c>
      <c r="E227" s="204"/>
      <c r="F227" s="260"/>
      <c r="G227" s="220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0">
        <f>'Données projet'!A211</f>
        <v>0</v>
      </c>
      <c r="B228" s="191">
        <f>'Données projet'!D211</f>
        <v>0</v>
      </c>
      <c r="C228" s="204">
        <f>41*'Données projet'!E211+19.4*('Données projet'!F211+'Données projet'!G211)+10*'Données projet'!H211</f>
        <v>0</v>
      </c>
      <c r="D228" s="189">
        <f t="shared" si="12"/>
        <v>0</v>
      </c>
      <c r="E228" s="204"/>
      <c r="F228" s="260"/>
      <c r="G228" s="220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58"/>
      <c r="G229" s="220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58"/>
      <c r="G230" s="220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4" t="str">
        <f>IF('Données projet'!$B$16="","",'Données projet'!$B$16)</f>
        <v>Pin maritime</v>
      </c>
      <c r="C231" s="5"/>
      <c r="D231" s="5"/>
      <c r="E231" s="5"/>
      <c r="F231" s="258"/>
      <c r="G231" s="220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58"/>
      <c r="G232" s="220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4" t="s">
        <v>180</v>
      </c>
      <c r="B233" s="51" t="s">
        <v>256</v>
      </c>
      <c r="C233" s="51" t="s">
        <v>255</v>
      </c>
      <c r="D233" s="254" t="s">
        <v>252</v>
      </c>
      <c r="E233" s="254" t="s">
        <v>320</v>
      </c>
      <c r="F233" s="259"/>
      <c r="G233" s="220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7">
        <v>0</v>
      </c>
      <c r="B234" s="210" t="s">
        <v>132</v>
      </c>
      <c r="C234" s="209" t="s">
        <v>132</v>
      </c>
      <c r="D234" s="208" t="s">
        <v>132</v>
      </c>
      <c r="E234" s="204">
        <v>3822.8</v>
      </c>
      <c r="F234" s="259"/>
      <c r="G234" s="220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7">
        <v>1</v>
      </c>
      <c r="B235" s="210" t="s">
        <v>132</v>
      </c>
      <c r="C235" s="209" t="s">
        <v>132</v>
      </c>
      <c r="D235" s="208" t="s">
        <v>132</v>
      </c>
      <c r="E235" s="204"/>
      <c r="F235" s="259"/>
      <c r="G235" s="218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7">
        <v>2</v>
      </c>
      <c r="B236" s="210" t="s">
        <v>132</v>
      </c>
      <c r="C236" s="209" t="s">
        <v>132</v>
      </c>
      <c r="D236" s="208" t="s">
        <v>132</v>
      </c>
      <c r="E236" s="204"/>
      <c r="F236" s="259"/>
      <c r="G236" s="218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7">
        <v>3</v>
      </c>
      <c r="B237" s="210" t="s">
        <v>132</v>
      </c>
      <c r="C237" s="209" t="s">
        <v>132</v>
      </c>
      <c r="D237" s="208" t="s">
        <v>132</v>
      </c>
      <c r="E237" s="204"/>
      <c r="F237" s="259"/>
      <c r="G237" s="218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7">
        <v>4</v>
      </c>
      <c r="B238" s="210" t="s">
        <v>132</v>
      </c>
      <c r="C238" s="209" t="s">
        <v>132</v>
      </c>
      <c r="D238" s="208" t="s">
        <v>132</v>
      </c>
      <c r="E238" s="204"/>
      <c r="F238" s="259"/>
      <c r="G238" s="218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7">
        <v>5</v>
      </c>
      <c r="B239" s="210" t="s">
        <v>132</v>
      </c>
      <c r="C239" s="209" t="s">
        <v>132</v>
      </c>
      <c r="D239" s="208" t="s">
        <v>132</v>
      </c>
      <c r="E239" s="204"/>
      <c r="F239" s="259"/>
      <c r="G239" s="219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0">
        <f>'Données projet'!A218</f>
        <v>15</v>
      </c>
      <c r="B240" s="191">
        <f>'Données projet'!D218</f>
        <v>50.01</v>
      </c>
      <c r="C240" s="204">
        <f>46*'Données projet'!E218+19.4*('Données projet'!F218+'Données projet'!G218)+10*'Données projet'!H218</f>
        <v>27.379999999999995</v>
      </c>
      <c r="D240" s="189">
        <f>B240*C240</f>
        <v>1369.2737999999997</v>
      </c>
      <c r="E240" s="204"/>
      <c r="F240" s="260"/>
      <c r="G240" s="219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0">
        <f>'Données projet'!A219</f>
        <v>20</v>
      </c>
      <c r="B241" s="191">
        <f>'Données projet'!D219</f>
        <v>54.89</v>
      </c>
      <c r="C241" s="204">
        <f>46*'Données projet'!E219+19.4*('Données projet'!F219+'Données projet'!G219)+10*'Données projet'!H219</f>
        <v>30.040000000000003</v>
      </c>
      <c r="D241" s="189">
        <f t="shared" ref="D241:D259" si="13">B241*C241</f>
        <v>1648.8956000000001</v>
      </c>
      <c r="E241" s="204"/>
      <c r="F241" s="260"/>
      <c r="G241" s="219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0">
        <f>'Données projet'!A220</f>
        <v>26</v>
      </c>
      <c r="B242" s="191">
        <f>'Données projet'!D220</f>
        <v>55.94</v>
      </c>
      <c r="C242" s="204">
        <f>46*'Données projet'!E220+19.4*('Données projet'!F220+'Données projet'!G220)+10*'Données projet'!H220</f>
        <v>32.700000000000003</v>
      </c>
      <c r="D242" s="189">
        <f t="shared" si="13"/>
        <v>1829.2380000000001</v>
      </c>
      <c r="E242" s="204"/>
      <c r="F242" s="260"/>
      <c r="G242" s="219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0">
        <f>'Données projet'!A221</f>
        <v>32</v>
      </c>
      <c r="B243" s="191">
        <f>'Données projet'!D221</f>
        <v>79.400000000000006</v>
      </c>
      <c r="C243" s="204">
        <f>46*'Données projet'!E221+19.4*('Données projet'!F221+'Données projet'!G221)+10*'Données projet'!H221</f>
        <v>35.36</v>
      </c>
      <c r="D243" s="189">
        <f t="shared" si="13"/>
        <v>2807.5840000000003</v>
      </c>
      <c r="E243" s="204"/>
      <c r="F243" s="260"/>
      <c r="G243" s="219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0">
        <f>'Données projet'!A222</f>
        <v>40</v>
      </c>
      <c r="B244" s="191">
        <f>'Données projet'!D222</f>
        <v>116.49</v>
      </c>
      <c r="C244" s="204">
        <f>46*'Données projet'!E222+19.4*('Données projet'!F222+'Données projet'!G222)+10*'Données projet'!H222</f>
        <v>38.019999999999996</v>
      </c>
      <c r="D244" s="189">
        <f t="shared" si="13"/>
        <v>4428.9497999999994</v>
      </c>
      <c r="E244" s="204"/>
      <c r="F244" s="260"/>
      <c r="G244" s="219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0">
        <f>'Données projet'!A223</f>
        <v>48</v>
      </c>
      <c r="B245" s="191">
        <f>'Données projet'!D223</f>
        <v>106.15</v>
      </c>
      <c r="C245" s="204">
        <f>46*'Données projet'!E223+19.4*('Données projet'!F223+'Données projet'!G223)+10*'Données projet'!H223</f>
        <v>40.680000000000007</v>
      </c>
      <c r="D245" s="189">
        <f t="shared" si="13"/>
        <v>4318.1820000000007</v>
      </c>
      <c r="E245" s="204"/>
      <c r="F245" s="260"/>
      <c r="G245" s="219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0">
        <f>'Données projet'!A224</f>
        <v>56</v>
      </c>
      <c r="B246" s="191">
        <f>'Données projet'!D224</f>
        <v>562.74</v>
      </c>
      <c r="C246" s="204">
        <f>46*'Données projet'!E224+19.4*('Données projet'!F224+'Données projet'!G224)+10*'Données projet'!H224</f>
        <v>40.680000000000007</v>
      </c>
      <c r="D246" s="189">
        <f t="shared" si="13"/>
        <v>22892.263200000005</v>
      </c>
      <c r="E246" s="204"/>
      <c r="F246" s="260"/>
      <c r="G246" s="220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0">
        <f>'Données projet'!A225</f>
        <v>0</v>
      </c>
      <c r="B247" s="191">
        <f>'Données projet'!D225</f>
        <v>0</v>
      </c>
      <c r="C247" s="204">
        <f>46*'Données projet'!E225+19.4*('Données projet'!F225+'Données projet'!G225)+10*'Données projet'!H225</f>
        <v>0</v>
      </c>
      <c r="D247" s="189">
        <f t="shared" si="13"/>
        <v>0</v>
      </c>
      <c r="E247" s="204"/>
      <c r="F247" s="260"/>
      <c r="G247" s="220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0">
        <f>'Données projet'!A226</f>
        <v>0</v>
      </c>
      <c r="B248" s="191">
        <f>'Données projet'!D226</f>
        <v>0</v>
      </c>
      <c r="C248" s="204">
        <f>46*'Données projet'!E226+19.4*('Données projet'!F226+'Données projet'!G226)+10*'Données projet'!H226</f>
        <v>0</v>
      </c>
      <c r="D248" s="189">
        <f t="shared" si="13"/>
        <v>0</v>
      </c>
      <c r="E248" s="204"/>
      <c r="F248" s="260"/>
      <c r="G248" s="220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0">
        <f>'Données projet'!A227</f>
        <v>0</v>
      </c>
      <c r="B249" s="191">
        <f>'Données projet'!D227</f>
        <v>0</v>
      </c>
      <c r="C249" s="204">
        <f>46*'Données projet'!E227+19.4*('Données projet'!F227+'Données projet'!G227)+10*'Données projet'!H227</f>
        <v>0</v>
      </c>
      <c r="D249" s="189">
        <f t="shared" si="13"/>
        <v>0</v>
      </c>
      <c r="E249" s="204"/>
      <c r="F249" s="260"/>
      <c r="G249" s="220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0">
        <f>'Données projet'!A228</f>
        <v>0</v>
      </c>
      <c r="B250" s="191">
        <f>'Données projet'!D228</f>
        <v>0</v>
      </c>
      <c r="C250" s="204">
        <f>46*'Données projet'!E228+19.4*('Données projet'!F228+'Données projet'!G228)+10*'Données projet'!H228</f>
        <v>0</v>
      </c>
      <c r="D250" s="189">
        <f t="shared" si="13"/>
        <v>0</v>
      </c>
      <c r="E250" s="204"/>
      <c r="F250" s="260"/>
      <c r="G250" s="220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0">
        <f>'Données projet'!A229</f>
        <v>0</v>
      </c>
      <c r="B251" s="191">
        <f>'Données projet'!D229</f>
        <v>0</v>
      </c>
      <c r="C251" s="204">
        <f>46*'Données projet'!E229+19.4*('Données projet'!F229+'Données projet'!G229)+10*'Données projet'!H229</f>
        <v>0</v>
      </c>
      <c r="D251" s="189">
        <f t="shared" si="13"/>
        <v>0</v>
      </c>
      <c r="E251" s="204"/>
      <c r="F251" s="260"/>
      <c r="G251" s="220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0">
        <f>'Données projet'!A230</f>
        <v>0</v>
      </c>
      <c r="B252" s="191">
        <f>'Données projet'!D230</f>
        <v>0</v>
      </c>
      <c r="C252" s="204">
        <f>46*'Données projet'!E230+19.4*('Données projet'!F230+'Données projet'!G230)+10*'Données projet'!H230</f>
        <v>0</v>
      </c>
      <c r="D252" s="189">
        <f t="shared" si="13"/>
        <v>0</v>
      </c>
      <c r="E252" s="204"/>
      <c r="F252" s="260"/>
      <c r="G252" s="220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0">
        <f>'Données projet'!A231</f>
        <v>0</v>
      </c>
      <c r="B253" s="191">
        <f>'Données projet'!D231</f>
        <v>0</v>
      </c>
      <c r="C253" s="204">
        <f>46*'Données projet'!E231+19.4*('Données projet'!F231+'Données projet'!G231)+10*'Données projet'!H231</f>
        <v>0</v>
      </c>
      <c r="D253" s="189">
        <f t="shared" si="13"/>
        <v>0</v>
      </c>
      <c r="E253" s="204"/>
      <c r="F253" s="260"/>
      <c r="G253" s="220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0">
        <f>'Données projet'!A232</f>
        <v>0</v>
      </c>
      <c r="B254" s="191">
        <f>'Données projet'!D232</f>
        <v>0</v>
      </c>
      <c r="C254" s="204">
        <f>46*'Données projet'!E232+19.4*('Données projet'!F232+'Données projet'!G232)+10*'Données projet'!H232</f>
        <v>0</v>
      </c>
      <c r="D254" s="189">
        <f t="shared" si="13"/>
        <v>0</v>
      </c>
      <c r="E254" s="204"/>
      <c r="F254" s="260"/>
      <c r="G254" s="220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0">
        <f>'Données projet'!A233</f>
        <v>0</v>
      </c>
      <c r="B255" s="191">
        <f>'Données projet'!D233</f>
        <v>0</v>
      </c>
      <c r="C255" s="204">
        <f>46*'Données projet'!E233+19.4*('Données projet'!F233+'Données projet'!G233)+10*'Données projet'!H233</f>
        <v>0</v>
      </c>
      <c r="D255" s="189">
        <f t="shared" si="13"/>
        <v>0</v>
      </c>
      <c r="E255" s="204"/>
      <c r="F255" s="260"/>
      <c r="G255" s="220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0">
        <f>'Données projet'!A234</f>
        <v>0</v>
      </c>
      <c r="B256" s="191">
        <f>'Données projet'!D234</f>
        <v>0</v>
      </c>
      <c r="C256" s="204">
        <f>46*'Données projet'!E234+19.4*('Données projet'!F234+'Données projet'!G234)+10*'Données projet'!H234</f>
        <v>0</v>
      </c>
      <c r="D256" s="189">
        <f t="shared" si="13"/>
        <v>0</v>
      </c>
      <c r="E256" s="204"/>
      <c r="F256" s="260"/>
      <c r="G256" s="220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0">
        <f>'Données projet'!A235</f>
        <v>0</v>
      </c>
      <c r="B257" s="191">
        <f>'Données projet'!D235</f>
        <v>0</v>
      </c>
      <c r="C257" s="204">
        <f>46*'Données projet'!E235+19.4*('Données projet'!F235+'Données projet'!G235)+10*'Données projet'!H235</f>
        <v>0</v>
      </c>
      <c r="D257" s="189">
        <f t="shared" si="13"/>
        <v>0</v>
      </c>
      <c r="E257" s="204"/>
      <c r="F257" s="260"/>
      <c r="G257" s="220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0">
        <f>'Données projet'!A236</f>
        <v>0</v>
      </c>
      <c r="B258" s="191">
        <f>'Données projet'!D236</f>
        <v>0</v>
      </c>
      <c r="C258" s="204">
        <f>46*'Données projet'!E236+19.4*('Données projet'!F236+'Données projet'!G236)+10*'Données projet'!H236</f>
        <v>0</v>
      </c>
      <c r="D258" s="189">
        <f t="shared" si="13"/>
        <v>0</v>
      </c>
      <c r="E258" s="204"/>
      <c r="F258" s="260"/>
      <c r="G258" s="220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0">
        <f>'Données projet'!A237</f>
        <v>0</v>
      </c>
      <c r="B259" s="191">
        <f>'Données projet'!D237</f>
        <v>0</v>
      </c>
      <c r="C259" s="204">
        <f>46*'Données projet'!E237+19.4*('Données projet'!F237+'Données projet'!G237)+10*'Données projet'!H237</f>
        <v>0</v>
      </c>
      <c r="D259" s="189">
        <f t="shared" si="13"/>
        <v>0</v>
      </c>
      <c r="E259" s="204"/>
      <c r="F259" s="260"/>
      <c r="G259" s="220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58"/>
      <c r="G260" s="220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58"/>
      <c r="G261" s="220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4" t="str">
        <f>IF('Données projet'!$B$17="","",'Données projet'!$B$17)</f>
        <v>Peuplier Fritzi Pauley</v>
      </c>
      <c r="C262" s="5"/>
      <c r="D262" s="5"/>
      <c r="E262" s="5"/>
      <c r="F262" s="258"/>
      <c r="G262" s="220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58"/>
      <c r="G263" s="220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4" t="s">
        <v>180</v>
      </c>
      <c r="B264" s="51" t="s">
        <v>256</v>
      </c>
      <c r="C264" s="51" t="s">
        <v>255</v>
      </c>
      <c r="D264" s="254" t="s">
        <v>252</v>
      </c>
      <c r="E264" s="254" t="s">
        <v>320</v>
      </c>
      <c r="F264" s="259"/>
      <c r="G264" s="220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7">
        <v>0</v>
      </c>
      <c r="B265" s="210" t="s">
        <v>132</v>
      </c>
      <c r="C265" s="209" t="s">
        <v>132</v>
      </c>
      <c r="D265" s="208" t="s">
        <v>132</v>
      </c>
      <c r="E265" s="204">
        <v>3680.25</v>
      </c>
      <c r="F265" s="259"/>
      <c r="G265" s="220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7">
        <v>1</v>
      </c>
      <c r="B266" s="210" t="s">
        <v>132</v>
      </c>
      <c r="C266" s="209" t="s">
        <v>132</v>
      </c>
      <c r="D266" s="208" t="s">
        <v>132</v>
      </c>
      <c r="E266" s="204"/>
      <c r="F266" s="259"/>
      <c r="G266" s="218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7">
        <v>2</v>
      </c>
      <c r="B267" s="210" t="s">
        <v>132</v>
      </c>
      <c r="C267" s="209" t="s">
        <v>132</v>
      </c>
      <c r="D267" s="208" t="s">
        <v>132</v>
      </c>
      <c r="E267" s="204"/>
      <c r="F267" s="259"/>
      <c r="G267" s="218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7">
        <v>3</v>
      </c>
      <c r="B268" s="210" t="s">
        <v>132</v>
      </c>
      <c r="C268" s="209" t="s">
        <v>132</v>
      </c>
      <c r="D268" s="208" t="s">
        <v>132</v>
      </c>
      <c r="E268" s="204"/>
      <c r="F268" s="259"/>
      <c r="G268" s="218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7">
        <v>4</v>
      </c>
      <c r="B269" s="210" t="s">
        <v>132</v>
      </c>
      <c r="C269" s="209" t="s">
        <v>132</v>
      </c>
      <c r="D269" s="208" t="s">
        <v>132</v>
      </c>
      <c r="E269" s="204"/>
      <c r="F269" s="259"/>
      <c r="G269" s="218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7">
        <v>5</v>
      </c>
      <c r="B270" s="210" t="s">
        <v>132</v>
      </c>
      <c r="C270" s="209" t="s">
        <v>132</v>
      </c>
      <c r="D270" s="208" t="s">
        <v>132</v>
      </c>
      <c r="E270" s="204"/>
      <c r="F270" s="259"/>
      <c r="G270" s="219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0">
        <f>'Données projet'!A244</f>
        <v>8</v>
      </c>
      <c r="B271" s="191">
        <f>'Données projet'!D244</f>
        <v>0</v>
      </c>
      <c r="C271" s="204">
        <f>48*'Données projet'!E244+19.4*('Données projet'!F244+'Données projet'!G244)+10*'Données projet'!H244</f>
        <v>0</v>
      </c>
      <c r="D271" s="189">
        <f>B271*C271</f>
        <v>0</v>
      </c>
      <c r="E271" s="204"/>
      <c r="F271" s="260"/>
      <c r="G271" s="219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0">
        <f>'Données projet'!A245</f>
        <v>9</v>
      </c>
      <c r="B272" s="191">
        <f>'Données projet'!D245</f>
        <v>0</v>
      </c>
      <c r="C272" s="204">
        <f>48*'Données projet'!E245+19.4*('Données projet'!F245+'Données projet'!G245)+10*'Données projet'!H245</f>
        <v>0</v>
      </c>
      <c r="D272" s="189">
        <f t="shared" ref="D272:D290" si="14">B272*C272</f>
        <v>0</v>
      </c>
      <c r="E272" s="204"/>
      <c r="F272" s="260"/>
      <c r="G272" s="219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0">
        <f>'Données projet'!A246</f>
        <v>10</v>
      </c>
      <c r="B273" s="191">
        <f>'Données projet'!D246</f>
        <v>0</v>
      </c>
      <c r="C273" s="204">
        <f>48*'Données projet'!E246+19.4*('Données projet'!F246+'Données projet'!G246)+10*'Données projet'!H246</f>
        <v>0</v>
      </c>
      <c r="D273" s="189">
        <f t="shared" si="14"/>
        <v>0</v>
      </c>
      <c r="E273" s="204"/>
      <c r="F273" s="260"/>
      <c r="G273" s="219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0">
        <f>'Données projet'!A247</f>
        <v>11</v>
      </c>
      <c r="B274" s="191">
        <f>'Données projet'!D247</f>
        <v>0</v>
      </c>
      <c r="C274" s="204">
        <f>48*'Données projet'!E247+19.4*('Données projet'!F247+'Données projet'!G247)+10*'Données projet'!H247</f>
        <v>0</v>
      </c>
      <c r="D274" s="189">
        <f t="shared" si="14"/>
        <v>0</v>
      </c>
      <c r="E274" s="204"/>
      <c r="F274" s="260"/>
      <c r="G274" s="219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0">
        <f>'Données projet'!A248</f>
        <v>12</v>
      </c>
      <c r="B275" s="191">
        <f>'Données projet'!D248</f>
        <v>0</v>
      </c>
      <c r="C275" s="204">
        <f>48*'Données projet'!E248+19.4*('Données projet'!F248+'Données projet'!G248)+10*'Données projet'!H248</f>
        <v>0</v>
      </c>
      <c r="D275" s="189">
        <f t="shared" si="14"/>
        <v>0</v>
      </c>
      <c r="E275" s="204"/>
      <c r="F275" s="260"/>
      <c r="G275" s="219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0">
        <f>'Données projet'!A249</f>
        <v>13</v>
      </c>
      <c r="B276" s="191">
        <f>'Données projet'!D249</f>
        <v>0</v>
      </c>
      <c r="C276" s="204">
        <f>48*'Données projet'!E249+19.4*('Données projet'!F249+'Données projet'!G249)+10*'Données projet'!H249</f>
        <v>0</v>
      </c>
      <c r="D276" s="189">
        <f t="shared" si="14"/>
        <v>0</v>
      </c>
      <c r="E276" s="204"/>
      <c r="F276" s="260"/>
      <c r="G276" s="219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0">
        <f>'Données projet'!A250</f>
        <v>14</v>
      </c>
      <c r="B277" s="191">
        <f>'Données projet'!D250</f>
        <v>0</v>
      </c>
      <c r="C277" s="204">
        <f>48*'Données projet'!E250+19.4*('Données projet'!F250+'Données projet'!G250)+10*'Données projet'!H250</f>
        <v>0</v>
      </c>
      <c r="D277" s="189">
        <f t="shared" si="14"/>
        <v>0</v>
      </c>
      <c r="E277" s="204"/>
      <c r="F277" s="260"/>
      <c r="G277" s="220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0">
        <f>'Données projet'!A251</f>
        <v>15</v>
      </c>
      <c r="B278" s="191">
        <f>'Données projet'!D251</f>
        <v>0</v>
      </c>
      <c r="C278" s="204">
        <f>48*'Données projet'!E251+19.4*('Données projet'!F251+'Données projet'!G251)+10*'Données projet'!H251</f>
        <v>0</v>
      </c>
      <c r="D278" s="189">
        <f t="shared" si="14"/>
        <v>0</v>
      </c>
      <c r="E278" s="204"/>
      <c r="F278" s="260"/>
      <c r="G278" s="220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0">
        <f>'Données projet'!A252</f>
        <v>16</v>
      </c>
      <c r="B279" s="191">
        <f>'Données projet'!D252</f>
        <v>0</v>
      </c>
      <c r="C279" s="204">
        <f>48*'Données projet'!E252+19.4*('Données projet'!F252+'Données projet'!G252)+10*'Données projet'!H252</f>
        <v>0</v>
      </c>
      <c r="D279" s="189">
        <f t="shared" si="14"/>
        <v>0</v>
      </c>
      <c r="E279" s="204"/>
      <c r="F279" s="260"/>
      <c r="G279" s="220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0">
        <f>'Données projet'!A253</f>
        <v>17</v>
      </c>
      <c r="B280" s="191">
        <f>'Données projet'!D253</f>
        <v>0</v>
      </c>
      <c r="C280" s="204">
        <f>48*'Données projet'!E253+19.4*('Données projet'!F253+'Données projet'!G253)+10*'Données projet'!H253</f>
        <v>0</v>
      </c>
      <c r="D280" s="189">
        <f t="shared" si="14"/>
        <v>0</v>
      </c>
      <c r="E280" s="204"/>
      <c r="F280" s="260"/>
      <c r="G280" s="220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0">
        <f>'Données projet'!A254</f>
        <v>18</v>
      </c>
      <c r="B281" s="191">
        <f>'Données projet'!D254</f>
        <v>0</v>
      </c>
      <c r="C281" s="204">
        <f>48*'Données projet'!E254+19.4*('Données projet'!F254+'Données projet'!G254)+10*'Données projet'!H254</f>
        <v>0</v>
      </c>
      <c r="D281" s="189">
        <f t="shared" si="14"/>
        <v>0</v>
      </c>
      <c r="E281" s="204"/>
      <c r="F281" s="260"/>
      <c r="G281" s="220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0">
        <f>'Données projet'!A255</f>
        <v>19</v>
      </c>
      <c r="B282" s="191">
        <f>'Données projet'!D255</f>
        <v>0</v>
      </c>
      <c r="C282" s="204">
        <f>48*'Données projet'!E255+19.4*('Données projet'!F255+'Données projet'!G255)+10*'Données projet'!H255</f>
        <v>0</v>
      </c>
      <c r="D282" s="189">
        <f t="shared" si="14"/>
        <v>0</v>
      </c>
      <c r="E282" s="204"/>
      <c r="F282" s="260"/>
      <c r="G282" s="220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0">
        <f>'Données projet'!A256</f>
        <v>20</v>
      </c>
      <c r="B283" s="191">
        <f>'Données projet'!D256</f>
        <v>0</v>
      </c>
      <c r="C283" s="204">
        <f>48*'Données projet'!E256+19.4*('Données projet'!F256+'Données projet'!G256)+10*'Données projet'!H256</f>
        <v>0</v>
      </c>
      <c r="D283" s="189">
        <f t="shared" si="14"/>
        <v>0</v>
      </c>
      <c r="E283" s="204"/>
      <c r="F283" s="260"/>
      <c r="G283" s="220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0">
        <f>'Données projet'!A257</f>
        <v>21</v>
      </c>
      <c r="B284" s="191">
        <f>'Données projet'!D257</f>
        <v>0</v>
      </c>
      <c r="C284" s="204">
        <f>48*'Données projet'!E257+19.4*('Données projet'!F257+'Données projet'!G257)+10*'Données projet'!H257</f>
        <v>0</v>
      </c>
      <c r="D284" s="189">
        <f t="shared" si="14"/>
        <v>0</v>
      </c>
      <c r="E284" s="204"/>
      <c r="F284" s="260"/>
      <c r="G284" s="220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0">
        <f>'Données projet'!A258</f>
        <v>22</v>
      </c>
      <c r="B285" s="191">
        <f>'Données projet'!D258</f>
        <v>0</v>
      </c>
      <c r="C285" s="204">
        <f>48*'Données projet'!E258+19.4*('Données projet'!F258+'Données projet'!G258)+10*'Données projet'!H258</f>
        <v>0</v>
      </c>
      <c r="D285" s="189">
        <f t="shared" si="14"/>
        <v>0</v>
      </c>
      <c r="E285" s="204"/>
      <c r="F285" s="260"/>
      <c r="G285" s="220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0">
        <f>'Données projet'!A259</f>
        <v>23</v>
      </c>
      <c r="B286" s="191">
        <f>'Données projet'!D259</f>
        <v>0</v>
      </c>
      <c r="C286" s="204">
        <f>48*'Données projet'!E259+19.4*('Données projet'!F259+'Données projet'!G259)+10*'Données projet'!H259</f>
        <v>0</v>
      </c>
      <c r="D286" s="189">
        <f t="shared" si="14"/>
        <v>0</v>
      </c>
      <c r="E286" s="204"/>
      <c r="F286" s="260"/>
      <c r="G286" s="220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0">
        <f>'Données projet'!A260</f>
        <v>24</v>
      </c>
      <c r="B287" s="191">
        <f>'Données projet'!D260</f>
        <v>0</v>
      </c>
      <c r="C287" s="204">
        <f>48*'Données projet'!E260+19.4*('Données projet'!F260+'Données projet'!G260)+10*'Données projet'!H260</f>
        <v>0</v>
      </c>
      <c r="D287" s="189">
        <f t="shared" si="14"/>
        <v>0</v>
      </c>
      <c r="E287" s="204"/>
      <c r="F287" s="260"/>
      <c r="G287" s="220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0">
        <f>'Données projet'!A261</f>
        <v>25</v>
      </c>
      <c r="B288" s="191">
        <f>'Données projet'!D261</f>
        <v>303</v>
      </c>
      <c r="C288" s="204">
        <f>48*'Données projet'!E261+19.4*('Données projet'!F261+'Données projet'!G261)+10*'Données projet'!H261</f>
        <v>29.734000000000002</v>
      </c>
      <c r="D288" s="189">
        <f t="shared" si="14"/>
        <v>9009.402</v>
      </c>
      <c r="E288" s="204"/>
      <c r="F288" s="260"/>
      <c r="G288" s="220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0">
        <f>'Données projet'!A262</f>
        <v>0</v>
      </c>
      <c r="B289" s="191">
        <f>'Données projet'!D262</f>
        <v>0</v>
      </c>
      <c r="C289" s="204">
        <f>48*'Données projet'!E262+19.4*('Données projet'!F262+'Données projet'!G262)+10*'Données projet'!H262</f>
        <v>0</v>
      </c>
      <c r="D289" s="189">
        <f t="shared" si="14"/>
        <v>0</v>
      </c>
      <c r="E289" s="204"/>
      <c r="F289" s="260"/>
      <c r="G289" s="220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0">
        <f>'Données projet'!A263</f>
        <v>0</v>
      </c>
      <c r="B290" s="191">
        <f>'Données projet'!D263</f>
        <v>0</v>
      </c>
      <c r="C290" s="204">
        <f>48*'Données projet'!E263+19.4*('Données projet'!F263+'Données projet'!G263)+10*'Données projet'!H263</f>
        <v>0</v>
      </c>
      <c r="D290" s="189">
        <f t="shared" si="14"/>
        <v>0</v>
      </c>
      <c r="E290" s="204"/>
      <c r="F290" s="260"/>
      <c r="G290" s="220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58"/>
      <c r="G291" s="220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58"/>
      <c r="G292" s="220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8"/>
      <c r="G293" s="220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58"/>
      <c r="G294" s="220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4" t="s">
        <v>180</v>
      </c>
      <c r="B295" s="51" t="s">
        <v>256</v>
      </c>
      <c r="C295" s="51" t="s">
        <v>255</v>
      </c>
      <c r="D295" s="254" t="s">
        <v>252</v>
      </c>
      <c r="E295" s="254" t="s">
        <v>320</v>
      </c>
      <c r="F295" s="259"/>
      <c r="G295" s="220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7">
        <v>0</v>
      </c>
      <c r="B296" s="210" t="s">
        <v>132</v>
      </c>
      <c r="C296" s="209" t="s">
        <v>132</v>
      </c>
      <c r="D296" s="208" t="s">
        <v>132</v>
      </c>
      <c r="E296" s="204"/>
      <c r="F296" s="259"/>
      <c r="G296" s="220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7">
        <v>1</v>
      </c>
      <c r="B297" s="210" t="s">
        <v>132</v>
      </c>
      <c r="C297" s="209" t="s">
        <v>132</v>
      </c>
      <c r="D297" s="208" t="s">
        <v>132</v>
      </c>
      <c r="E297" s="204"/>
      <c r="F297" s="259"/>
      <c r="G297" s="218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7">
        <v>2</v>
      </c>
      <c r="B298" s="210" t="s">
        <v>132</v>
      </c>
      <c r="C298" s="209" t="s">
        <v>132</v>
      </c>
      <c r="D298" s="208" t="s">
        <v>132</v>
      </c>
      <c r="E298" s="204"/>
      <c r="F298" s="259"/>
      <c r="G298" s="218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7">
        <v>3</v>
      </c>
      <c r="B299" s="210" t="s">
        <v>132</v>
      </c>
      <c r="C299" s="209" t="s">
        <v>132</v>
      </c>
      <c r="D299" s="208" t="s">
        <v>132</v>
      </c>
      <c r="E299" s="204"/>
      <c r="F299" s="259"/>
      <c r="G299" s="218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7">
        <v>4</v>
      </c>
      <c r="B300" s="210" t="s">
        <v>132</v>
      </c>
      <c r="C300" s="209" t="s">
        <v>132</v>
      </c>
      <c r="D300" s="208" t="s">
        <v>132</v>
      </c>
      <c r="E300" s="204"/>
      <c r="F300" s="259"/>
      <c r="G300" s="218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7">
        <v>5</v>
      </c>
      <c r="B301" s="210" t="s">
        <v>132</v>
      </c>
      <c r="C301" s="209" t="s">
        <v>132</v>
      </c>
      <c r="D301" s="208" t="s">
        <v>132</v>
      </c>
      <c r="E301" s="204"/>
      <c r="F301" s="259"/>
      <c r="G301" s="219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1"/>
      <c r="G302" s="219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1"/>
      <c r="G303" s="219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1"/>
      <c r="G304" s="219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1"/>
      <c r="G305" s="219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1"/>
      <c r="G306" s="219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1"/>
      <c r="G307" s="219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1"/>
      <c r="G308" s="215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1"/>
      <c r="G309" s="215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1"/>
      <c r="G310" s="215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1"/>
      <c r="G311" s="215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1"/>
      <c r="G312" s="215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1"/>
      <c r="G313" s="215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1"/>
      <c r="G314" s="215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1"/>
      <c r="G315" s="215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1"/>
      <c r="G316" s="215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1"/>
      <c r="G317" s="215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1"/>
      <c r="G318" s="215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1"/>
      <c r="G319" s="215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1"/>
      <c r="G320" s="215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0">
        <f>'Données projet'!A289</f>
        <v>0</v>
      </c>
      <c r="B321" s="191">
        <f>'Données projet'!D289</f>
        <v>0</v>
      </c>
      <c r="C321" s="202"/>
      <c r="D321" s="192">
        <f t="shared" si="15"/>
        <v>0</v>
      </c>
      <c r="E321" s="204"/>
      <c r="F321" s="261"/>
      <c r="G321" s="215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5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5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5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5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5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5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28"/>
      <c r="G328" s="22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28"/>
      <c r="G329" s="22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28"/>
      <c r="G330" s="22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28"/>
      <c r="G331" s="22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28"/>
      <c r="G332" s="22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28"/>
      <c r="G333" s="22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28"/>
      <c r="G334" s="22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28"/>
      <c r="G335" s="22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28"/>
      <c r="G336" s="22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28"/>
      <c r="G337" s="22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28"/>
      <c r="G338" s="22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28"/>
      <c r="G339" s="22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28"/>
      <c r="G340" s="22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28"/>
      <c r="G341" s="22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28"/>
      <c r="G342" s="22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28"/>
      <c r="G343" s="22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28"/>
      <c r="G344" s="22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28"/>
      <c r="G345" s="22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28"/>
      <c r="G346" s="22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28"/>
      <c r="G347" s="22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28"/>
      <c r="G348" s="22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28"/>
      <c r="G349" s="22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28"/>
      <c r="G350" s="22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28"/>
      <c r="G351" s="22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28"/>
      <c r="G352" s="22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28"/>
      <c r="G353" s="22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28"/>
      <c r="G354" s="22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28"/>
      <c r="G355" s="22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28"/>
      <c r="G356" s="22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28"/>
      <c r="G357" s="22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28"/>
      <c r="G358" s="22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28"/>
      <c r="G359" s="22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28"/>
      <c r="G360" s="22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28"/>
      <c r="G361" s="22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28"/>
      <c r="G362" s="22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28"/>
      <c r="G363" s="22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28"/>
      <c r="G364" s="22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28"/>
      <c r="G365" s="22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28"/>
      <c r="G366" s="22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28"/>
      <c r="G367" s="22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28"/>
      <c r="G368" s="22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28"/>
      <c r="G369" s="22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28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28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28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28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28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28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28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28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28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28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28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28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28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28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28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28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28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28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28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28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28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28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28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28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28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28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2024-10-25T15:37:11Z</dcterms:modified>
</cp:coreProperties>
</file>