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BARBE Alain/Montbrun_Bocage/corrections/"/>
    </mc:Choice>
  </mc:AlternateContent>
  <xr:revisionPtr revIDLastSave="73" documentId="8_{DE3ED6F9-4BF6-4573-A4DA-FDD276661E1C}" xr6:coauthVersionLast="47" xr6:coauthVersionMax="47" xr10:uidLastSave="{8B832171-8C71-4B73-8C49-3CA52C2EAD89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EC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H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EW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X155" i="2"/>
  <c r="HH155" i="2"/>
  <c r="EA155" i="2"/>
  <c r="ED155" i="2" s="1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DH156" i="2" l="1"/>
  <c r="AB156" i="2"/>
  <c r="EX156" i="2"/>
  <c r="HH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D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W162" i="2"/>
  <c r="EC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X164" i="2"/>
  <c r="FR164" i="2"/>
  <c r="DH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A167" i="2"/>
  <c r="EC167" i="2"/>
  <c r="HI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I168" i="2"/>
  <c r="EW168" i="2"/>
  <c r="HH168" i="2"/>
  <c r="EV168" i="2"/>
  <c r="EY168" i="2" s="1"/>
  <c r="EC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EV192" i="2"/>
  <c r="EY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DI192" i="2" l="1"/>
  <c r="FQ193" i="2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B195" i="2"/>
  <c r="FQ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AA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 l="1"/>
  <c r="FS201" i="2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X202" i="2"/>
  <c r="HH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FY104" i="2" a="1"/>
  <c r="FY10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43" i="2" a="1"/>
  <c r="FD43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BC164" i="2" a="1"/>
  <c r="BC164" i="2" s="1"/>
  <c r="BC38" i="2" a="1"/>
  <c r="BC3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BP203" i="2" l="1"/>
  <c r="BC117" i="2" a="1"/>
  <c r="BC117" i="2" s="1"/>
  <c r="BC114" i="2" a="1"/>
  <c r="BC114" i="2" s="1"/>
  <c r="BC181" i="2" a="1"/>
  <c r="BC181" i="2" s="1"/>
  <c r="BC18" i="2" a="1"/>
  <c r="BC18" i="2" s="1"/>
  <c r="BC65" i="2" a="1"/>
  <c r="BC65" i="2" s="1"/>
  <c r="BC31" i="2" a="1"/>
  <c r="BC31" i="2" s="1"/>
  <c r="BC82" i="2" a="1"/>
  <c r="BC82" i="2" s="1"/>
  <c r="BC83" i="2" a="1"/>
  <c r="BC83" i="2" s="1"/>
  <c r="BC84" i="2" a="1"/>
  <c r="BC84" i="2" s="1"/>
  <c r="BC126" i="2" a="1"/>
  <c r="BC126" i="2" s="1"/>
  <c r="BC32" i="2" a="1"/>
  <c r="BC32" i="2" s="1"/>
  <c r="BC47" i="2" a="1"/>
  <c r="BC47" i="2" s="1"/>
  <c r="BC68" i="2" a="1"/>
  <c r="BC68" i="2" s="1"/>
  <c r="BC130" i="2" a="1"/>
  <c r="BC130" i="2" s="1"/>
  <c r="BC192" i="2" a="1"/>
  <c r="BC192" i="2" s="1"/>
  <c r="BC55" i="2" a="1"/>
  <c r="BC55" i="2" s="1"/>
  <c r="CS38" i="2" a="1"/>
  <c r="CS38" i="2" s="1"/>
  <c r="CS77" i="2" a="1"/>
  <c r="CS77" i="2" s="1"/>
  <c r="BC151" i="2" a="1"/>
  <c r="BC151" i="2" s="1"/>
  <c r="BC58" i="2" a="1"/>
  <c r="BC58" i="2" s="1"/>
  <c r="BC7" i="2" a="1"/>
  <c r="BC7" i="2" s="1"/>
  <c r="BD7" i="2" s="1"/>
  <c r="BC34" i="2" a="1"/>
  <c r="BC34" i="2" s="1"/>
  <c r="BC185" i="2" a="1"/>
  <c r="BC185" i="2" s="1"/>
  <c r="BC143" i="2" a="1"/>
  <c r="BC143" i="2" s="1"/>
  <c r="AH90" i="2" a="1"/>
  <c r="AH90" i="2" s="1"/>
  <c r="AH151" i="2" a="1"/>
  <c r="AH151" i="2" s="1"/>
  <c r="FY126" i="2" a="1"/>
  <c r="FY126" i="2" s="1"/>
  <c r="FY188" i="2" a="1"/>
  <c r="FY188" i="2" s="1"/>
  <c r="FY140" i="2" a="1"/>
  <c r="FY140" i="2" s="1"/>
  <c r="FY143" i="2" a="1"/>
  <c r="FY143" i="2" s="1"/>
  <c r="FY121" i="2" a="1"/>
  <c r="FY121" i="2" s="1"/>
  <c r="FY35" i="2" a="1"/>
  <c r="FY35" i="2" s="1"/>
  <c r="FY167" i="2" a="1"/>
  <c r="FY167" i="2" s="1"/>
  <c r="CS129" i="2" a="1"/>
  <c r="CS129" i="2" s="1"/>
  <c r="FY124" i="2" a="1"/>
  <c r="FY124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BX107" i="2" a="1"/>
  <c r="BX107" i="2" s="1"/>
  <c r="CS114" i="2" a="1"/>
  <c r="CS114" i="2" s="1"/>
  <c r="CS120" i="2" a="1"/>
  <c r="CS120" i="2" s="1"/>
  <c r="FD131" i="2" a="1"/>
  <c r="FD131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FY115" i="2" a="1"/>
  <c r="FY115" i="2" s="1"/>
  <c r="FY173" i="2" a="1"/>
  <c r="FY173" i="2" s="1"/>
  <c r="FY133" i="2" a="1"/>
  <c r="FY133" i="2" s="1"/>
  <c r="FY79" i="2" a="1"/>
  <c r="FY79" i="2" s="1"/>
  <c r="FY24" i="2" a="1"/>
  <c r="FY24" i="2" s="1"/>
  <c r="CS105" i="2" a="1"/>
  <c r="CS105" i="2" s="1"/>
  <c r="FY165" i="2" a="1"/>
  <c r="FY165" i="2" s="1"/>
  <c r="CS161" i="2" a="1"/>
  <c r="CS161" i="2" s="1"/>
  <c r="CS72" i="2" a="1"/>
  <c r="CS72" i="2" s="1"/>
  <c r="CS116" i="2" a="1"/>
  <c r="CS116" i="2" s="1"/>
  <c r="CS66" i="2" a="1"/>
  <c r="CS66" i="2" s="1"/>
  <c r="FY69" i="2" a="1"/>
  <c r="FY69" i="2" s="1"/>
  <c r="FD64" i="2" a="1"/>
  <c r="FD64" i="2" s="1"/>
  <c r="FY42" i="2" a="1"/>
  <c r="FY42" i="2" s="1"/>
  <c r="AH199" i="2" a="1"/>
  <c r="AH199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FY28" i="2" a="1"/>
  <c r="FY28" i="2" s="1"/>
  <c r="FY47" i="2" a="1"/>
  <c r="FY47" i="2" s="1"/>
  <c r="FY78" i="2" a="1"/>
  <c r="FY78" i="2" s="1"/>
  <c r="FY110" i="2" a="1"/>
  <c r="FY110" i="2" s="1"/>
  <c r="AH62" i="2" a="1"/>
  <c r="AH62" i="2" s="1"/>
  <c r="FY190" i="2" a="1"/>
  <c r="FY190" i="2" s="1"/>
  <c r="FY22" i="2" a="1"/>
  <c r="FY22" i="2" s="1"/>
  <c r="CS134" i="2" a="1"/>
  <c r="CS134" i="2" s="1"/>
  <c r="CS185" i="2" a="1"/>
  <c r="CS185" i="2" s="1"/>
  <c r="FD189" i="2" a="1"/>
  <c r="FD189" i="2" s="1"/>
  <c r="FY196" i="2" a="1"/>
  <c r="FY196" i="2" s="1"/>
  <c r="AH166" i="2" a="1"/>
  <c r="AH166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FY34" i="2" a="1"/>
  <c r="FY34" i="2" s="1"/>
  <c r="FY109" i="2" a="1"/>
  <c r="FY109" i="2" s="1"/>
  <c r="FY86" i="2" a="1"/>
  <c r="FY86" i="2" s="1"/>
  <c r="FY164" i="2" a="1"/>
  <c r="FY164" i="2" s="1"/>
  <c r="FY159" i="2" a="1"/>
  <c r="FY159" i="2" s="1"/>
  <c r="FY58" i="2" a="1"/>
  <c r="FY58" i="2" s="1"/>
  <c r="FY149" i="2" a="1"/>
  <c r="FY149" i="2" s="1"/>
  <c r="FY29" i="2" a="1"/>
  <c r="FY29" i="2" s="1"/>
  <c r="FY191" i="2" a="1"/>
  <c r="FY191" i="2" s="1"/>
  <c r="CS137" i="2" a="1"/>
  <c r="CS137" i="2" s="1"/>
  <c r="FY174" i="2" a="1"/>
  <c r="FY174" i="2" s="1"/>
  <c r="FY142" i="2" a="1"/>
  <c r="FY142" i="2" s="1"/>
  <c r="CS56" i="2" a="1"/>
  <c r="CS56" i="2" s="1"/>
  <c r="FY30" i="2" a="1"/>
  <c r="FY30" i="2" s="1"/>
  <c r="FY92" i="2" a="1"/>
  <c r="FY92" i="2" s="1"/>
  <c r="CS24" i="2" a="1"/>
  <c r="CS24" i="2" s="1"/>
  <c r="FD187" i="2" a="1"/>
  <c r="FD187" i="2" s="1"/>
  <c r="FD14" i="2" a="1"/>
  <c r="FD14" i="2" s="1"/>
  <c r="FY82" i="2" a="1"/>
  <c r="FY82" i="2" s="1"/>
  <c r="AH19" i="2" a="1"/>
  <c r="AH19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179" i="2" l="1"/>
  <c r="CD115" i="2"/>
  <c r="CD93" i="2"/>
  <c r="CD33" i="2"/>
  <c r="CD39" i="2"/>
  <c r="CD136" i="2"/>
  <c r="CD116" i="2"/>
  <c r="CD34" i="2"/>
  <c r="CD15" i="2"/>
  <c r="CD47" i="2"/>
  <c r="CD181" i="2"/>
  <c r="CD120" i="2"/>
  <c r="CD138" i="2"/>
  <c r="CD159" i="2"/>
  <c r="CD137" i="2"/>
  <c r="CD167" i="2"/>
  <c r="CD8" i="2"/>
  <c r="CD104" i="2"/>
  <c r="CD147" i="2"/>
  <c r="CD113" i="2"/>
  <c r="CD102" i="2"/>
  <c r="CD196" i="2"/>
  <c r="CD74" i="2"/>
  <c r="CD19" i="2"/>
  <c r="CD195" i="2"/>
  <c r="CD100" i="2"/>
  <c r="CD178" i="2"/>
  <c r="CD190" i="2"/>
  <c r="CD4" i="2"/>
  <c r="CD18" i="2"/>
  <c r="CD84" i="2"/>
  <c r="CD128" i="2"/>
  <c r="CD49" i="2"/>
  <c r="CD65" i="2"/>
  <c r="CD161" i="2"/>
  <c r="CD51" i="2"/>
  <c r="CD80" i="2"/>
  <c r="CD164" i="2"/>
  <c r="CD185" i="2"/>
  <c r="CD126" i="2"/>
  <c r="CD150" i="2"/>
  <c r="CD173" i="2"/>
  <c r="CD88" i="2"/>
  <c r="CD118" i="2"/>
  <c r="CD29" i="2"/>
  <c r="CD202" i="2"/>
  <c r="CD169" i="2"/>
  <c r="CD56" i="2"/>
  <c r="CD75" i="2"/>
  <c r="CD64" i="2"/>
  <c r="CD45" i="2"/>
  <c r="CD135" i="2"/>
  <c r="CD175" i="2"/>
  <c r="CD24" i="2"/>
  <c r="CD44" i="2"/>
  <c r="CD131" i="2"/>
  <c r="CD162" i="2"/>
  <c r="CD63" i="2"/>
  <c r="CD41" i="2"/>
  <c r="CD54" i="2"/>
  <c r="CD94" i="2"/>
  <c r="CD76" i="2"/>
  <c r="CD106" i="2"/>
  <c r="CD127" i="2"/>
  <c r="CD32" i="2"/>
  <c r="CD200" i="2"/>
  <c r="CD146" i="2"/>
  <c r="CD183" i="2"/>
  <c r="CD157" i="2"/>
  <c r="CD22" i="2"/>
  <c r="CD152" i="2"/>
  <c r="CD62" i="2"/>
  <c r="CD187" i="2"/>
  <c r="CD171" i="2"/>
  <c r="CD96" i="2"/>
  <c r="CD139" i="2"/>
  <c r="CD110" i="2"/>
  <c r="CD43" i="2"/>
  <c r="CD201" i="2"/>
  <c r="CD107" i="2"/>
  <c r="CD36" i="2"/>
  <c r="CD81" i="2"/>
  <c r="CD197" i="2"/>
  <c r="CD158" i="2"/>
  <c r="CD58" i="2"/>
  <c r="CD153" i="2"/>
  <c r="CD177" i="2"/>
  <c r="CD174" i="2"/>
  <c r="CD112" i="2"/>
  <c r="CD89" i="2"/>
  <c r="CD17" i="2"/>
  <c r="CD148" i="2"/>
  <c r="CD23" i="2"/>
  <c r="CD7" i="2"/>
  <c r="CD69" i="2"/>
  <c r="CD176" i="2"/>
  <c r="CD16" i="2"/>
  <c r="CD25" i="2"/>
  <c r="CD82" i="2"/>
  <c r="CD38" i="2"/>
  <c r="CD144" i="2"/>
  <c r="CD141" i="2"/>
  <c r="CD114" i="2"/>
  <c r="CD20" i="2"/>
  <c r="CD86" i="2"/>
  <c r="CD26" i="2"/>
  <c r="CD133" i="2"/>
  <c r="CD199" i="2"/>
  <c r="CD46" i="2"/>
  <c r="CD95" i="2"/>
  <c r="CD160" i="2"/>
  <c r="CD119" i="2"/>
  <c r="CD189" i="2"/>
  <c r="CD9" i="2"/>
  <c r="CD165" i="2"/>
  <c r="CD5" i="2"/>
  <c r="CD30" i="2"/>
  <c r="CD194" i="2"/>
  <c r="CD92" i="2"/>
  <c r="CD149" i="2"/>
  <c r="CD31" i="2"/>
  <c r="CD35" i="2"/>
  <c r="CD66" i="2"/>
  <c r="CD50" i="2"/>
  <c r="CD61" i="2"/>
  <c r="CD125" i="2"/>
  <c r="CD108" i="2"/>
  <c r="CD155" i="2"/>
  <c r="CD77" i="2"/>
  <c r="CD168" i="2"/>
  <c r="CD37" i="2"/>
  <c r="CD70" i="2"/>
  <c r="CD40" i="2"/>
  <c r="CD85" i="2"/>
  <c r="CD145" i="2"/>
  <c r="CD71" i="2"/>
  <c r="CD10" i="2"/>
  <c r="CD166" i="2"/>
  <c r="CD91" i="2"/>
  <c r="CD163" i="2"/>
  <c r="CD83" i="2"/>
  <c r="CD12" i="2"/>
  <c r="CD27" i="2"/>
  <c r="CD180" i="2"/>
  <c r="CD172" i="2"/>
  <c r="CD6" i="2"/>
  <c r="CD55" i="2"/>
  <c r="CD184" i="2"/>
  <c r="CD79" i="2"/>
  <c r="CD52" i="2"/>
  <c r="CD182" i="2"/>
  <c r="CD198" i="2"/>
  <c r="CD186" i="2"/>
  <c r="CD130" i="2"/>
  <c r="CD98" i="2"/>
  <c r="CD103" i="2"/>
  <c r="CD28" i="2"/>
  <c r="CD156" i="2"/>
  <c r="CD123" i="2"/>
  <c r="CD3" i="2"/>
  <c r="C9" i="4" s="1"/>
  <c r="E9" i="4" s="1"/>
  <c r="F9" i="4" s="1"/>
  <c r="G9" i="4" s="1"/>
  <c r="L9" i="4" s="1"/>
  <c r="CD72" i="2"/>
  <c r="CD42" i="2"/>
  <c r="CD90" i="2"/>
  <c r="CD142" i="2"/>
  <c r="CD21" i="2"/>
  <c r="CD193" i="2"/>
  <c r="CD68" i="2"/>
  <c r="CD143" i="2"/>
  <c r="CD124" i="2"/>
  <c r="CD192" i="2"/>
  <c r="CD87" i="2"/>
  <c r="CD14" i="2"/>
  <c r="CD140" i="2"/>
  <c r="CD203" i="2"/>
  <c r="CD117" i="2"/>
  <c r="CD111" i="2"/>
  <c r="CD99" i="2"/>
  <c r="CD191" i="2"/>
  <c r="CD105" i="2"/>
  <c r="CD48" i="2"/>
  <c r="CD154" i="2"/>
  <c r="CD129" i="2"/>
  <c r="CD132" i="2"/>
  <c r="CD122" i="2"/>
  <c r="CD97" i="2"/>
  <c r="CD59" i="2"/>
  <c r="CD13" i="2"/>
  <c r="CD170" i="2"/>
  <c r="CD109" i="2"/>
  <c r="CD121" i="2"/>
  <c r="CD67" i="2"/>
  <c r="CD53" i="2"/>
  <c r="CD78" i="2"/>
  <c r="CD73" i="2"/>
  <c r="CD11" i="2"/>
  <c r="CD57" i="2"/>
  <c r="CD134" i="2"/>
  <c r="CD151" i="2"/>
  <c r="CD101" i="2"/>
  <c r="CD188" i="2"/>
  <c r="CD60" i="2"/>
  <c r="CY28" i="2"/>
  <c r="CY24" i="2"/>
  <c r="CY14" i="2"/>
  <c r="CY116" i="2"/>
  <c r="CY18" i="2"/>
  <c r="CY163" i="2"/>
  <c r="CY197" i="2"/>
  <c r="CY154" i="2"/>
  <c r="CY126" i="2"/>
  <c r="CY102" i="2"/>
  <c r="CY107" i="2"/>
  <c r="CY199" i="2"/>
  <c r="CY185" i="2"/>
  <c r="CY141" i="2"/>
  <c r="CY35" i="2"/>
  <c r="CY155" i="2"/>
  <c r="CY196" i="2"/>
  <c r="CY23" i="2"/>
  <c r="CY127" i="2"/>
  <c r="CY97" i="2"/>
  <c r="CY148" i="2"/>
  <c r="CY59" i="2"/>
  <c r="CY124" i="2"/>
  <c r="CY33" i="2"/>
  <c r="CY123" i="2"/>
  <c r="CY152" i="2"/>
  <c r="CY93" i="2"/>
  <c r="CY134" i="2"/>
  <c r="CY82" i="2"/>
  <c r="CY80" i="2"/>
  <c r="CY108" i="2"/>
  <c r="CY56" i="2"/>
  <c r="CY74" i="2"/>
  <c r="CY65" i="2"/>
  <c r="CY83" i="2"/>
  <c r="CY61" i="2"/>
  <c r="CY140" i="2"/>
  <c r="CY66" i="2"/>
  <c r="CY89" i="2"/>
  <c r="CY73" i="2"/>
  <c r="CY109" i="2"/>
  <c r="CY167" i="2"/>
  <c r="CY58" i="2"/>
  <c r="CY47" i="2"/>
  <c r="CY49" i="2"/>
  <c r="CY190" i="2"/>
  <c r="CY4" i="2"/>
  <c r="CY146" i="2"/>
  <c r="CY19" i="2"/>
  <c r="CY182" i="2"/>
  <c r="CY133" i="2"/>
  <c r="CY90" i="2"/>
  <c r="CY131" i="2"/>
  <c r="CY180" i="2"/>
  <c r="CY50" i="2"/>
  <c r="CY198" i="2"/>
  <c r="CY151" i="2"/>
  <c r="CY142" i="2"/>
  <c r="CY13" i="2"/>
  <c r="CY54" i="2"/>
  <c r="CY165" i="2"/>
  <c r="CY118" i="2"/>
  <c r="CY15" i="2"/>
  <c r="CY9" i="2"/>
  <c r="CY3" i="2"/>
  <c r="C10" i="4" s="1"/>
  <c r="E10" i="4" s="1"/>
  <c r="F10" i="4" s="1"/>
  <c r="G10" i="4" s="1"/>
  <c r="L10" i="4" s="1"/>
  <c r="CY8" i="2"/>
  <c r="CY84" i="2"/>
  <c r="CY200" i="2"/>
  <c r="CY189" i="2"/>
  <c r="CY52" i="2"/>
  <c r="CY7" i="2"/>
  <c r="CY169" i="2"/>
  <c r="CY125" i="2"/>
  <c r="CY55" i="2"/>
  <c r="CY188" i="2"/>
  <c r="CY130" i="2"/>
  <c r="CY168" i="2"/>
  <c r="CY67" i="2"/>
  <c r="CY175" i="2"/>
  <c r="CY30" i="2"/>
  <c r="CY51" i="2"/>
  <c r="CY173" i="2"/>
  <c r="CY6" i="2"/>
  <c r="CY161" i="2"/>
  <c r="CY100" i="2"/>
  <c r="CY91" i="2"/>
  <c r="CY95" i="2"/>
  <c r="CY27" i="2"/>
  <c r="CY68" i="2"/>
  <c r="CY98" i="2"/>
  <c r="CY42" i="2"/>
  <c r="CY202" i="2"/>
  <c r="CY144" i="2"/>
  <c r="CY112" i="2"/>
  <c r="CY132" i="2"/>
  <c r="CY43" i="2"/>
  <c r="CY137" i="2"/>
  <c r="CY113" i="2"/>
  <c r="CY203" i="2"/>
  <c r="CY78" i="2"/>
  <c r="CY193" i="2"/>
  <c r="CY191" i="2"/>
  <c r="CY29" i="2"/>
  <c r="CY46" i="2"/>
  <c r="CY115" i="2"/>
  <c r="CY121" i="2"/>
  <c r="CY17" i="2"/>
  <c r="CY135" i="2"/>
  <c r="CY31" i="2"/>
  <c r="CY22" i="2"/>
  <c r="CY174" i="2"/>
  <c r="CY63" i="2"/>
  <c r="CY104" i="2"/>
  <c r="CY179" i="2"/>
  <c r="CY139" i="2"/>
  <c r="CY37" i="2"/>
  <c r="CY72" i="2"/>
  <c r="CY195" i="2"/>
  <c r="CY186" i="2"/>
  <c r="CY138" i="2"/>
  <c r="CY101" i="2"/>
  <c r="CY192" i="2"/>
  <c r="CY12" i="2"/>
  <c r="CY71" i="2"/>
  <c r="CY114" i="2"/>
  <c r="CY117" i="2"/>
  <c r="CY187" i="2"/>
  <c r="CY170" i="2"/>
  <c r="CY149" i="2"/>
  <c r="CY48" i="2"/>
  <c r="CY76" i="2"/>
  <c r="CY122" i="2"/>
  <c r="CY156" i="2"/>
  <c r="CY32" i="2"/>
  <c r="CY136" i="2"/>
  <c r="CY99" i="2"/>
  <c r="CY110" i="2"/>
  <c r="CY157" i="2"/>
  <c r="CY178" i="2"/>
  <c r="CY57" i="2"/>
  <c r="CY45" i="2"/>
  <c r="CY172" i="2"/>
  <c r="CY44" i="2"/>
  <c r="CY38" i="2"/>
  <c r="CY106" i="2"/>
  <c r="CY150" i="2"/>
  <c r="CY21" i="2"/>
  <c r="CY81" i="2"/>
  <c r="CY105" i="2"/>
  <c r="CY194" i="2"/>
  <c r="CY94" i="2"/>
  <c r="CY153" i="2"/>
  <c r="CY53" i="2"/>
  <c r="CY69" i="2"/>
  <c r="CY103" i="2"/>
  <c r="CY86" i="2"/>
  <c r="CY160" i="2"/>
  <c r="CY26" i="2"/>
  <c r="CY36" i="2"/>
  <c r="CY184" i="2"/>
  <c r="CY111" i="2"/>
  <c r="CY183" i="2"/>
  <c r="CY16" i="2"/>
  <c r="CY177" i="2"/>
  <c r="CY5" i="2"/>
  <c r="CY171" i="2"/>
  <c r="CY164" i="2"/>
  <c r="CY41" i="2"/>
  <c r="CY129" i="2"/>
  <c r="CY34" i="2"/>
  <c r="CY147" i="2"/>
  <c r="CY10" i="2"/>
  <c r="CY181" i="2"/>
  <c r="CY62" i="2"/>
  <c r="CY39" i="2"/>
  <c r="CY85" i="2"/>
  <c r="CY88" i="2"/>
  <c r="CY77" i="2"/>
  <c r="CY11" i="2"/>
  <c r="CY143" i="2"/>
  <c r="CY162" i="2"/>
  <c r="CY159" i="2"/>
  <c r="CY119" i="2"/>
  <c r="CY64" i="2"/>
  <c r="CY25" i="2"/>
  <c r="CY158" i="2"/>
  <c r="CY40" i="2"/>
  <c r="CY79" i="2"/>
  <c r="CY87" i="2"/>
  <c r="CY201" i="2"/>
  <c r="CY120" i="2"/>
  <c r="CY176" i="2"/>
  <c r="CY166" i="2"/>
  <c r="CY128" i="2"/>
  <c r="CY92" i="2"/>
  <c r="CY20" i="2"/>
  <c r="CY75" i="2"/>
  <c r="CY60" i="2"/>
  <c r="CY145" i="2"/>
  <c r="CY70" i="2"/>
  <c r="CY96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I181" i="2" l="1"/>
  <c r="BI47" i="2"/>
  <c r="BI187" i="2"/>
  <c r="BI22" i="2"/>
  <c r="BI65" i="2"/>
  <c r="BI163" i="2"/>
  <c r="BI36" i="2"/>
  <c r="BI96" i="2"/>
  <c r="BI45" i="2"/>
  <c r="BI35" i="2"/>
  <c r="BI81" i="2"/>
  <c r="BI76" i="2"/>
  <c r="BI120" i="2"/>
  <c r="BI28" i="2"/>
  <c r="BI148" i="2"/>
  <c r="BI24" i="2"/>
  <c r="BI60" i="2"/>
  <c r="BI57" i="2"/>
  <c r="BI82" i="2"/>
  <c r="BI62" i="2"/>
  <c r="BI104" i="2"/>
  <c r="BI3" i="2"/>
  <c r="C8" i="4" s="1"/>
  <c r="E8" i="4" s="1"/>
  <c r="F8" i="4" s="1"/>
  <c r="G8" i="4" s="1"/>
  <c r="L8" i="4" s="1"/>
  <c r="BI112" i="2"/>
  <c r="BI33" i="2"/>
  <c r="BI69" i="2"/>
  <c r="BI194" i="2"/>
  <c r="BI99" i="2"/>
  <c r="BI102" i="2"/>
  <c r="BI132" i="2"/>
  <c r="BI192" i="2"/>
  <c r="BI48" i="2"/>
  <c r="BI152" i="2"/>
  <c r="BI17" i="2"/>
  <c r="BI64" i="2"/>
  <c r="BI141" i="2"/>
  <c r="BI26" i="2"/>
  <c r="BI101" i="2"/>
  <c r="BI15" i="2"/>
  <c r="BI43" i="2"/>
  <c r="BI109" i="2"/>
  <c r="BI12" i="2"/>
  <c r="BI113" i="2"/>
  <c r="BI158" i="2"/>
  <c r="BI151" i="2"/>
  <c r="BI125" i="2"/>
  <c r="BI94" i="2"/>
  <c r="BI183" i="2"/>
  <c r="BI126" i="2"/>
  <c r="BI147" i="2"/>
  <c r="BI121" i="2"/>
  <c r="BI134" i="2"/>
  <c r="BI90" i="2"/>
  <c r="BI172" i="2"/>
  <c r="BI77" i="2"/>
  <c r="BI144" i="2"/>
  <c r="BI25" i="2"/>
  <c r="BI118" i="2"/>
  <c r="BI164" i="2"/>
  <c r="BI38" i="2"/>
  <c r="BI111" i="2"/>
  <c r="BI127" i="2"/>
  <c r="BI115" i="2"/>
  <c r="BI166" i="2"/>
  <c r="BI51" i="2"/>
  <c r="BI54" i="2"/>
  <c r="BI133" i="2"/>
  <c r="BI178" i="2"/>
  <c r="BI180" i="2"/>
  <c r="BI6" i="2"/>
  <c r="BI201" i="2"/>
  <c r="BI185" i="2"/>
  <c r="BI42" i="2"/>
  <c r="BI92" i="2"/>
  <c r="BI108" i="2"/>
  <c r="BI176" i="2"/>
  <c r="BI89" i="2"/>
  <c r="BI100" i="2"/>
  <c r="BI103" i="2"/>
  <c r="BI95" i="2"/>
  <c r="BI21" i="2"/>
  <c r="BI142" i="2"/>
  <c r="BI13" i="2"/>
  <c r="BI41" i="2"/>
  <c r="BI191" i="2"/>
  <c r="BI171" i="2"/>
  <c r="BI11" i="2"/>
  <c r="BI160" i="2"/>
  <c r="BI193" i="2"/>
  <c r="BI5" i="2"/>
  <c r="BI131" i="2"/>
  <c r="BI154" i="2"/>
  <c r="BI31" i="2"/>
  <c r="BI4" i="2"/>
  <c r="BI117" i="2"/>
  <c r="BI20" i="2"/>
  <c r="BI78" i="2"/>
  <c r="BI179" i="2"/>
  <c r="BI128" i="2"/>
  <c r="BI44" i="2"/>
  <c r="BI73" i="2"/>
  <c r="BI196" i="2"/>
  <c r="BI27" i="2"/>
  <c r="BI114" i="2"/>
  <c r="BI165" i="2"/>
  <c r="BI143" i="2"/>
  <c r="BI156" i="2"/>
  <c r="BI153" i="2"/>
  <c r="BI86" i="2"/>
  <c r="BI32" i="2"/>
  <c r="BI119" i="2"/>
  <c r="BI188" i="2"/>
  <c r="BI49" i="2"/>
  <c r="BI9" i="2"/>
  <c r="BI107" i="2"/>
  <c r="BI63" i="2"/>
  <c r="BI19" i="2"/>
  <c r="BI175" i="2"/>
  <c r="BI200" i="2"/>
  <c r="BI129" i="2"/>
  <c r="BI106" i="2"/>
  <c r="BI37" i="2"/>
  <c r="BI14" i="2"/>
  <c r="BI74" i="2"/>
  <c r="BI10" i="2"/>
  <c r="BI169" i="2"/>
  <c r="BI79" i="2"/>
  <c r="BI52" i="2"/>
  <c r="BI39" i="2"/>
  <c r="BI138" i="2"/>
  <c r="BI59" i="2"/>
  <c r="BI83" i="2"/>
  <c r="BI70" i="2"/>
  <c r="BI122" i="2"/>
  <c r="BI16" i="2"/>
  <c r="BI75" i="2"/>
  <c r="BI7" i="2"/>
  <c r="BI110" i="2"/>
  <c r="BI84" i="2"/>
  <c r="BI199" i="2"/>
  <c r="BI137" i="2"/>
  <c r="BI88" i="2"/>
  <c r="BI93" i="2"/>
  <c r="BI159" i="2"/>
  <c r="BI40" i="2"/>
  <c r="BI174" i="2"/>
  <c r="BI198" i="2"/>
  <c r="BI157" i="2"/>
  <c r="BI150" i="2"/>
  <c r="BI189" i="2"/>
  <c r="BI55" i="2"/>
  <c r="BI80" i="2"/>
  <c r="BI18" i="2"/>
  <c r="BI66" i="2"/>
  <c r="BI61" i="2"/>
  <c r="BI186" i="2"/>
  <c r="BI105" i="2"/>
  <c r="BI170" i="2"/>
  <c r="BI203" i="2"/>
  <c r="BI23" i="2"/>
  <c r="BI67" i="2"/>
  <c r="BI85" i="2"/>
  <c r="BI50" i="2"/>
  <c r="BI182" i="2"/>
  <c r="BI149" i="2"/>
  <c r="BI116" i="2"/>
  <c r="BI97" i="2"/>
  <c r="BI130" i="2"/>
  <c r="BI202" i="2"/>
  <c r="BI140" i="2"/>
  <c r="BI124" i="2"/>
  <c r="BI162" i="2"/>
  <c r="BI71" i="2"/>
  <c r="BI161" i="2"/>
  <c r="BI184" i="2"/>
  <c r="BI58" i="2"/>
  <c r="BI34" i="2"/>
  <c r="BI46" i="2"/>
  <c r="BI145" i="2"/>
  <c r="BI168" i="2"/>
  <c r="BI8" i="2"/>
  <c r="BI173" i="2"/>
  <c r="BI197" i="2"/>
  <c r="BI177" i="2"/>
  <c r="BI155" i="2"/>
  <c r="BI135" i="2"/>
  <c r="BI72" i="2"/>
  <c r="BI190" i="2"/>
  <c r="BI98" i="2"/>
  <c r="BI53" i="2"/>
  <c r="BI91" i="2"/>
  <c r="BI87" i="2"/>
  <c r="BI195" i="2"/>
  <c r="BI139" i="2"/>
  <c r="BI30" i="2"/>
  <c r="BI123" i="2"/>
  <c r="BI146" i="2"/>
  <c r="BI56" i="2"/>
  <c r="BI29" i="2"/>
  <c r="BI68" i="2"/>
  <c r="BI136" i="2"/>
  <c r="BI167" i="2"/>
  <c r="BF135" i="2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<sst xmlns="http://schemas.openxmlformats.org/spreadsheetml/2006/main" count="1194" uniqueCount="337">
  <si>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</si>
  <si>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</si>
  <si>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</si>
  <si>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</si>
  <si>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</si>
  <si>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</si>
  <si>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</si>
  <si>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</si>
  <si>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</si>
  <si>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</si>
  <si>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</si>
  <si>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</si>
  <si>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</si>
  <si>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</si>
  <si>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</si>
  <si>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</si>
  <si>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</si>
  <si>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</si>
  <si>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</si>
  <si>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Peuplier Koster</t>
  </si>
  <si>
    <t>Essence 3</t>
  </si>
  <si>
    <t>Cèdre de l'Atlas</t>
  </si>
  <si>
    <t>Essence 4</t>
  </si>
  <si>
    <t>Chêne rouge d'Amérique</t>
  </si>
  <si>
    <t>Essence 5</t>
  </si>
  <si>
    <t>Chêne sessile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</si>
  <si>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</si>
  <si>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</si>
  <si>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</si>
  <si>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</si>
  <si>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</si>
  <si>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</si>
  <si>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</si>
  <si>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</si>
  <si>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</si>
  <si>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</si>
  <si>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</si>
  <si>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</si>
  <si>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</si>
  <si>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</si>
  <si>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</si>
  <si>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</si>
  <si>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</si>
  <si>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</si>
  <si>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</si>
  <si>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</si>
  <si>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</si>
  <si>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</si>
  <si>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</si>
  <si>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</si>
  <si>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</si>
  <si>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</si>
  <si>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</si>
  <si>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</si>
  <si>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</si>
  <si>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</si>
  <si>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</si>
  <si>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</si>
  <si>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CR</t>
  </si>
  <si>
    <t>na</t>
  </si>
  <si>
    <t>29</t>
  </si>
  <si>
    <t>19</t>
  </si>
  <si>
    <t>20</t>
  </si>
  <si>
    <t>18</t>
  </si>
  <si>
    <t>17</t>
  </si>
  <si>
    <t>16</t>
  </si>
  <si>
    <t>15</t>
  </si>
  <si>
    <t>14</t>
  </si>
  <si>
    <t>12</t>
  </si>
  <si>
    <t>11</t>
  </si>
  <si>
    <t>10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</si>
  <si>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</si>
  <si>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</si>
  <si>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</si>
  <si>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</si>
  <si>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</si>
  <si>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</si>
  <si>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</si>
  <si>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</si>
  <si>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</si>
  <si>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</si>
  <si>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</si>
  <si>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</si>
  <si>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</si>
  <si>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</si>
  <si>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de Sitka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</si>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</sst>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233.44601669739703</c:v>
                </c:pt>
                <c:pt idx="31">
                  <c:v>251.84750488432181</c:v>
                </c:pt>
                <c:pt idx="32">
                  <c:v>270.21853171878513</c:v>
                </c:pt>
                <c:pt idx="33">
                  <c:v>288.56145919537863</c:v>
                </c:pt>
                <c:pt idx="34">
                  <c:v>306.87832443749215</c:v>
                </c:pt>
                <c:pt idx="35">
                  <c:v>325.17090151429107</c:v>
                </c:pt>
                <c:pt idx="36">
                  <c:v>343.44074860711908</c:v>
                </c:pt>
                <c:pt idx="37">
                  <c:v>277.64048093700978</c:v>
                </c:pt>
                <c:pt idx="38">
                  <c:v>294.48954060352384</c:v>
                </c:pt>
                <c:pt idx="39">
                  <c:v>311.31709651831665</c:v>
                </c:pt>
                <c:pt idx="40">
                  <c:v>328.12447444010144</c:v>
                </c:pt>
                <c:pt idx="41">
                  <c:v>344.91285322325461</c:v>
                </c:pt>
                <c:pt idx="42">
                  <c:v>361.6832876036994</c:v>
                </c:pt>
                <c:pt idx="43">
                  <c:v>378.43672653622252</c:v>
                </c:pt>
                <c:pt idx="44">
                  <c:v>395.17402811417611</c:v>
                </c:pt>
                <c:pt idx="45">
                  <c:v>327.7803309925909</c:v>
                </c:pt>
                <c:pt idx="46">
                  <c:v>342.65491458987913</c:v>
                </c:pt>
                <c:pt idx="47">
                  <c:v>357.51530938507517</c:v>
                </c:pt>
                <c:pt idx="48">
                  <c:v>372.362188160926</c:v>
                </c:pt>
                <c:pt idx="49">
                  <c:v>387.1961656731425</c:v>
                </c:pt>
                <c:pt idx="50">
                  <c:v>402.01780573308952</c:v>
                </c:pt>
                <c:pt idx="51">
                  <c:v>416.82762719136463</c:v>
                </c:pt>
                <c:pt idx="52">
                  <c:v>431.62610902660225</c:v>
                </c:pt>
                <c:pt idx="53">
                  <c:v>366.26587036399184</c:v>
                </c:pt>
                <c:pt idx="54">
                  <c:v>379.56512784230637</c:v>
                </c:pt>
                <c:pt idx="55">
                  <c:v>392.85424897119765</c:v>
                </c:pt>
                <c:pt idx="56">
                  <c:v>406.13362494673282</c:v>
                </c:pt>
                <c:pt idx="57">
                  <c:v>419.40361929545037</c:v>
                </c:pt>
                <c:pt idx="58">
                  <c:v>432.66457066342628</c:v>
                </c:pt>
                <c:pt idx="59">
                  <c:v>445.91679524557213</c:v>
                </c:pt>
                <c:pt idx="60">
                  <c:v>459.1605889111022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1.1446291548778416</c:v>
                </c:pt>
                <c:pt idx="2">
                  <c:v>0.98712917240808107</c:v>
                </c:pt>
                <c:pt idx="3">
                  <c:v>0.85136258764553074</c:v>
                </c:pt>
                <c:pt idx="4">
                  <c:v>0.73432228101163088</c:v>
                </c:pt>
                <c:pt idx="5">
                  <c:v>0.63341828144219903</c:v>
                </c:pt>
                <c:pt idx="6">
                  <c:v>5.8167137835015907</c:v>
                </c:pt>
                <c:pt idx="7">
                  <c:v>12.246130639940409</c:v>
                </c:pt>
                <c:pt idx="8">
                  <c:v>19.878749317829087</c:v>
                </c:pt>
                <c:pt idx="9">
                  <c:v>28.625667617561216</c:v>
                </c:pt>
                <c:pt idx="10">
                  <c:v>38.393547854701282</c:v>
                </c:pt>
                <c:pt idx="11">
                  <c:v>49.088841149038437</c:v>
                </c:pt>
                <c:pt idx="12">
                  <c:v>60.618632301012809</c:v>
                </c:pt>
                <c:pt idx="13">
                  <c:v>72.890786917221291</c:v>
                </c:pt>
                <c:pt idx="14">
                  <c:v>85.813918343212279</c:v>
                </c:pt>
                <c:pt idx="15">
                  <c:v>99.297308896293245</c:v>
                </c:pt>
                <c:pt idx="16">
                  <c:v>113.25082526356969</c:v>
                </c:pt>
                <c:pt idx="17">
                  <c:v>127.58483999393785</c:v>
                </c:pt>
                <c:pt idx="18">
                  <c:v>142.21016194693198</c:v>
                </c:pt>
                <c:pt idx="19">
                  <c:v>157.03797554859827</c:v>
                </c:pt>
                <c:pt idx="20">
                  <c:v>171.97978778270715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165.4594931344069</c:v>
                </c:pt>
                <c:pt idx="32">
                  <c:v>177.0782356697724</c:v>
                </c:pt>
                <c:pt idx="33">
                  <c:v>188.6790972060131</c:v>
                </c:pt>
                <c:pt idx="34">
                  <c:v>200.2633328946263</c:v>
                </c:pt>
                <c:pt idx="35">
                  <c:v>211.83204065745056</c:v>
                </c:pt>
                <c:pt idx="36">
                  <c:v>223.38618858142613</c:v>
                </c:pt>
                <c:pt idx="37">
                  <c:v>234.92663633985001</c:v>
                </c:pt>
                <c:pt idx="38">
                  <c:v>246.45415217825635</c:v>
                </c:pt>
                <c:pt idx="39">
                  <c:v>257.96942655211097</c:v>
                </c:pt>
                <c:pt idx="40">
                  <c:v>269.47308319939998</c:v>
                </c:pt>
                <c:pt idx="41">
                  <c:v>280.96568822175709</c:v>
                </c:pt>
                <c:pt idx="42">
                  <c:v>292.44775760079426</c:v>
                </c:pt>
                <c:pt idx="43">
                  <c:v>303.91976347139087</c:v>
                </c:pt>
                <c:pt idx="44">
                  <c:v>315.38213939764222</c:v>
                </c:pt>
                <c:pt idx="45">
                  <c:v>326.83528484125645</c:v>
                </c:pt>
                <c:pt idx="46">
                  <c:v>338.2795689705585</c:v>
                </c:pt>
                <c:pt idx="47">
                  <c:v>349.71533392687957</c:v>
                </c:pt>
                <c:pt idx="48">
                  <c:v>361.14289764121116</c:v>
                </c:pt>
                <c:pt idx="49">
                  <c:v>372.56255627561069</c:v>
                </c:pt>
                <c:pt idx="50">
                  <c:v>383.97458634955802</c:v>
                </c:pt>
                <c:pt idx="51">
                  <c:v>395.37924660026198</c:v>
                </c:pt>
                <c:pt idx="52">
                  <c:v>236.15567000087893</c:v>
                </c:pt>
                <c:pt idx="53">
                  <c:v>247.40720442634384</c:v>
                </c:pt>
                <c:pt idx="54">
                  <c:v>258.64712580976141</c:v>
                </c:pt>
                <c:pt idx="55">
                  <c:v>269.87601023001861</c:v>
                </c:pt>
                <c:pt idx="56">
                  <c:v>281.09438188143378</c:v>
                </c:pt>
                <c:pt idx="57">
                  <c:v>292.30271967558332</c:v>
                </c:pt>
                <c:pt idx="58">
                  <c:v>303.50146277682819</c:v>
                </c:pt>
                <c:pt idx="59">
                  <c:v>314.69101527756692</c:v>
                </c:pt>
                <c:pt idx="60">
                  <c:v>325.87175017337614</c:v>
                </c:pt>
                <c:pt idx="61">
                  <c:v>337.04401276379798</c:v>
                </c:pt>
                <c:pt idx="62">
                  <c:v>252.35841209837443</c:v>
                </c:pt>
                <c:pt idx="63">
                  <c:v>262.73284691865422</c:v>
                </c:pt>
                <c:pt idx="64">
                  <c:v>273.09803939468708</c:v>
                </c:pt>
                <c:pt idx="65">
                  <c:v>283.45438999358527</c:v>
                </c:pt>
                <c:pt idx="66">
                  <c:v>293.80226750956672</c:v>
                </c:pt>
                <c:pt idx="67">
                  <c:v>304.14201262042326</c:v>
                </c:pt>
                <c:pt idx="68">
                  <c:v>314.47394093474514</c:v>
                </c:pt>
                <c:pt idx="69">
                  <c:v>324.79834561750624</c:v>
                </c:pt>
                <c:pt idx="70">
                  <c:v>335.11549966417408</c:v>
                </c:pt>
                <c:pt idx="71">
                  <c:v>345.42565787999462</c:v>
                </c:pt>
                <c:pt idx="72">
                  <c:v>355.72905861051368</c:v>
                </c:pt>
                <c:pt idx="73">
                  <c:v>366.02592526105212</c:v>
                </c:pt>
                <c:pt idx="74">
                  <c:v>281.90576500782794</c:v>
                </c:pt>
                <c:pt idx="75">
                  <c:v>291.46151941530667</c:v>
                </c:pt>
                <c:pt idx="76">
                  <c:v>301.0102774284689</c:v>
                </c:pt>
                <c:pt idx="77">
                  <c:v>310.55229243957859</c:v>
                </c:pt>
                <c:pt idx="78">
                  <c:v>320.08780098731637</c:v>
                </c:pt>
                <c:pt idx="79">
                  <c:v>329.6170243573369</c:v>
                </c:pt>
                <c:pt idx="80">
                  <c:v>339.14016998796109</c:v>
                </c:pt>
                <c:pt idx="81">
                  <c:v>348.65743270964526</c:v>
                </c:pt>
                <c:pt idx="82">
                  <c:v>358.16899584197989</c:v>
                </c:pt>
                <c:pt idx="83">
                  <c:v>367.67503216802317</c:v>
                </c:pt>
                <c:pt idx="84">
                  <c:v>377.17570480256546</c:v>
                </c:pt>
                <c:pt idx="85">
                  <c:v>386.67116796831215</c:v>
                </c:pt>
                <c:pt idx="86">
                  <c:v>310.25502677283174</c:v>
                </c:pt>
                <c:pt idx="87">
                  <c:v>318.98740593712301</c:v>
                </c:pt>
                <c:pt idx="88">
                  <c:v>327.71449394580162</c:v>
                </c:pt>
                <c:pt idx="89">
                  <c:v>336.4364516795992</c:v>
                </c:pt>
                <c:pt idx="90">
                  <c:v>345.15343099079388</c:v>
                </c:pt>
                <c:pt idx="91">
                  <c:v>353.86557543008075</c:v>
                </c:pt>
                <c:pt idx="92">
                  <c:v>362.57302089808604</c:v>
                </c:pt>
                <c:pt idx="93">
                  <c:v>371.27589623099493</c:v>
                </c:pt>
                <c:pt idx="94">
                  <c:v>379.97432372837642</c:v>
                </c:pt>
                <c:pt idx="95">
                  <c:v>388.66841963013439</c:v>
                </c:pt>
                <c:pt idx="96">
                  <c:v>397.35829454853587</c:v>
                </c:pt>
                <c:pt idx="97">
                  <c:v>406.04405386046182</c:v>
                </c:pt>
                <c:pt idx="98">
                  <c:v>334.41940603910456</c:v>
                </c:pt>
                <c:pt idx="99">
                  <c:v>342.29956794326159</c:v>
                </c:pt>
                <c:pt idx="100">
                  <c:v>350.17574235487018</c:v>
                </c:pt>
                <c:pt idx="101">
                  <c:v>358.04803168316045</c:v>
                </c:pt>
                <c:pt idx="102">
                  <c:v>365.91653346305492</c:v>
                </c:pt>
                <c:pt idx="103">
                  <c:v>373.78134068929762</c:v>
                </c:pt>
                <c:pt idx="104">
                  <c:v>381.64254212098064</c:v>
                </c:pt>
                <c:pt idx="105">
                  <c:v>389.50022255965672</c:v>
                </c:pt>
                <c:pt idx="106">
                  <c:v>397.35446310382684</c:v>
                </c:pt>
                <c:pt idx="107">
                  <c:v>405.20534138224889</c:v>
                </c:pt>
                <c:pt idx="108">
                  <c:v>413.05293176821243</c:v>
                </c:pt>
                <c:pt idx="109">
                  <c:v>420.89730557667417</c:v>
                </c:pt>
                <c:pt idx="110">
                  <c:v>347.55719193287587</c:v>
                </c:pt>
                <c:pt idx="111">
                  <c:v>354.63762505887615</c:v>
                </c:pt>
                <c:pt idx="112">
                  <c:v>361.71496177810815</c:v>
                </c:pt>
                <c:pt idx="113">
                  <c:v>368.78927127529045</c:v>
                </c:pt>
                <c:pt idx="114">
                  <c:v>375.86061986197745</c:v>
                </c:pt>
                <c:pt idx="115">
                  <c:v>382.92907114888618</c:v>
                </c:pt>
                <c:pt idx="116">
                  <c:v>389.99468620482725</c:v>
                </c:pt>
                <c:pt idx="117">
                  <c:v>397.05752370351092</c:v>
                </c:pt>
                <c:pt idx="118">
                  <c:v>404.11764005935697</c:v>
                </c:pt>
                <c:pt idx="119">
                  <c:v>411.17508955331436</c:v>
                </c:pt>
                <c:pt idx="120">
                  <c:v>418.2299244495868</c:v>
                </c:pt>
                <c:pt idx="121">
                  <c:v>425.28219510406871</c:v>
                </c:pt>
                <c:pt idx="122">
                  <c:v>222.90571332852667</c:v>
                </c:pt>
                <c:pt idx="123">
                  <c:v>227.8575926467731</c:v>
                </c:pt>
                <c:pt idx="124">
                  <c:v>232.80700909260065</c:v>
                </c:pt>
                <c:pt idx="125">
                  <c:v>237.75402251395406</c:v>
                </c:pt>
                <c:pt idx="126">
                  <c:v>242.69869006033142</c:v>
                </c:pt>
                <c:pt idx="127">
                  <c:v>247.64106635821645</c:v>
                </c:pt>
                <c:pt idx="128">
                  <c:v>252.58120367175192</c:v>
                </c:pt>
                <c:pt idx="129">
                  <c:v>257.51915205016786</c:v>
                </c:pt>
                <c:pt idx="130">
                  <c:v>262.4549594632943</c:v>
                </c:pt>
                <c:pt idx="131">
                  <c:v>267.3886719263333</c:v>
                </c:pt>
                <c:pt idx="132">
                  <c:v>1.2386324814023317E-11</c:v>
                </c:pt>
                <c:pt idx="133">
                  <c:v>1.2386324814023317E-11</c:v>
                </c:pt>
                <c:pt idx="134">
                  <c:v>1.2386324814023317E-11</c:v>
                </c:pt>
                <c:pt idx="135">
                  <c:v>1.2386324814023317E-11</c:v>
                </c:pt>
                <c:pt idx="136">
                  <c:v>1.2386324814023317E-11</c:v>
                </c:pt>
                <c:pt idx="137">
                  <c:v>1.2386324814023317E-11</c:v>
                </c:pt>
                <c:pt idx="138">
                  <c:v>1.2386324814023317E-11</c:v>
                </c:pt>
                <c:pt idx="139">
                  <c:v>1.2386324814023317E-11</c:v>
                </c:pt>
                <c:pt idx="140">
                  <c:v>1.2386324814023317E-11</c:v>
                </c:pt>
                <c:pt idx="141">
                  <c:v>1.2386324814023317E-11</c:v>
                </c:pt>
                <c:pt idx="142">
                  <c:v>1.2386324814023317E-11</c:v>
                </c:pt>
                <c:pt idx="143">
                  <c:v>1.2386324814023317E-11</c:v>
                </c:pt>
                <c:pt idx="144">
                  <c:v>1.2386324814023317E-11</c:v>
                </c:pt>
                <c:pt idx="145">
                  <c:v>1.2386324814023317E-11</c:v>
                </c:pt>
                <c:pt idx="146">
                  <c:v>1.2386324814023317E-11</c:v>
                </c:pt>
                <c:pt idx="147">
                  <c:v>1.2386324814023317E-11</c:v>
                </c:pt>
                <c:pt idx="148">
                  <c:v>1.2386324814023317E-11</c:v>
                </c:pt>
                <c:pt idx="149">
                  <c:v>1.2386324814023317E-11</c:v>
                </c:pt>
                <c:pt idx="150">
                  <c:v>1.2386324814023317E-11</c:v>
                </c:pt>
                <c:pt idx="151">
                  <c:v>1.2386324814023317E-11</c:v>
                </c:pt>
                <c:pt idx="152">
                  <c:v>1.2386324814023317E-11</c:v>
                </c:pt>
                <c:pt idx="153">
                  <c:v>1.2386324814023317E-11</c:v>
                </c:pt>
                <c:pt idx="154">
                  <c:v>1.2386324814023317E-11</c:v>
                </c:pt>
                <c:pt idx="155">
                  <c:v>1.2386324814023317E-11</c:v>
                </c:pt>
                <c:pt idx="156">
                  <c:v>1.2386324814023317E-11</c:v>
                </c:pt>
                <c:pt idx="157">
                  <c:v>1.2386324814023317E-11</c:v>
                </c:pt>
                <c:pt idx="158">
                  <c:v>1.2386324814023317E-11</c:v>
                </c:pt>
                <c:pt idx="159">
                  <c:v>1.2386324814023317E-11</c:v>
                </c:pt>
                <c:pt idx="160">
                  <c:v>1.2386324814023317E-11</c:v>
                </c:pt>
                <c:pt idx="161">
                  <c:v>1.2386324814023317E-11</c:v>
                </c:pt>
                <c:pt idx="162">
                  <c:v>1.2386324814023317E-11</c:v>
                </c:pt>
                <c:pt idx="163">
                  <c:v>1.2386324814023317E-11</c:v>
                </c:pt>
                <c:pt idx="164">
                  <c:v>1.2386324814023317E-11</c:v>
                </c:pt>
                <c:pt idx="165">
                  <c:v>1.2386324814023317E-11</c:v>
                </c:pt>
                <c:pt idx="166">
                  <c:v>1.2386324814023317E-11</c:v>
                </c:pt>
                <c:pt idx="167">
                  <c:v>1.2386324814023317E-11</c:v>
                </c:pt>
                <c:pt idx="168">
                  <c:v>1.2386324814023317E-11</c:v>
                </c:pt>
                <c:pt idx="169">
                  <c:v>1.2386324814023317E-11</c:v>
                </c:pt>
                <c:pt idx="170">
                  <c:v>1.2386324814023317E-11</c:v>
                </c:pt>
                <c:pt idx="171">
                  <c:v>1.2386324814023317E-11</c:v>
                </c:pt>
                <c:pt idx="172">
                  <c:v>1.2386324814023317E-11</c:v>
                </c:pt>
                <c:pt idx="173">
                  <c:v>1.2386324814023317E-11</c:v>
                </c:pt>
                <c:pt idx="174">
                  <c:v>1.2386324814023317E-11</c:v>
                </c:pt>
                <c:pt idx="175">
                  <c:v>1.2386324814023317E-11</c:v>
                </c:pt>
                <c:pt idx="176">
                  <c:v>1.2386324814023317E-11</c:v>
                </c:pt>
                <c:pt idx="177">
                  <c:v>1.2386324814023317E-11</c:v>
                </c:pt>
                <c:pt idx="178">
                  <c:v>1.2386324814023317E-11</c:v>
                </c:pt>
                <c:pt idx="179">
                  <c:v>1.2386324814023317E-11</c:v>
                </c:pt>
                <c:pt idx="180">
                  <c:v>1.2386324814023317E-11</c:v>
                </c:pt>
                <c:pt idx="181">
                  <c:v>1.2386324814023317E-11</c:v>
                </c:pt>
                <c:pt idx="182">
                  <c:v>1.2386324814023317E-11</c:v>
                </c:pt>
                <c:pt idx="183">
                  <c:v>1.2386324814023317E-11</c:v>
                </c:pt>
                <c:pt idx="184">
                  <c:v>1.2386324814023317E-11</c:v>
                </c:pt>
                <c:pt idx="185">
                  <c:v>1.2386324814023317E-11</c:v>
                </c:pt>
                <c:pt idx="186">
                  <c:v>1.2386324814023317E-11</c:v>
                </c:pt>
                <c:pt idx="187">
                  <c:v>1.2386324814023317E-11</c:v>
                </c:pt>
                <c:pt idx="188">
                  <c:v>1.2386324814023317E-11</c:v>
                </c:pt>
                <c:pt idx="189">
                  <c:v>1.2386324814023317E-11</c:v>
                </c:pt>
                <c:pt idx="190">
                  <c:v>1.2386324814023317E-11</c:v>
                </c:pt>
                <c:pt idx="191">
                  <c:v>1.2386324814023317E-11</c:v>
                </c:pt>
                <c:pt idx="192">
                  <c:v>1.2386324814023317E-11</c:v>
                </c:pt>
                <c:pt idx="193">
                  <c:v>1.2386324814023317E-11</c:v>
                </c:pt>
                <c:pt idx="194">
                  <c:v>1.2386324814023317E-11</c:v>
                </c:pt>
                <c:pt idx="195">
                  <c:v>1.2386324814023317E-11</c:v>
                </c:pt>
                <c:pt idx="196">
                  <c:v>1.2386324814023317E-11</c:v>
                </c:pt>
                <c:pt idx="197">
                  <c:v>1.2386324814023317E-11</c:v>
                </c:pt>
                <c:pt idx="198">
                  <c:v>1.2386324814023317E-11</c:v>
                </c:pt>
                <c:pt idx="199">
                  <c:v>1.2386324814023317E-11</c:v>
                </c:pt>
                <c:pt idx="200">
                  <c:v>1.2386324814023317E-11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2.9509973995419365</c:v>
                </c:pt>
                <c:pt idx="2">
                  <c:v>3.8993800326575379</c:v>
                </c:pt>
                <c:pt idx="3">
                  <c:v>5.1537861360321822</c:v>
                </c:pt>
                <c:pt idx="4">
                  <c:v>6.8133379322758998</c:v>
                </c:pt>
                <c:pt idx="5">
                  <c:v>9.0093769867322209</c:v>
                </c:pt>
                <c:pt idx="6">
                  <c:v>11.915971094051232</c:v>
                </c:pt>
                <c:pt idx="7">
                  <c:v>15.763857741989639</c:v>
                </c:pt>
                <c:pt idx="8">
                  <c:v>20.858951242140964</c:v>
                </c:pt>
                <c:pt idx="9">
                  <c:v>27.606911179441123</c:v>
                </c:pt>
                <c:pt idx="10">
                  <c:v>36.545762498237771</c:v>
                </c:pt>
                <c:pt idx="11">
                  <c:v>47.934246794954014</c:v>
                </c:pt>
                <c:pt idx="12">
                  <c:v>59.250271506484466</c:v>
                </c:pt>
                <c:pt idx="13">
                  <c:v>70.509737306549212</c:v>
                </c:pt>
                <c:pt idx="14">
                  <c:v>81.722993273441304</c:v>
                </c:pt>
                <c:pt idx="15">
                  <c:v>92.897294511118176</c:v>
                </c:pt>
                <c:pt idx="16">
                  <c:v>108.25587760652974</c:v>
                </c:pt>
                <c:pt idx="17">
                  <c:v>123.56076610518875</c:v>
                </c:pt>
                <c:pt idx="18">
                  <c:v>138.8195597916295</c:v>
                </c:pt>
                <c:pt idx="19">
                  <c:v>154.03804513155393</c:v>
                </c:pt>
                <c:pt idx="20">
                  <c:v>169.22076873606747</c:v>
                </c:pt>
                <c:pt idx="21">
                  <c:v>129.28787235572034</c:v>
                </c:pt>
                <c:pt idx="22">
                  <c:v>144.53094857798482</c:v>
                </c:pt>
                <c:pt idx="23">
                  <c:v>159.73554413485536</c:v>
                </c:pt>
                <c:pt idx="24">
                  <c:v>174.90584046860877</c:v>
                </c:pt>
                <c:pt idx="25">
                  <c:v>190.04523308883151</c:v>
                </c:pt>
                <c:pt idx="26">
                  <c:v>169.22076873606747</c:v>
                </c:pt>
                <c:pt idx="27">
                  <c:v>184.37139305479852</c:v>
                </c:pt>
                <c:pt idx="28">
                  <c:v>199.49292850815041</c:v>
                </c:pt>
                <c:pt idx="29">
                  <c:v>214.58789130305843</c:v>
                </c:pt>
                <c:pt idx="30">
                  <c:v>229.65841439261331</c:v>
                </c:pt>
                <c:pt idx="31">
                  <c:v>205.53397529366751</c:v>
                </c:pt>
                <c:pt idx="32">
                  <c:v>219.11152587483457</c:v>
                </c:pt>
                <c:pt idx="33">
                  <c:v>232.66975188863589</c:v>
                </c:pt>
                <c:pt idx="34">
                  <c:v>246.20993843849078</c:v>
                </c:pt>
                <c:pt idx="35">
                  <c:v>259.73321764902875</c:v>
                </c:pt>
                <c:pt idx="36">
                  <c:v>235.30394147234665</c:v>
                </c:pt>
                <c:pt idx="37">
                  <c:v>248.46496383915087</c:v>
                </c:pt>
                <c:pt idx="38">
                  <c:v>261.61017170872901</c:v>
                </c:pt>
                <c:pt idx="39">
                  <c:v>274.74047191396772</c:v>
                </c:pt>
                <c:pt idx="40">
                  <c:v>287.85667749117118</c:v>
                </c:pt>
                <c:pt idx="41">
                  <c:v>262.36086804994295</c:v>
                </c:pt>
                <c:pt idx="42">
                  <c:v>274.36551974723062</c:v>
                </c:pt>
                <c:pt idx="43">
                  <c:v>286.35837196420749</c:v>
                </c:pt>
                <c:pt idx="44">
                  <c:v>298.33998870460442</c:v>
                </c:pt>
                <c:pt idx="45">
                  <c:v>310.31088495066086</c:v>
                </c:pt>
                <c:pt idx="46">
                  <c:v>285.98376820295522</c:v>
                </c:pt>
                <c:pt idx="47">
                  <c:v>297.21717518827558</c:v>
                </c:pt>
                <c:pt idx="48">
                  <c:v>308.44111949657554</c:v>
                </c:pt>
                <c:pt idx="49">
                  <c:v>319.65599415471291</c:v>
                </c:pt>
                <c:pt idx="50">
                  <c:v>330.86216234726913</c:v>
                </c:pt>
                <c:pt idx="51">
                  <c:v>306.94512587259828</c:v>
                </c:pt>
                <c:pt idx="52">
                  <c:v>316.66622670451306</c:v>
                </c:pt>
                <c:pt idx="53">
                  <c:v>326.38071774395229</c:v>
                </c:pt>
                <c:pt idx="54">
                  <c:v>336.08882358493901</c:v>
                </c:pt>
                <c:pt idx="55">
                  <c:v>345.79075477962851</c:v>
                </c:pt>
                <c:pt idx="56">
                  <c:v>323.39233379750681</c:v>
                </c:pt>
                <c:pt idx="57">
                  <c:v>332.72903457884451</c:v>
                </c:pt>
                <c:pt idx="58">
                  <c:v>342.05996063814399</c:v>
                </c:pt>
                <c:pt idx="59">
                  <c:v>351.38529181133845</c:v>
                </c:pt>
                <c:pt idx="60">
                  <c:v>360.70519760433905</c:v>
                </c:pt>
                <c:pt idx="61">
                  <c:v>339.07468141574077</c:v>
                </c:pt>
                <c:pt idx="62">
                  <c:v>347.28282429814129</c:v>
                </c:pt>
                <c:pt idx="63">
                  <c:v>355.4867090941064</c:v>
                </c:pt>
                <c:pt idx="64">
                  <c:v>363.68644800338274</c:v>
                </c:pt>
                <c:pt idx="65">
                  <c:v>371.88214774985954</c:v>
                </c:pt>
                <c:pt idx="66">
                  <c:v>351.75819111537254</c:v>
                </c:pt>
                <c:pt idx="67">
                  <c:v>359.58708999068585</c:v>
                </c:pt>
                <c:pt idx="68">
                  <c:v>367.41226056988808</c:v>
                </c:pt>
                <c:pt idx="69">
                  <c:v>375.23379351840316</c:v>
                </c:pt>
                <c:pt idx="70">
                  <c:v>383.05177541071203</c:v>
                </c:pt>
                <c:pt idx="71">
                  <c:v>363.31382101236346</c:v>
                </c:pt>
                <c:pt idx="72">
                  <c:v>369.64735159591163</c:v>
                </c:pt>
                <c:pt idx="73">
                  <c:v>375.97851488636002</c:v>
                </c:pt>
                <c:pt idx="74">
                  <c:v>382.30735640887292</c:v>
                </c:pt>
                <c:pt idx="75">
                  <c:v>388.63392005694874</c:v>
                </c:pt>
                <c:pt idx="76">
                  <c:v>372.25458524998072</c:v>
                </c:pt>
                <c:pt idx="77">
                  <c:v>378.2124864803136</c:v>
                </c:pt>
                <c:pt idx="78">
                  <c:v>384.16834495549637</c:v>
                </c:pt>
                <c:pt idx="79">
                  <c:v>390.12219684408677</c:v>
                </c:pt>
                <c:pt idx="80">
                  <c:v>396.07407711953459</c:v>
                </c:pt>
                <c:pt idx="81">
                  <c:v>380.81842375711989</c:v>
                </c:pt>
                <c:pt idx="82">
                  <c:v>386.02913755517028</c:v>
                </c:pt>
                <c:pt idx="83">
                  <c:v>391.23832354179837</c:v>
                </c:pt>
                <c:pt idx="84">
                  <c:v>396.4460049513109</c:v>
                </c:pt>
                <c:pt idx="85">
                  <c:v>401.65220435716361</c:v>
                </c:pt>
                <c:pt idx="86">
                  <c:v>388.26183154386268</c:v>
                </c:pt>
                <c:pt idx="87">
                  <c:v>393.47036990588708</c:v>
                </c:pt>
                <c:pt idx="88">
                  <c:v>398.67741344442726</c:v>
                </c:pt>
                <c:pt idx="89">
                  <c:v>403.88298445816571</c:v>
                </c:pt>
                <c:pt idx="90">
                  <c:v>409.08710462349336</c:v>
                </c:pt>
                <c:pt idx="91">
                  <c:v>395.7021417186665</c:v>
                </c:pt>
                <c:pt idx="92">
                  <c:v>400.9085514815776</c:v>
                </c:pt>
                <c:pt idx="93">
                  <c:v>406.11349808426439</c:v>
                </c:pt>
                <c:pt idx="94">
                  <c:v>411.31700294422802</c:v>
                </c:pt>
                <c:pt idx="95">
                  <c:v>416.51908689232147</c:v>
                </c:pt>
                <c:pt idx="96">
                  <c:v>401.65220435716384</c:v>
                </c:pt>
                <c:pt idx="97">
                  <c:v>407.22865549260922</c:v>
                </c:pt>
                <c:pt idx="98">
                  <c:v>412.80345673799087</c:v>
                </c:pt>
                <c:pt idx="99">
                  <c:v>418.37663353903253</c:v>
                </c:pt>
                <c:pt idx="100">
                  <c:v>423.9482106076091</c:v>
                </c:pt>
                <c:pt idx="101">
                  <c:v>403.5112063253232</c:v>
                </c:pt>
                <c:pt idx="102">
                  <c:v>403.5112063253232</c:v>
                </c:pt>
                <c:pt idx="103">
                  <c:v>403.5112063253232</c:v>
                </c:pt>
                <c:pt idx="104">
                  <c:v>403.5112063253232</c:v>
                </c:pt>
                <c:pt idx="105">
                  <c:v>403.5112063253232</c:v>
                </c:pt>
                <c:pt idx="106">
                  <c:v>403.5112063253232</c:v>
                </c:pt>
                <c:pt idx="107">
                  <c:v>403.5112063253232</c:v>
                </c:pt>
                <c:pt idx="108">
                  <c:v>403.5112063253232</c:v>
                </c:pt>
                <c:pt idx="109">
                  <c:v>403.5112063253232</c:v>
                </c:pt>
                <c:pt idx="110">
                  <c:v>403.5112063253232</c:v>
                </c:pt>
                <c:pt idx="111">
                  <c:v>403.5112063253232</c:v>
                </c:pt>
                <c:pt idx="112">
                  <c:v>403.5112063253232</c:v>
                </c:pt>
                <c:pt idx="113">
                  <c:v>403.5112063253232</c:v>
                </c:pt>
                <c:pt idx="114">
                  <c:v>403.5112063253232</c:v>
                </c:pt>
                <c:pt idx="115">
                  <c:v>403.5112063253232</c:v>
                </c:pt>
                <c:pt idx="116">
                  <c:v>403.5112063253232</c:v>
                </c:pt>
                <c:pt idx="117">
                  <c:v>403.5112063253232</c:v>
                </c:pt>
                <c:pt idx="118">
                  <c:v>403.5112063253232</c:v>
                </c:pt>
                <c:pt idx="119">
                  <c:v>403.5112063253232</c:v>
                </c:pt>
                <c:pt idx="120">
                  <c:v>403.5112063253232</c:v>
                </c:pt>
                <c:pt idx="121">
                  <c:v>403.5112063253232</c:v>
                </c:pt>
                <c:pt idx="122">
                  <c:v>403.5112063253232</c:v>
                </c:pt>
                <c:pt idx="123">
                  <c:v>403.5112063253232</c:v>
                </c:pt>
                <c:pt idx="124">
                  <c:v>403.5112063253232</c:v>
                </c:pt>
                <c:pt idx="125">
                  <c:v>403.5112063253232</c:v>
                </c:pt>
                <c:pt idx="126">
                  <c:v>403.5112063253232</c:v>
                </c:pt>
                <c:pt idx="127">
                  <c:v>403.5112063253232</c:v>
                </c:pt>
                <c:pt idx="128">
                  <c:v>403.5112063253232</c:v>
                </c:pt>
                <c:pt idx="129">
                  <c:v>403.5112063253232</c:v>
                </c:pt>
                <c:pt idx="130">
                  <c:v>403.5112063253232</c:v>
                </c:pt>
                <c:pt idx="131">
                  <c:v>403.5112063253232</c:v>
                </c:pt>
                <c:pt idx="132">
                  <c:v>403.5112063253232</c:v>
                </c:pt>
                <c:pt idx="133">
                  <c:v>403.5112063253232</c:v>
                </c:pt>
                <c:pt idx="134">
                  <c:v>403.5112063253232</c:v>
                </c:pt>
                <c:pt idx="135">
                  <c:v>403.5112063253232</c:v>
                </c:pt>
                <c:pt idx="136">
                  <c:v>403.5112063253232</c:v>
                </c:pt>
                <c:pt idx="137">
                  <c:v>403.5112063253232</c:v>
                </c:pt>
                <c:pt idx="138">
                  <c:v>403.5112063253232</c:v>
                </c:pt>
                <c:pt idx="139">
                  <c:v>403.5112063253232</c:v>
                </c:pt>
                <c:pt idx="140">
                  <c:v>403.5112063253232</c:v>
                </c:pt>
                <c:pt idx="141">
                  <c:v>403.5112063253232</c:v>
                </c:pt>
                <c:pt idx="142">
                  <c:v>403.5112063253232</c:v>
                </c:pt>
                <c:pt idx="143">
                  <c:v>403.5112063253232</c:v>
                </c:pt>
                <c:pt idx="144">
                  <c:v>403.5112063253232</c:v>
                </c:pt>
                <c:pt idx="145">
                  <c:v>403.5112063253232</c:v>
                </c:pt>
                <c:pt idx="146">
                  <c:v>403.5112063253232</c:v>
                </c:pt>
                <c:pt idx="147">
                  <c:v>403.5112063253232</c:v>
                </c:pt>
                <c:pt idx="148">
                  <c:v>403.5112063253232</c:v>
                </c:pt>
                <c:pt idx="149">
                  <c:v>403.5112063253232</c:v>
                </c:pt>
                <c:pt idx="150">
                  <c:v>403.5112063253232</c:v>
                </c:pt>
                <c:pt idx="151">
                  <c:v>403.5112063253232</c:v>
                </c:pt>
                <c:pt idx="152">
                  <c:v>403.5112063253232</c:v>
                </c:pt>
                <c:pt idx="153">
                  <c:v>403.5112063253232</c:v>
                </c:pt>
                <c:pt idx="154">
                  <c:v>403.5112063253232</c:v>
                </c:pt>
                <c:pt idx="155">
                  <c:v>403.5112063253232</c:v>
                </c:pt>
                <c:pt idx="156">
                  <c:v>403.5112063253232</c:v>
                </c:pt>
                <c:pt idx="157">
                  <c:v>403.5112063253232</c:v>
                </c:pt>
                <c:pt idx="158">
                  <c:v>403.5112063253232</c:v>
                </c:pt>
                <c:pt idx="159">
                  <c:v>403.5112063253232</c:v>
                </c:pt>
                <c:pt idx="160">
                  <c:v>403.5112063253232</c:v>
                </c:pt>
                <c:pt idx="161">
                  <c:v>403.5112063253232</c:v>
                </c:pt>
                <c:pt idx="162">
                  <c:v>403.5112063253232</c:v>
                </c:pt>
                <c:pt idx="163">
                  <c:v>403.5112063253232</c:v>
                </c:pt>
                <c:pt idx="164">
                  <c:v>403.5112063253232</c:v>
                </c:pt>
                <c:pt idx="165">
                  <c:v>403.5112063253232</c:v>
                </c:pt>
                <c:pt idx="166">
                  <c:v>403.5112063253232</c:v>
                </c:pt>
                <c:pt idx="167">
                  <c:v>403.5112063253232</c:v>
                </c:pt>
                <c:pt idx="168">
                  <c:v>403.5112063253232</c:v>
                </c:pt>
                <c:pt idx="169">
                  <c:v>403.5112063253232</c:v>
                </c:pt>
                <c:pt idx="170">
                  <c:v>403.5112063253232</c:v>
                </c:pt>
                <c:pt idx="171">
                  <c:v>403.5112063253232</c:v>
                </c:pt>
                <c:pt idx="172">
                  <c:v>403.5112063253232</c:v>
                </c:pt>
                <c:pt idx="173">
                  <c:v>403.5112063253232</c:v>
                </c:pt>
                <c:pt idx="174">
                  <c:v>403.5112063253232</c:v>
                </c:pt>
                <c:pt idx="175">
                  <c:v>403.5112063253232</c:v>
                </c:pt>
                <c:pt idx="176">
                  <c:v>403.5112063253232</c:v>
                </c:pt>
                <c:pt idx="177">
                  <c:v>403.5112063253232</c:v>
                </c:pt>
                <c:pt idx="178">
                  <c:v>403.5112063253232</c:v>
                </c:pt>
                <c:pt idx="179">
                  <c:v>403.5112063253232</c:v>
                </c:pt>
                <c:pt idx="180">
                  <c:v>403.5112063253232</c:v>
                </c:pt>
                <c:pt idx="181">
                  <c:v>403.5112063253232</c:v>
                </c:pt>
                <c:pt idx="182">
                  <c:v>403.5112063253232</c:v>
                </c:pt>
                <c:pt idx="183">
                  <c:v>403.5112063253232</c:v>
                </c:pt>
                <c:pt idx="184">
                  <c:v>403.5112063253232</c:v>
                </c:pt>
                <c:pt idx="185">
                  <c:v>403.5112063253232</c:v>
                </c:pt>
                <c:pt idx="186">
                  <c:v>403.5112063253232</c:v>
                </c:pt>
                <c:pt idx="187">
                  <c:v>403.5112063253232</c:v>
                </c:pt>
                <c:pt idx="188">
                  <c:v>403.5112063253232</c:v>
                </c:pt>
                <c:pt idx="189">
                  <c:v>403.5112063253232</c:v>
                </c:pt>
                <c:pt idx="190">
                  <c:v>403.5112063253232</c:v>
                </c:pt>
                <c:pt idx="191">
                  <c:v>403.5112063253232</c:v>
                </c:pt>
                <c:pt idx="192">
                  <c:v>403.5112063253232</c:v>
                </c:pt>
                <c:pt idx="193">
                  <c:v>403.5112063253232</c:v>
                </c:pt>
                <c:pt idx="194">
                  <c:v>403.5112063253232</c:v>
                </c:pt>
                <c:pt idx="195">
                  <c:v>403.5112063253232</c:v>
                </c:pt>
                <c:pt idx="196">
                  <c:v>403.5112063253232</c:v>
                </c:pt>
                <c:pt idx="197">
                  <c:v>403.5112063253232</c:v>
                </c:pt>
                <c:pt idx="198">
                  <c:v>403.5112063253232</c:v>
                </c:pt>
                <c:pt idx="199">
                  <c:v>403.5112063253232</c:v>
                </c:pt>
                <c:pt idx="200">
                  <c:v>403.5112063253232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2.6545363919666056</c:v>
                </c:pt>
                <c:pt idx="2">
                  <c:v>3.0498680872909687</c:v>
                </c:pt>
                <c:pt idx="3">
                  <c:v>3.5042863496199099</c:v>
                </c:pt>
                <c:pt idx="4">
                  <c:v>4.0266521169806992</c:v>
                </c:pt>
                <c:pt idx="5">
                  <c:v>4.6271593579498189</c:v>
                </c:pt>
                <c:pt idx="6">
                  <c:v>5.3175362001651179</c:v>
                </c:pt>
                <c:pt idx="7">
                  <c:v>6.1112764875692553</c:v>
                </c:pt>
                <c:pt idx="8">
                  <c:v>7.0239063814266727</c:v>
                </c:pt>
                <c:pt idx="9">
                  <c:v>8.0732913217033442</c:v>
                </c:pt>
                <c:pt idx="10">
                  <c:v>9.2799894738115594</c:v>
                </c:pt>
                <c:pt idx="11">
                  <c:v>10.66765871730995</c:v>
                </c:pt>
                <c:pt idx="12">
                  <c:v>12.26352530671501</c:v>
                </c:pt>
                <c:pt idx="13">
                  <c:v>14.098923571801871</c:v>
                </c:pt>
                <c:pt idx="14">
                  <c:v>16.209917450642156</c:v>
                </c:pt>
                <c:pt idx="15">
                  <c:v>18.638016291961673</c:v>
                </c:pt>
                <c:pt idx="16">
                  <c:v>21.430999257425388</c:v>
                </c:pt>
                <c:pt idx="17">
                  <c:v>24.643864837480283</c:v>
                </c:pt>
                <c:pt idx="18">
                  <c:v>28.339924510581934</c:v>
                </c:pt>
                <c:pt idx="19">
                  <c:v>32.592062475931563</c:v>
                </c:pt>
                <c:pt idx="20">
                  <c:v>37.484186732991283</c:v>
                </c:pt>
                <c:pt idx="21">
                  <c:v>43.112900634753409</c:v>
                </c:pt>
                <c:pt idx="22">
                  <c:v>49.58942848411747</c:v>
                </c:pt>
                <c:pt idx="23">
                  <c:v>57.041833863841269</c:v>
                </c:pt>
                <c:pt idx="24">
                  <c:v>65.61757529424726</c:v>
                </c:pt>
                <c:pt idx="25">
                  <c:v>75.48645061896606</c:v>
                </c:pt>
                <c:pt idx="26">
                  <c:v>86.843989365628133</c:v>
                </c:pt>
                <c:pt idx="27">
                  <c:v>99.915361374894232</c:v>
                </c:pt>
                <c:pt idx="28">
                  <c:v>114.9598804212918</c:v>
                </c:pt>
                <c:pt idx="29">
                  <c:v>132.27619357492748</c:v>
                </c:pt>
                <c:pt idx="30">
                  <c:v>152.20826091870231</c:v>
                </c:pt>
                <c:pt idx="31">
                  <c:v>162.98463072137639</c:v>
                </c:pt>
                <c:pt idx="32">
                  <c:v>173.74415159546285</c:v>
                </c:pt>
                <c:pt idx="33">
                  <c:v>184.48801497982217</c:v>
                </c:pt>
                <c:pt idx="34">
                  <c:v>195.21726202720279</c:v>
                </c:pt>
                <c:pt idx="35">
                  <c:v>205.93280996116789</c:v>
                </c:pt>
                <c:pt idx="36">
                  <c:v>216.6354726500532</c:v>
                </c:pt>
                <c:pt idx="37">
                  <c:v>227.32597689583122</c:v>
                </c:pt>
                <c:pt idx="38">
                  <c:v>238.00497549414197</c:v>
                </c:pt>
                <c:pt idx="39">
                  <c:v>248.67305782470615</c:v>
                </c:pt>
                <c:pt idx="40">
                  <c:v>259.33075852724227</c:v>
                </c:pt>
                <c:pt idx="41">
                  <c:v>269.97856467507779</c:v>
                </c:pt>
                <c:pt idx="42">
                  <c:v>280.61692175681293</c:v>
                </c:pt>
                <c:pt idx="43">
                  <c:v>219.2364936366308</c:v>
                </c:pt>
                <c:pt idx="44">
                  <c:v>233.16817282079023</c:v>
                </c:pt>
                <c:pt idx="45">
                  <c:v>247.08084979641851</c:v>
                </c:pt>
                <c:pt idx="46">
                  <c:v>260.97574553687451</c:v>
                </c:pt>
                <c:pt idx="47">
                  <c:v>274.85394031838462</c:v>
                </c:pt>
                <c:pt idx="48">
                  <c:v>288.71639637046309</c:v>
                </c:pt>
                <c:pt idx="49">
                  <c:v>302.56397594468757</c:v>
                </c:pt>
                <c:pt idx="50">
                  <c:v>316.39745590015349</c:v>
                </c:pt>
                <c:pt idx="51">
                  <c:v>273.38670979243687</c:v>
                </c:pt>
                <c:pt idx="52">
                  <c:v>287.42020429431284</c:v>
                </c:pt>
                <c:pt idx="53">
                  <c:v>301.43837740587037</c:v>
                </c:pt>
                <c:pt idx="54">
                  <c:v>315.44204208522223</c:v>
                </c:pt>
                <c:pt idx="55">
                  <c:v>329.43193320131792</c:v>
                </c:pt>
                <c:pt idx="56">
                  <c:v>343.40871810261575</c:v>
                </c:pt>
                <c:pt idx="57">
                  <c:v>357.37300537454212</c:v>
                </c:pt>
                <c:pt idx="58">
                  <c:v>371.32535215621283</c:v>
                </c:pt>
                <c:pt idx="59">
                  <c:v>315.51183909506216</c:v>
                </c:pt>
                <c:pt idx="60">
                  <c:v>329.05073650276262</c:v>
                </c:pt>
                <c:pt idx="61">
                  <c:v>342.57734336481394</c:v>
                </c:pt>
                <c:pt idx="62">
                  <c:v>356.09221338084268</c:v>
                </c:pt>
                <c:pt idx="63">
                  <c:v>369.59585478551793</c:v>
                </c:pt>
                <c:pt idx="64">
                  <c:v>383.08873564151554</c:v>
                </c:pt>
                <c:pt idx="65">
                  <c:v>396.5712883477056</c:v>
                </c:pt>
                <c:pt idx="66">
                  <c:v>410.0439135021868</c:v>
                </c:pt>
                <c:pt idx="67">
                  <c:v>347.44730241687625</c:v>
                </c:pt>
                <c:pt idx="68">
                  <c:v>360.38278100948378</c:v>
                </c:pt>
                <c:pt idx="69">
                  <c:v>373.30810753560894</c:v>
                </c:pt>
                <c:pt idx="70">
                  <c:v>386.22368305629948</c:v>
                </c:pt>
                <c:pt idx="71">
                  <c:v>399.12987961766686</c:v>
                </c:pt>
                <c:pt idx="72">
                  <c:v>412.02704324015616</c:v>
                </c:pt>
                <c:pt idx="73">
                  <c:v>424.91549651397821</c:v>
                </c:pt>
                <c:pt idx="74">
                  <c:v>437.79554086320655</c:v>
                </c:pt>
                <c:pt idx="75">
                  <c:v>379.41318705628618</c:v>
                </c:pt>
                <c:pt idx="76">
                  <c:v>392.00536505326244</c:v>
                </c:pt>
                <c:pt idx="77">
                  <c:v>404.5887722875338</c:v>
                </c:pt>
                <c:pt idx="78">
                  <c:v>417.16372000047312</c:v>
                </c:pt>
                <c:pt idx="79">
                  <c:v>429.73049913746746</c:v>
                </c:pt>
                <c:pt idx="80">
                  <c:v>442.28938223878066</c:v>
                </c:pt>
                <c:pt idx="81">
                  <c:v>454.84062510445273</c:v>
                </c:pt>
                <c:pt idx="82">
                  <c:v>467.38446826585488</c:v>
                </c:pt>
                <c:pt idx="83">
                  <c:v>479.92113829104784</c:v>
                </c:pt>
                <c:pt idx="84">
                  <c:v>492.45084894664933</c:v>
                </c:pt>
                <c:pt idx="85">
                  <c:v>413.69789366517688</c:v>
                </c:pt>
                <c:pt idx="86">
                  <c:v>425.72326588472441</c:v>
                </c:pt>
                <c:pt idx="87">
                  <c:v>437.74133281024564</c:v>
                </c:pt>
                <c:pt idx="88">
                  <c:v>449.75232328199803</c:v>
                </c:pt>
                <c:pt idx="89">
                  <c:v>461.7564529200472</c:v>
                </c:pt>
                <c:pt idx="90">
                  <c:v>473.75392521910811</c:v>
                </c:pt>
                <c:pt idx="91">
                  <c:v>485.74493252670771</c:v>
                </c:pt>
                <c:pt idx="92">
                  <c:v>497.72965691973968</c:v>
                </c:pt>
                <c:pt idx="93">
                  <c:v>509.70827099220446</c:v>
                </c:pt>
                <c:pt idx="94">
                  <c:v>521.68093856505448</c:v>
                </c:pt>
                <c:pt idx="95">
                  <c:v>442.71309293511808</c:v>
                </c:pt>
                <c:pt idx="96">
                  <c:v>454.37653595908381</c:v>
                </c:pt>
                <c:pt idx="97">
                  <c:v>466.03358176488229</c:v>
                </c:pt>
                <c:pt idx="98">
                  <c:v>477.68441292460778</c:v>
                </c:pt>
                <c:pt idx="99">
                  <c:v>489.32920237793724</c:v>
                </c:pt>
                <c:pt idx="100">
                  <c:v>500.96811416232453</c:v>
                </c:pt>
                <c:pt idx="101">
                  <c:v>512.60130407180907</c:v>
                </c:pt>
                <c:pt idx="102">
                  <c:v>524.22892025291412</c:v>
                </c:pt>
                <c:pt idx="103">
                  <c:v>535.85110374493036</c:v>
                </c:pt>
                <c:pt idx="104">
                  <c:v>547.46798897089673</c:v>
                </c:pt>
                <c:pt idx="105">
                  <c:v>470.83512622667905</c:v>
                </c:pt>
                <c:pt idx="106">
                  <c:v>482.31993060359929</c:v>
                </c:pt>
                <c:pt idx="107">
                  <c:v>493.79892623857194</c:v>
                </c:pt>
                <c:pt idx="108">
                  <c:v>505.27226719263109</c:v>
                </c:pt>
                <c:pt idx="109">
                  <c:v>516.74009995985261</c:v>
                </c:pt>
                <c:pt idx="110">
                  <c:v>528.20256400226049</c:v>
                </c:pt>
                <c:pt idx="111">
                  <c:v>539.65979223588909</c:v>
                </c:pt>
                <c:pt idx="112">
                  <c:v>551.11191147342799</c:v>
                </c:pt>
                <c:pt idx="113">
                  <c:v>562.55904282816812</c:v>
                </c:pt>
                <c:pt idx="114">
                  <c:v>574.00130208336589</c:v>
                </c:pt>
                <c:pt idx="115">
                  <c:v>503.63619118948264</c:v>
                </c:pt>
                <c:pt idx="116">
                  <c:v>515.16004926803487</c:v>
                </c:pt>
                <c:pt idx="117">
                  <c:v>526.67846775173223</c:v>
                </c:pt>
                <c:pt idx="118">
                  <c:v>538.19158235979023</c:v>
                </c:pt>
                <c:pt idx="119">
                  <c:v>549.69952253188956</c:v>
                </c:pt>
                <c:pt idx="120">
                  <c:v>561.2024118468803</c:v>
                </c:pt>
                <c:pt idx="121">
                  <c:v>572.70036840537955</c:v>
                </c:pt>
                <c:pt idx="122">
                  <c:v>584.19350518005501</c:v>
                </c:pt>
                <c:pt idx="123">
                  <c:v>595.68193033691477</c:v>
                </c:pt>
                <c:pt idx="124">
                  <c:v>607.16574753053146</c:v>
                </c:pt>
                <c:pt idx="125">
                  <c:v>542.67444994481593</c:v>
                </c:pt>
                <c:pt idx="126">
                  <c:v>554.28705775501305</c:v>
                </c:pt>
                <c:pt idx="127">
                  <c:v>565.89456923136788</c:v>
                </c:pt>
                <c:pt idx="128">
                  <c:v>577.49710362235521</c:v>
                </c:pt>
                <c:pt idx="129">
                  <c:v>589.09477499506363</c:v>
                </c:pt>
                <c:pt idx="130">
                  <c:v>600.68769256005351</c:v>
                </c:pt>
                <c:pt idx="131">
                  <c:v>612.27596096984428</c:v>
                </c:pt>
                <c:pt idx="132">
                  <c:v>623.8596805936337</c:v>
                </c:pt>
                <c:pt idx="133">
                  <c:v>635.43894777056346</c:v>
                </c:pt>
                <c:pt idx="134">
                  <c:v>647.0138550435679</c:v>
                </c:pt>
                <c:pt idx="135">
                  <c:v>579.21299579651088</c:v>
                </c:pt>
                <c:pt idx="136">
                  <c:v>590.93727564374069</c:v>
                </c:pt>
                <c:pt idx="137">
                  <c:v>602.65671400044437</c:v>
                </c:pt>
                <c:pt idx="138">
                  <c:v>614.37141825894662</c:v>
                </c:pt>
                <c:pt idx="139">
                  <c:v>626.08149138337728</c:v>
                </c:pt>
                <c:pt idx="140">
                  <c:v>637.78703217341183</c:v>
                </c:pt>
                <c:pt idx="141">
                  <c:v>649.48813550765476</c:v>
                </c:pt>
                <c:pt idx="142">
                  <c:v>661.18489256857811</c:v>
                </c:pt>
                <c:pt idx="143">
                  <c:v>672.87739105072149</c:v>
                </c:pt>
                <c:pt idx="144">
                  <c:v>684.56571535367812</c:v>
                </c:pt>
                <c:pt idx="145">
                  <c:v>615.99826184014375</c:v>
                </c:pt>
                <c:pt idx="146">
                  <c:v>627.92166785894335</c:v>
                </c:pt>
                <c:pt idx="147">
                  <c:v>639.84039007045806</c:v>
                </c:pt>
                <c:pt idx="148">
                  <c:v>651.75452798722438</c:v>
                </c:pt>
                <c:pt idx="149">
                  <c:v>663.6641771883518</c:v>
                </c:pt>
                <c:pt idx="150">
                  <c:v>675.56942954427871</c:v>
                </c:pt>
                <c:pt idx="151">
                  <c:v>687.47037342486567</c:v>
                </c:pt>
                <c:pt idx="152">
                  <c:v>699.36709389233977</c:v>
                </c:pt>
                <c:pt idx="153">
                  <c:v>711.25967288043512</c:v>
                </c:pt>
                <c:pt idx="154">
                  <c:v>723.14818936093525</c:v>
                </c:pt>
                <c:pt idx="155">
                  <c:v>656.10481372787308</c:v>
                </c:pt>
                <c:pt idx="156">
                  <c:v>668.18502285411148</c:v>
                </c:pt>
                <c:pt idx="157">
                  <c:v>680.26074198077038</c:v>
                </c:pt>
                <c:pt idx="158">
                  <c:v>692.33206200882375</c:v>
                </c:pt>
                <c:pt idx="159">
                  <c:v>704.39907041247409</c:v>
                </c:pt>
                <c:pt idx="160">
                  <c:v>716.46185142605191</c:v>
                </c:pt>
                <c:pt idx="161">
                  <c:v>728.52048621768233</c:v>
                </c:pt>
                <c:pt idx="162">
                  <c:v>740.57505305086443</c:v>
                </c:pt>
                <c:pt idx="163">
                  <c:v>752.62562743498745</c:v>
                </c:pt>
                <c:pt idx="164">
                  <c:v>764.67228226571467</c:v>
                </c:pt>
                <c:pt idx="165">
                  <c:v>691.65849642549881</c:v>
                </c:pt>
                <c:pt idx="166">
                  <c:v>703.8733396080155</c:v>
                </c:pt>
                <c:pt idx="167">
                  <c:v>716.08384763697256</c:v>
                </c:pt>
                <c:pt idx="168">
                  <c:v>728.29010481250054</c:v>
                </c:pt>
                <c:pt idx="169">
                  <c:v>740.49219238015883</c:v>
                </c:pt>
                <c:pt idx="170">
                  <c:v>752.69018869117497</c:v>
                </c:pt>
                <c:pt idx="171">
                  <c:v>764.88416935176735</c:v>
                </c:pt>
                <c:pt idx="172">
                  <c:v>777.07420736245524</c:v>
                </c:pt>
                <c:pt idx="173">
                  <c:v>789.26037324818117</c:v>
                </c:pt>
                <c:pt idx="174">
                  <c:v>801.44273517998261</c:v>
                </c:pt>
                <c:pt idx="175">
                  <c:v>499.6921135299911</c:v>
                </c:pt>
                <c:pt idx="176">
                  <c:v>507.54522794679673</c:v>
                </c:pt>
                <c:pt idx="177">
                  <c:v>515.39577427024676</c:v>
                </c:pt>
                <c:pt idx="178">
                  <c:v>352.97127757915587</c:v>
                </c:pt>
                <c:pt idx="179">
                  <c:v>357.82672398095787</c:v>
                </c:pt>
                <c:pt idx="180">
                  <c:v>362.68072838718234</c:v>
                </c:pt>
                <c:pt idx="181">
                  <c:v>251.76948295809464</c:v>
                </c:pt>
                <c:pt idx="182">
                  <c:v>254.76218506142436</c:v>
                </c:pt>
                <c:pt idx="183">
                  <c:v>257.75409130952295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H7" sqref="H7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3.2959000000000001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0.43149999999999999</v>
      </c>
      <c r="D9" s="33">
        <f t="shared" ref="D9:D18" si="0">C9*$C$5</f>
        <v>1.4221808499999999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0.182</v>
      </c>
      <c r="D10" s="33">
        <f t="shared" si="0"/>
        <v>0.59985379999999999</v>
      </c>
      <c r="E10" s="34">
        <v>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21</v>
      </c>
      <c r="C11" s="32">
        <v>0.2044</v>
      </c>
      <c r="D11" s="33">
        <f t="shared" si="0"/>
        <v>0.67368196000000002</v>
      </c>
      <c r="E11" s="34">
        <v>131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 t="s">
        <v>23</v>
      </c>
      <c r="C12" s="32">
        <v>4.5499999999999999E-2</v>
      </c>
      <c r="D12" s="33">
        <f t="shared" si="0"/>
        <v>0.14996345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24</v>
      </c>
      <c r="B13" s="31" t="s">
        <v>25</v>
      </c>
      <c r="C13" s="32">
        <v>0.13650000000000001</v>
      </c>
      <c r="D13" s="33">
        <f t="shared" si="0"/>
        <v>0.44989035000000005</v>
      </c>
      <c r="E13" s="34">
        <v>183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26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27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28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29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30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31</v>
      </c>
      <c r="C19" s="37">
        <f>SUM(C9:C18)</f>
        <v>0.99990000000000001</v>
      </c>
      <c r="D19" s="38">
        <f>SUM(D9:D18)</f>
        <v>3.2955704100000003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33</v>
      </c>
      <c r="B24" s="42" t="s">
        <v>34</v>
      </c>
      <c r="C24" s="43">
        <v>0</v>
      </c>
      <c r="D24" s="44" t="s">
        <v>35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36</v>
      </c>
      <c r="B25" s="42" t="s">
        <v>37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38</v>
      </c>
      <c r="B26" s="42" t="s">
        <v>39</v>
      </c>
      <c r="C26" s="43">
        <v>0.15</v>
      </c>
      <c r="D26" s="44" t="s">
        <v>40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41</v>
      </c>
      <c r="B27" s="42" t="s">
        <v>42</v>
      </c>
      <c r="C27" s="43">
        <v>0</v>
      </c>
      <c r="D27" s="44" t="s">
        <v>43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44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maritime</v>
      </c>
      <c r="D32" s="229" t="s">
        <v>45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46</v>
      </c>
      <c r="C34" s="258" t="s">
        <v>47</v>
      </c>
      <c r="D34" s="258"/>
      <c r="E34" s="259" t="s">
        <v>48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49</v>
      </c>
      <c r="B35" s="36" t="s">
        <v>50</v>
      </c>
      <c r="C35" s="48" t="s">
        <v>51</v>
      </c>
      <c r="D35" s="48" t="s">
        <v>52</v>
      </c>
      <c r="E35" s="36" t="s">
        <v>53</v>
      </c>
      <c r="F35" s="36" t="s">
        <v>54</v>
      </c>
      <c r="G35" s="36" t="s">
        <v>55</v>
      </c>
      <c r="H35" s="36" t="s">
        <v>56</v>
      </c>
      <c r="I35" s="48" t="s">
        <v>57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17</v>
      </c>
      <c r="B36" s="60">
        <v>126.33076923076922</v>
      </c>
      <c r="C36" s="60">
        <v>1</v>
      </c>
      <c r="D36" s="60">
        <v>42.084615384615383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7.4312217194570129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23</v>
      </c>
      <c r="B37" s="60">
        <v>173.80769230769229</v>
      </c>
      <c r="C37" s="60">
        <v>2</v>
      </c>
      <c r="D37" s="60">
        <v>54.099999999999994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14.926923076923075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29</v>
      </c>
      <c r="B38" s="60">
        <v>210.14615384615385</v>
      </c>
      <c r="C38" s="60">
        <v>3</v>
      </c>
      <c r="D38" s="60">
        <v>47.661538461538463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15.073076923076925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36</v>
      </c>
      <c r="B39" s="60">
        <v>262.57692307692309</v>
      </c>
      <c r="C39" s="60">
        <v>4</v>
      </c>
      <c r="D39" s="60">
        <v>64.553846153846152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14.298901098901101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44</v>
      </c>
      <c r="B40" s="60">
        <v>303.15384615384613</v>
      </c>
      <c r="C40" s="60">
        <v>5</v>
      </c>
      <c r="D40" s="60">
        <v>64.476923076923072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13.14134615384615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52</v>
      </c>
      <c r="B41" s="60">
        <v>331.81538461538463</v>
      </c>
      <c r="C41" s="60">
        <v>6</v>
      </c>
      <c r="D41" s="60">
        <v>61.784615384615378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11.642307692307696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60</v>
      </c>
      <c r="B42" s="60">
        <v>353.5</v>
      </c>
      <c r="C42" s="60">
        <v>7</v>
      </c>
      <c r="D42" s="60">
        <v>353.5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10.433653846153845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Peuplier Koster</v>
      </c>
      <c r="D58" s="229" t="s">
        <v>45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46</v>
      </c>
      <c r="C60" s="258" t="s">
        <v>47</v>
      </c>
      <c r="D60" s="258"/>
      <c r="E60" s="259" t="s">
        <v>48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49</v>
      </c>
      <c r="B61" s="36" t="s">
        <v>50</v>
      </c>
      <c r="C61" s="48" t="s">
        <v>51</v>
      </c>
      <c r="D61" s="48" t="s">
        <v>52</v>
      </c>
      <c r="E61" s="36" t="s">
        <v>53</v>
      </c>
      <c r="F61" s="36" t="s">
        <v>54</v>
      </c>
      <c r="G61" s="36" t="s">
        <v>55</v>
      </c>
      <c r="H61" s="36" t="s">
        <v>56</v>
      </c>
      <c r="I61" s="48" t="s">
        <v>57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5</v>
      </c>
      <c r="B62" s="60">
        <v>0.46275641025641273</v>
      </c>
      <c r="C62" s="60">
        <v>0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9.2551282051282546E-2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6</v>
      </c>
      <c r="B63" s="60">
        <v>4.6342307692307738</v>
      </c>
      <c r="C63" s="60">
        <v>0</v>
      </c>
      <c r="D63" s="60">
        <v>0</v>
      </c>
      <c r="E63" s="51">
        <v>0</v>
      </c>
      <c r="F63" s="51">
        <v>0</v>
      </c>
      <c r="G63" s="51">
        <v>0</v>
      </c>
      <c r="H63" s="51">
        <v>0</v>
      </c>
      <c r="I63" s="49">
        <f>IF(A63&lt;&gt;0,(B63-(B62-D62))/(A63-A62),"")</f>
        <v>4.1714743589743613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7</v>
      </c>
      <c r="B64" s="60">
        <v>10.009166666666667</v>
      </c>
      <c r="C64" s="60">
        <v>0</v>
      </c>
      <c r="D64" s="60">
        <v>0</v>
      </c>
      <c r="E64" s="51">
        <v>0</v>
      </c>
      <c r="F64" s="51">
        <v>0</v>
      </c>
      <c r="G64" s="51">
        <v>0</v>
      </c>
      <c r="H64" s="51">
        <v>0</v>
      </c>
      <c r="I64" s="49">
        <f>IF(A64&lt;&gt;0,(B64-(B63-D63))/(A64-A63),"")</f>
        <v>5.3749358974358934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8</v>
      </c>
      <c r="B65" s="60">
        <v>16.505256410256415</v>
      </c>
      <c r="C65" s="60">
        <v>0</v>
      </c>
      <c r="D65" s="60">
        <v>0</v>
      </c>
      <c r="E65" s="51">
        <v>0</v>
      </c>
      <c r="F65" s="51">
        <v>0</v>
      </c>
      <c r="G65" s="51">
        <v>0</v>
      </c>
      <c r="H65" s="51">
        <v>0</v>
      </c>
      <c r="I65" s="49">
        <f>IF(A65&lt;&gt;0,(B65-(B64-D64))/(A65-A64),"")</f>
        <v>6.4960897435897476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9</v>
      </c>
      <c r="B66" s="60">
        <v>24.040192307692308</v>
      </c>
      <c r="C66" s="60">
        <v>0</v>
      </c>
      <c r="D66" s="60">
        <v>0</v>
      </c>
      <c r="E66" s="51">
        <v>0</v>
      </c>
      <c r="F66" s="51">
        <v>0</v>
      </c>
      <c r="G66" s="51">
        <v>0</v>
      </c>
      <c r="H66" s="51">
        <v>0</v>
      </c>
      <c r="I66" s="49">
        <f t="shared" ref="I66:I81" si="2">IF(A66&lt;&gt;0,(B66-(B65-D65))/(A66-A65),"")</f>
        <v>7.5349358974358935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10</v>
      </c>
      <c r="B67" s="60">
        <v>32.531666666666673</v>
      </c>
      <c r="C67" s="60">
        <v>0</v>
      </c>
      <c r="D67" s="60">
        <v>0</v>
      </c>
      <c r="E67" s="51">
        <v>0</v>
      </c>
      <c r="F67" s="51">
        <v>0</v>
      </c>
      <c r="G67" s="51">
        <v>0</v>
      </c>
      <c r="H67" s="51">
        <v>0</v>
      </c>
      <c r="I67" s="49">
        <f t="shared" si="2"/>
        <v>8.4914743589743651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11</v>
      </c>
      <c r="B68" s="60">
        <v>41.897371794871802</v>
      </c>
      <c r="C68" s="60">
        <v>0</v>
      </c>
      <c r="D68" s="60">
        <v>0</v>
      </c>
      <c r="E68" s="51">
        <v>0</v>
      </c>
      <c r="F68" s="51">
        <v>0</v>
      </c>
      <c r="G68" s="51">
        <v>0</v>
      </c>
      <c r="H68" s="51">
        <v>0</v>
      </c>
      <c r="I68" s="49">
        <f t="shared" si="2"/>
        <v>9.3657051282051285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12</v>
      </c>
      <c r="B69" s="50">
        <v>52.055000000000014</v>
      </c>
      <c r="C69" s="50">
        <v>0</v>
      </c>
      <c r="D69" s="50">
        <v>0</v>
      </c>
      <c r="E69" s="51">
        <v>0</v>
      </c>
      <c r="F69" s="51">
        <v>0</v>
      </c>
      <c r="G69" s="51">
        <v>0</v>
      </c>
      <c r="H69" s="51">
        <v>0</v>
      </c>
      <c r="I69" s="49">
        <f t="shared" si="2"/>
        <v>10.157628205128212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13</v>
      </c>
      <c r="B70" s="50">
        <v>62.922243589743587</v>
      </c>
      <c r="C70" s="50">
        <v>0</v>
      </c>
      <c r="D70" s="50">
        <v>0</v>
      </c>
      <c r="E70" s="51">
        <v>0</v>
      </c>
      <c r="F70" s="51">
        <v>0</v>
      </c>
      <c r="G70" s="51">
        <v>0</v>
      </c>
      <c r="H70" s="51">
        <v>0</v>
      </c>
      <c r="I70" s="49">
        <f t="shared" si="2"/>
        <v>10.867243589743573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14</v>
      </c>
      <c r="B71" s="50">
        <v>74.416794871794863</v>
      </c>
      <c r="C71" s="50">
        <v>0</v>
      </c>
      <c r="D71" s="50">
        <v>0</v>
      </c>
      <c r="E71" s="51">
        <v>0</v>
      </c>
      <c r="F71" s="51">
        <v>0</v>
      </c>
      <c r="G71" s="51">
        <v>0</v>
      </c>
      <c r="H71" s="51">
        <v>0</v>
      </c>
      <c r="I71" s="49">
        <f t="shared" si="2"/>
        <v>11.494551282051276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15</v>
      </c>
      <c r="B72" s="50">
        <v>86.456346153846169</v>
      </c>
      <c r="C72" s="50">
        <v>0</v>
      </c>
      <c r="D72" s="50">
        <v>0</v>
      </c>
      <c r="E72" s="51">
        <v>0</v>
      </c>
      <c r="F72" s="51">
        <v>0</v>
      </c>
      <c r="G72" s="51">
        <v>0</v>
      </c>
      <c r="H72" s="51">
        <v>0</v>
      </c>
      <c r="I72" s="49">
        <f t="shared" si="2"/>
        <v>12.039551282051306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16</v>
      </c>
      <c r="B73" s="50">
        <v>98.958589743589755</v>
      </c>
      <c r="C73" s="50">
        <v>0</v>
      </c>
      <c r="D73" s="50">
        <v>0</v>
      </c>
      <c r="E73" s="51">
        <v>0</v>
      </c>
      <c r="F73" s="51">
        <v>0</v>
      </c>
      <c r="G73" s="51">
        <v>0</v>
      </c>
      <c r="H73" s="51">
        <v>0</v>
      </c>
      <c r="I73" s="49">
        <f t="shared" si="2"/>
        <v>12.502243589743586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17</v>
      </c>
      <c r="B74" s="50">
        <v>111.84121794871795</v>
      </c>
      <c r="C74" s="50">
        <v>0</v>
      </c>
      <c r="D74" s="50">
        <v>0</v>
      </c>
      <c r="E74" s="51">
        <v>0</v>
      </c>
      <c r="F74" s="51">
        <v>0</v>
      </c>
      <c r="G74" s="51">
        <v>0</v>
      </c>
      <c r="H74" s="51">
        <v>0</v>
      </c>
      <c r="I74" s="49">
        <f t="shared" si="2"/>
        <v>12.882628205128199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18</v>
      </c>
      <c r="B75" s="50">
        <v>125.02192307692309</v>
      </c>
      <c r="C75" s="50">
        <v>0</v>
      </c>
      <c r="D75" s="50">
        <v>0</v>
      </c>
      <c r="E75" s="51">
        <v>0</v>
      </c>
      <c r="F75" s="51">
        <v>0</v>
      </c>
      <c r="G75" s="51">
        <v>0</v>
      </c>
      <c r="H75" s="51">
        <v>0</v>
      </c>
      <c r="I75" s="49">
        <f t="shared" si="2"/>
        <v>13.180705128205133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19</v>
      </c>
      <c r="B76" s="50">
        <v>138.41839743589745</v>
      </c>
      <c r="C76" s="50">
        <v>0</v>
      </c>
      <c r="D76" s="50">
        <v>0</v>
      </c>
      <c r="E76" s="51">
        <v>0</v>
      </c>
      <c r="F76" s="51">
        <v>0</v>
      </c>
      <c r="G76" s="51">
        <v>0</v>
      </c>
      <c r="H76" s="51">
        <v>0</v>
      </c>
      <c r="I76" s="49">
        <f t="shared" si="2"/>
        <v>13.396474358974359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20</v>
      </c>
      <c r="B77" s="50">
        <v>151.94833333333338</v>
      </c>
      <c r="C77" s="50" t="s">
        <v>58</v>
      </c>
      <c r="D77" s="50">
        <v>151.94833333333338</v>
      </c>
      <c r="E77" s="51">
        <v>0.7</v>
      </c>
      <c r="F77" s="51">
        <v>0.15</v>
      </c>
      <c r="G77" s="51">
        <v>0.15</v>
      </c>
      <c r="H77" s="51">
        <v>0</v>
      </c>
      <c r="I77" s="49">
        <f t="shared" si="2"/>
        <v>13.529935897435934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Cèdre de l'Atlas</v>
      </c>
      <c r="D84" s="229" t="s">
        <v>45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46</v>
      </c>
      <c r="C86" s="258" t="s">
        <v>47</v>
      </c>
      <c r="D86" s="258"/>
      <c r="E86" s="259" t="s">
        <v>48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49</v>
      </c>
      <c r="B87" s="36" t="s">
        <v>50</v>
      </c>
      <c r="C87" s="48" t="s">
        <v>51</v>
      </c>
      <c r="D87" s="48" t="s">
        <v>52</v>
      </c>
      <c r="E87" s="36" t="s">
        <v>53</v>
      </c>
      <c r="F87" s="36" t="s">
        <v>54</v>
      </c>
      <c r="G87" s="36" t="s">
        <v>55</v>
      </c>
      <c r="H87" s="36" t="s">
        <v>56</v>
      </c>
      <c r="I87" s="48" t="s">
        <v>57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30</v>
      </c>
      <c r="B88" s="60">
        <v>147.25384615384615</v>
      </c>
      <c r="C88" s="60" t="s">
        <v>59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4.9084615384615384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51</v>
      </c>
      <c r="B89" s="60">
        <v>387.56923076923078</v>
      </c>
      <c r="C89" s="60">
        <v>1</v>
      </c>
      <c r="D89" s="60">
        <v>170.16153846153847</v>
      </c>
      <c r="E89" s="51">
        <v>0</v>
      </c>
      <c r="F89" s="51">
        <v>0.56000000000000005</v>
      </c>
      <c r="G89" s="51">
        <v>0.44</v>
      </c>
      <c r="H89" s="87">
        <v>0</v>
      </c>
      <c r="I89" s="53">
        <f t="shared" ref="I89:I107" si="3">IF(A89&lt;&gt;0,(B89-(B88-D88))/(A89-A88),"")</f>
        <v>11.443589743589744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61</v>
      </c>
      <c r="B90" s="60">
        <v>329.11538461538464</v>
      </c>
      <c r="C90" s="60">
        <v>2</v>
      </c>
      <c r="D90" s="60">
        <v>94.76153846153845</v>
      </c>
      <c r="E90" s="87">
        <v>0.7</v>
      </c>
      <c r="F90" s="87">
        <v>0.16800000000000001</v>
      </c>
      <c r="G90" s="87">
        <v>0.13200000000000001</v>
      </c>
      <c r="H90" s="87">
        <v>0</v>
      </c>
      <c r="I90" s="53">
        <f t="shared" si="3"/>
        <v>11.170769230769233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73</v>
      </c>
      <c r="B91" s="60">
        <v>358.13076923076926</v>
      </c>
      <c r="C91" s="60">
        <v>3</v>
      </c>
      <c r="D91" s="60">
        <v>93.584615384615375</v>
      </c>
      <c r="E91" s="87">
        <v>0.7</v>
      </c>
      <c r="F91" s="87">
        <v>0.16800000000000001</v>
      </c>
      <c r="G91" s="87">
        <v>0.13200000000000001</v>
      </c>
      <c r="H91" s="87">
        <v>0</v>
      </c>
      <c r="I91" s="53">
        <f t="shared" si="3"/>
        <v>10.314743589743591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85</v>
      </c>
      <c r="B92" s="60">
        <v>378.83076923076919</v>
      </c>
      <c r="C92" s="60">
        <v>4</v>
      </c>
      <c r="D92" s="60">
        <v>85.207692307692298</v>
      </c>
      <c r="E92" s="87">
        <v>0.7</v>
      </c>
      <c r="F92" s="87">
        <v>0.16800000000000001</v>
      </c>
      <c r="G92" s="87">
        <v>0.13200000000000001</v>
      </c>
      <c r="H92" s="87">
        <v>0</v>
      </c>
      <c r="I92" s="53">
        <f t="shared" si="3"/>
        <v>9.5237179487179446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97</v>
      </c>
      <c r="B93" s="60">
        <v>398.27692307692308</v>
      </c>
      <c r="C93" s="60">
        <v>5</v>
      </c>
      <c r="D93" s="60">
        <v>79.669230769230765</v>
      </c>
      <c r="E93" s="87">
        <v>0.7</v>
      </c>
      <c r="F93" s="87">
        <v>0.16800000000000001</v>
      </c>
      <c r="G93" s="87">
        <v>0.13200000000000001</v>
      </c>
      <c r="H93" s="87">
        <v>0</v>
      </c>
      <c r="I93" s="53">
        <f t="shared" si="3"/>
        <v>8.7211538461538485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109</v>
      </c>
      <c r="B94" s="60">
        <v>413.2</v>
      </c>
      <c r="C94" s="60">
        <v>6</v>
      </c>
      <c r="D94" s="60">
        <v>80.653846153846146</v>
      </c>
      <c r="E94" s="87">
        <v>0.7</v>
      </c>
      <c r="F94" s="87">
        <v>0.16800000000000001</v>
      </c>
      <c r="G94" s="87">
        <v>0.13200000000000001</v>
      </c>
      <c r="H94" s="87">
        <v>0</v>
      </c>
      <c r="I94" s="53">
        <f t="shared" si="3"/>
        <v>7.882692307692305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121</v>
      </c>
      <c r="B95" s="60">
        <v>417.60769230769228</v>
      </c>
      <c r="C95" s="60">
        <v>7</v>
      </c>
      <c r="D95" s="60">
        <v>207.07692307692307</v>
      </c>
      <c r="E95" s="87">
        <v>0.7</v>
      </c>
      <c r="F95" s="87">
        <v>0.16800000000000001</v>
      </c>
      <c r="G95" s="87">
        <v>0.13200000000000001</v>
      </c>
      <c r="H95" s="87">
        <v>0</v>
      </c>
      <c r="I95" s="53">
        <f t="shared" si="3"/>
        <v>7.0884615384615346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131</v>
      </c>
      <c r="B96" s="60">
        <v>259.61538461538458</v>
      </c>
      <c r="C96" s="60">
        <v>8</v>
      </c>
      <c r="D96" s="60">
        <v>259.61538461538458</v>
      </c>
      <c r="E96" s="87">
        <v>0.7</v>
      </c>
      <c r="F96" s="87">
        <v>0.16800000000000001</v>
      </c>
      <c r="G96" s="87">
        <v>0.13200000000000001</v>
      </c>
      <c r="H96" s="87">
        <v>0</v>
      </c>
      <c r="I96" s="53">
        <f t="shared" si="3"/>
        <v>4.9084615384615375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>Chêne rouge d'Amérique</v>
      </c>
      <c r="D110" s="229" t="s">
        <v>45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46</v>
      </c>
      <c r="C112" s="258" t="s">
        <v>47</v>
      </c>
      <c r="D112" s="258"/>
      <c r="E112" s="259" t="s">
        <v>48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49</v>
      </c>
      <c r="B113" s="36" t="s">
        <v>50</v>
      </c>
      <c r="C113" s="48" t="s">
        <v>51</v>
      </c>
      <c r="D113" s="48" t="s">
        <v>52</v>
      </c>
      <c r="E113" s="36" t="s">
        <v>53</v>
      </c>
      <c r="F113" s="36" t="s">
        <v>54</v>
      </c>
      <c r="G113" s="36" t="s">
        <v>55</v>
      </c>
      <c r="H113" s="36" t="s">
        <v>56</v>
      </c>
      <c r="I113" s="48" t="s">
        <v>57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10</v>
      </c>
      <c r="B114" s="60">
        <v>18</v>
      </c>
      <c r="C114" s="50">
        <v>0</v>
      </c>
      <c r="D114" s="60">
        <v>0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1.8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15</v>
      </c>
      <c r="B115" s="60">
        <v>47</v>
      </c>
      <c r="C115" s="50">
        <v>0</v>
      </c>
      <c r="D115" s="60">
        <v>0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5.8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20</v>
      </c>
      <c r="B116" s="60">
        <v>87</v>
      </c>
      <c r="C116" s="50">
        <v>1</v>
      </c>
      <c r="D116" s="60" t="s">
        <v>60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25</v>
      </c>
      <c r="B117" s="60">
        <v>98</v>
      </c>
      <c r="C117" s="50">
        <v>2</v>
      </c>
      <c r="D117" s="60" t="s">
        <v>61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30</v>
      </c>
      <c r="B118" s="60">
        <v>119</v>
      </c>
      <c r="C118" s="50">
        <v>3</v>
      </c>
      <c r="D118" s="60" t="s">
        <v>62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35</v>
      </c>
      <c r="B119" s="60">
        <v>135</v>
      </c>
      <c r="C119" s="50">
        <v>4</v>
      </c>
      <c r="D119" s="60" t="s">
        <v>62</v>
      </c>
      <c r="E119" s="51">
        <v>0</v>
      </c>
      <c r="F119" s="51">
        <v>0</v>
      </c>
      <c r="G119" s="51">
        <v>0</v>
      </c>
      <c r="H119" s="51">
        <v>1</v>
      </c>
      <c r="I119" s="53">
        <f t="shared" si="4"/>
        <v>7.2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40</v>
      </c>
      <c r="B120" s="60">
        <v>150</v>
      </c>
      <c r="C120" s="60">
        <v>5</v>
      </c>
      <c r="D120" s="60" t="s">
        <v>62</v>
      </c>
      <c r="E120" s="87">
        <v>0</v>
      </c>
      <c r="F120" s="87">
        <v>0.5</v>
      </c>
      <c r="G120" s="87">
        <v>0</v>
      </c>
      <c r="H120" s="87">
        <v>0.5</v>
      </c>
      <c r="I120" s="53">
        <f t="shared" si="4"/>
        <v>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45</v>
      </c>
      <c r="B121" s="60">
        <v>162</v>
      </c>
      <c r="C121" s="60">
        <v>6</v>
      </c>
      <c r="D121" s="60" t="s">
        <v>61</v>
      </c>
      <c r="E121" s="87">
        <v>0</v>
      </c>
      <c r="F121" s="87">
        <v>0.5</v>
      </c>
      <c r="G121" s="87">
        <v>0</v>
      </c>
      <c r="H121" s="87">
        <v>0.5</v>
      </c>
      <c r="I121" s="53">
        <f t="shared" si="4"/>
        <v>6.4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50</v>
      </c>
      <c r="B122" s="60">
        <v>173</v>
      </c>
      <c r="C122" s="60">
        <v>7</v>
      </c>
      <c r="D122" s="60" t="s">
        <v>63</v>
      </c>
      <c r="E122" s="87">
        <v>0</v>
      </c>
      <c r="F122" s="87">
        <v>0.5</v>
      </c>
      <c r="G122" s="87">
        <v>0</v>
      </c>
      <c r="H122" s="87">
        <v>0.5</v>
      </c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55</v>
      </c>
      <c r="B123" s="60">
        <v>181</v>
      </c>
      <c r="C123" s="60">
        <v>8</v>
      </c>
      <c r="D123" s="60" t="s">
        <v>64</v>
      </c>
      <c r="E123" s="87">
        <v>0.4</v>
      </c>
      <c r="F123" s="87">
        <v>0.4</v>
      </c>
      <c r="G123" s="87">
        <v>0</v>
      </c>
      <c r="H123" s="87">
        <v>0.2</v>
      </c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60</v>
      </c>
      <c r="B124" s="60">
        <v>189</v>
      </c>
      <c r="C124" s="60">
        <v>9</v>
      </c>
      <c r="D124" s="60" t="s">
        <v>65</v>
      </c>
      <c r="E124" s="87">
        <v>0.4</v>
      </c>
      <c r="F124" s="87">
        <v>0.4</v>
      </c>
      <c r="G124" s="87">
        <v>0</v>
      </c>
      <c r="H124" s="87">
        <v>0.2</v>
      </c>
      <c r="I124" s="53">
        <f t="shared" si="4"/>
        <v>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65</v>
      </c>
      <c r="B125" s="60">
        <v>195</v>
      </c>
      <c r="C125" s="60">
        <v>10</v>
      </c>
      <c r="D125" s="60" t="s">
        <v>66</v>
      </c>
      <c r="E125" s="87">
        <v>0.4</v>
      </c>
      <c r="F125" s="87">
        <v>0.4</v>
      </c>
      <c r="G125" s="87">
        <v>0</v>
      </c>
      <c r="H125" s="87">
        <v>0.2</v>
      </c>
      <c r="I125" s="53">
        <f t="shared" si="4"/>
        <v>4.4000000000000004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70</v>
      </c>
      <c r="B126" s="60">
        <v>201</v>
      </c>
      <c r="C126" s="60">
        <v>11</v>
      </c>
      <c r="D126" s="60" t="s">
        <v>67</v>
      </c>
      <c r="E126" s="65">
        <v>0.4</v>
      </c>
      <c r="F126" s="65">
        <v>0.4</v>
      </c>
      <c r="G126" s="65">
        <v>0</v>
      </c>
      <c r="H126" s="65">
        <v>0.2</v>
      </c>
      <c r="I126" s="53">
        <f t="shared" si="4"/>
        <v>4.2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75</v>
      </c>
      <c r="B127" s="60">
        <v>204</v>
      </c>
      <c r="C127" s="60">
        <v>12</v>
      </c>
      <c r="D127" s="60" t="s">
        <v>68</v>
      </c>
      <c r="E127" s="65">
        <v>0.4</v>
      </c>
      <c r="F127" s="65">
        <v>0.4</v>
      </c>
      <c r="G127" s="65">
        <v>0</v>
      </c>
      <c r="H127" s="65">
        <v>0.2</v>
      </c>
      <c r="I127" s="53">
        <f t="shared" si="4"/>
        <v>3.4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80</v>
      </c>
      <c r="B128" s="50">
        <v>208</v>
      </c>
      <c r="C128" s="50">
        <v>13</v>
      </c>
      <c r="D128" s="50" t="s">
        <v>69</v>
      </c>
      <c r="E128" s="54">
        <v>0.4</v>
      </c>
      <c r="F128" s="54">
        <v>0.4</v>
      </c>
      <c r="G128" s="54">
        <v>0</v>
      </c>
      <c r="H128" s="54">
        <v>0.2</v>
      </c>
      <c r="I128" s="53">
        <f t="shared" si="4"/>
        <v>3.2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85</v>
      </c>
      <c r="B129" s="50">
        <v>211</v>
      </c>
      <c r="C129" s="50">
        <v>14</v>
      </c>
      <c r="D129" s="50" t="s">
        <v>70</v>
      </c>
      <c r="E129" s="54">
        <v>0.5</v>
      </c>
      <c r="F129" s="54">
        <v>0.4</v>
      </c>
      <c r="G129" s="54">
        <v>0</v>
      </c>
      <c r="H129" s="54">
        <v>0.1</v>
      </c>
      <c r="I129" s="53">
        <f t="shared" si="4"/>
        <v>2.8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>
        <v>90</v>
      </c>
      <c r="B130" s="50">
        <v>215</v>
      </c>
      <c r="C130" s="50">
        <v>15</v>
      </c>
      <c r="D130" s="50" t="s">
        <v>70</v>
      </c>
      <c r="E130" s="54">
        <v>0.5</v>
      </c>
      <c r="F130" s="54">
        <v>0.4</v>
      </c>
      <c r="G130" s="54">
        <v>0</v>
      </c>
      <c r="H130" s="54">
        <v>0.1</v>
      </c>
      <c r="I130" s="53">
        <f t="shared" si="4"/>
        <v>2.8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>
        <v>95</v>
      </c>
      <c r="B131" s="50">
        <v>219</v>
      </c>
      <c r="C131" s="50">
        <v>16</v>
      </c>
      <c r="D131" s="50" t="s">
        <v>69</v>
      </c>
      <c r="E131" s="54">
        <v>0.5</v>
      </c>
      <c r="F131" s="54">
        <v>0.4</v>
      </c>
      <c r="G131" s="54">
        <v>0</v>
      </c>
      <c r="H131" s="54">
        <v>0.1</v>
      </c>
      <c r="I131" s="53">
        <f t="shared" si="4"/>
        <v>2.8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>
        <v>100</v>
      </c>
      <c r="B132" s="50">
        <v>223</v>
      </c>
      <c r="C132" s="50">
        <v>17</v>
      </c>
      <c r="D132" s="50" t="s">
        <v>69</v>
      </c>
      <c r="E132" s="54">
        <v>0.5</v>
      </c>
      <c r="F132" s="54">
        <v>0.4</v>
      </c>
      <c r="G132" s="54">
        <v>0</v>
      </c>
      <c r="H132" s="54">
        <v>0.1</v>
      </c>
      <c r="I132" s="53">
        <f t="shared" si="4"/>
        <v>3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24</v>
      </c>
      <c r="B136" s="52" t="str">
        <f>IF(B13="","",B13)</f>
        <v>Chêne sessile</v>
      </c>
      <c r="D136" s="229" t="s">
        <v>45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46</v>
      </c>
      <c r="C138" s="258" t="s">
        <v>47</v>
      </c>
      <c r="D138" s="258"/>
      <c r="E138" s="259" t="s">
        <v>48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49</v>
      </c>
      <c r="B139" s="36" t="s">
        <v>50</v>
      </c>
      <c r="C139" s="48" t="s">
        <v>51</v>
      </c>
      <c r="D139" s="48" t="s">
        <v>52</v>
      </c>
      <c r="E139" s="36" t="s">
        <v>53</v>
      </c>
      <c r="F139" s="36" t="s">
        <v>54</v>
      </c>
      <c r="G139" s="36" t="s">
        <v>55</v>
      </c>
      <c r="H139" s="36" t="s">
        <v>56</v>
      </c>
      <c r="I139" s="48" t="s">
        <v>57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30</v>
      </c>
      <c r="B140" s="60">
        <v>75.346153846153854</v>
      </c>
      <c r="C140" s="50" t="s">
        <v>59</v>
      </c>
      <c r="D140" s="60">
        <v>0</v>
      </c>
      <c r="E140" s="51">
        <v>0</v>
      </c>
      <c r="F140" s="51">
        <v>0</v>
      </c>
      <c r="G140" s="51">
        <v>0</v>
      </c>
      <c r="H140" s="51">
        <v>0</v>
      </c>
      <c r="I140" s="57">
        <f>IFERROR(B140/A140,"")</f>
        <v>2.5115384615384619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42</v>
      </c>
      <c r="B141" s="60">
        <v>141.09615384615384</v>
      </c>
      <c r="C141" s="50">
        <v>1</v>
      </c>
      <c r="D141" s="60">
        <v>38.685897435897438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5.4791666666666652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50</v>
      </c>
      <c r="B142" s="60">
        <v>159.55769230769232</v>
      </c>
      <c r="C142" s="50">
        <v>2</v>
      </c>
      <c r="D142" s="60">
        <v>29.416666666666664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7.143429487179489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58</v>
      </c>
      <c r="B143" s="60">
        <v>187.98717948717947</v>
      </c>
      <c r="C143" s="50">
        <v>3</v>
      </c>
      <c r="D143" s="60">
        <v>35.88461538461538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7.2307692307692264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66</v>
      </c>
      <c r="B144" s="60">
        <v>208.08333333333334</v>
      </c>
      <c r="C144" s="50">
        <v>4</v>
      </c>
      <c r="D144" s="60">
        <v>39.166666666666664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5"/>
        <v>6.9975961538461569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74</v>
      </c>
      <c r="B145" s="60">
        <v>222.5128205128205</v>
      </c>
      <c r="C145" s="50">
        <v>5</v>
      </c>
      <c r="D145" s="60">
        <v>36.865384615384613</v>
      </c>
      <c r="E145" s="51">
        <v>0</v>
      </c>
      <c r="F145" s="51">
        <v>0</v>
      </c>
      <c r="G145" s="51">
        <v>0</v>
      </c>
      <c r="H145" s="51">
        <v>1</v>
      </c>
      <c r="I145" s="57">
        <f t="shared" si="5"/>
        <v>6.6995192307692264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84</v>
      </c>
      <c r="B146" s="60">
        <v>250.98717948717945</v>
      </c>
      <c r="C146" s="50">
        <v>6</v>
      </c>
      <c r="D146" s="60">
        <v>47.256410256410255</v>
      </c>
      <c r="E146" s="51">
        <v>0.7</v>
      </c>
      <c r="F146" s="51">
        <v>0</v>
      </c>
      <c r="G146" s="51">
        <v>0</v>
      </c>
      <c r="H146" s="51">
        <v>0.3</v>
      </c>
      <c r="I146" s="57">
        <f t="shared" si="5"/>
        <v>6.5339743589743566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94</v>
      </c>
      <c r="B147" s="60">
        <v>266.24358974358972</v>
      </c>
      <c r="C147" s="50">
        <v>7</v>
      </c>
      <c r="D147" s="60">
        <v>47.243589743589745</v>
      </c>
      <c r="E147" s="51">
        <v>0.7</v>
      </c>
      <c r="F147" s="51">
        <v>0</v>
      </c>
      <c r="G147" s="51">
        <v>0</v>
      </c>
      <c r="H147" s="51">
        <v>0.3</v>
      </c>
      <c r="I147" s="57">
        <f>IF(A147&lt;&gt;0,(B147-(B146-D146))/(A147-A146),"")</f>
        <v>6.2512820512820522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104</v>
      </c>
      <c r="B148" s="60">
        <v>279.71794871794873</v>
      </c>
      <c r="C148" s="50">
        <v>8</v>
      </c>
      <c r="D148" s="60">
        <v>45.987179487179482</v>
      </c>
      <c r="E148" s="51">
        <v>0.7</v>
      </c>
      <c r="F148" s="51">
        <v>0</v>
      </c>
      <c r="G148" s="51">
        <v>0</v>
      </c>
      <c r="H148" s="51">
        <v>0.3</v>
      </c>
      <c r="I148" s="57">
        <f t="shared" si="5"/>
        <v>6.071794871794876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114</v>
      </c>
      <c r="B149" s="60">
        <v>293.59615384615381</v>
      </c>
      <c r="C149" s="50">
        <v>9</v>
      </c>
      <c r="D149" s="60">
        <v>42.78846153846154</v>
      </c>
      <c r="E149" s="51">
        <v>0.7</v>
      </c>
      <c r="F149" s="51">
        <v>0</v>
      </c>
      <c r="G149" s="51">
        <v>0</v>
      </c>
      <c r="H149" s="51">
        <v>0.3</v>
      </c>
      <c r="I149" s="57">
        <f t="shared" si="5"/>
        <v>5.9865384615384558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124</v>
      </c>
      <c r="B150" s="60">
        <v>310.96153846153845</v>
      </c>
      <c r="C150" s="50">
        <v>10</v>
      </c>
      <c r="D150" s="60">
        <v>39.820512820512818</v>
      </c>
      <c r="E150" s="51">
        <v>0.7</v>
      </c>
      <c r="F150" s="51">
        <v>0</v>
      </c>
      <c r="G150" s="51">
        <v>0</v>
      </c>
      <c r="H150" s="51">
        <v>0.3</v>
      </c>
      <c r="I150" s="57">
        <f t="shared" si="5"/>
        <v>6.0153846153846189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134</v>
      </c>
      <c r="B151" s="60">
        <v>331.85256410256414</v>
      </c>
      <c r="C151" s="50">
        <v>11</v>
      </c>
      <c r="D151" s="60">
        <v>41.666666666666664</v>
      </c>
      <c r="E151" s="51">
        <v>0.7</v>
      </c>
      <c r="F151" s="51">
        <v>0</v>
      </c>
      <c r="G151" s="51">
        <v>0</v>
      </c>
      <c r="H151" s="51">
        <v>0.3</v>
      </c>
      <c r="I151" s="57">
        <f t="shared" si="5"/>
        <v>6.0711538461538508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144</v>
      </c>
      <c r="B152" s="60">
        <v>351.5641025641026</v>
      </c>
      <c r="C152" s="50">
        <v>12</v>
      </c>
      <c r="D152" s="60">
        <v>42.224358974358978</v>
      </c>
      <c r="E152" s="54">
        <v>0.9</v>
      </c>
      <c r="F152" s="54">
        <v>0</v>
      </c>
      <c r="G152" s="54">
        <v>0</v>
      </c>
      <c r="H152" s="54">
        <v>0.1</v>
      </c>
      <c r="I152" s="57">
        <f t="shared" si="5"/>
        <v>6.1378205128205137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154</v>
      </c>
      <c r="B153" s="60">
        <v>371.83974358974359</v>
      </c>
      <c r="C153" s="50">
        <v>13</v>
      </c>
      <c r="D153" s="60">
        <v>41.557692307692307</v>
      </c>
      <c r="E153" s="54">
        <v>0.9</v>
      </c>
      <c r="F153" s="54">
        <v>0</v>
      </c>
      <c r="G153" s="54">
        <v>0</v>
      </c>
      <c r="H153" s="54">
        <v>0.1</v>
      </c>
      <c r="I153" s="57">
        <f t="shared" si="5"/>
        <v>6.2499999999999947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164</v>
      </c>
      <c r="B154" s="56">
        <v>393.6858974358974</v>
      </c>
      <c r="C154" s="50">
        <v>14</v>
      </c>
      <c r="D154" s="50">
        <v>44.814102564102562</v>
      </c>
      <c r="E154" s="54">
        <v>0.9</v>
      </c>
      <c r="F154" s="54">
        <v>0</v>
      </c>
      <c r="G154" s="54">
        <v>0</v>
      </c>
      <c r="H154" s="54">
        <v>0.1</v>
      </c>
      <c r="I154" s="57">
        <f t="shared" si="5"/>
        <v>6.3403846153846128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>
        <v>174</v>
      </c>
      <c r="B155" s="56">
        <v>413.05128205128204</v>
      </c>
      <c r="C155" s="50">
        <v>15</v>
      </c>
      <c r="D155" s="50">
        <v>162.38461538461539</v>
      </c>
      <c r="E155" s="54">
        <v>0.9</v>
      </c>
      <c r="F155" s="54">
        <v>0</v>
      </c>
      <c r="G155" s="54">
        <v>0</v>
      </c>
      <c r="H155" s="54">
        <v>0.1</v>
      </c>
      <c r="I155" s="57">
        <f t="shared" si="5"/>
        <v>6.4179487179487182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>
        <v>177</v>
      </c>
      <c r="B156" s="56">
        <v>262.96153846153845</v>
      </c>
      <c r="C156" s="50">
        <v>16</v>
      </c>
      <c r="D156" s="50">
        <v>87</v>
      </c>
      <c r="E156" s="54">
        <v>0.9</v>
      </c>
      <c r="F156" s="54">
        <v>0</v>
      </c>
      <c r="G156" s="54">
        <v>0</v>
      </c>
      <c r="H156" s="54">
        <v>0.1</v>
      </c>
      <c r="I156" s="57">
        <f t="shared" si="5"/>
        <v>4.0982905982905988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>
        <v>180</v>
      </c>
      <c r="B157" s="56">
        <v>183.50641025641025</v>
      </c>
      <c r="C157" s="50">
        <v>17</v>
      </c>
      <c r="D157" s="50">
        <v>58.794871794871796</v>
      </c>
      <c r="E157" s="54">
        <v>0.9</v>
      </c>
      <c r="F157" s="54">
        <v>0</v>
      </c>
      <c r="G157" s="54">
        <v>0</v>
      </c>
      <c r="H157" s="54">
        <v>0.1</v>
      </c>
      <c r="I157" s="57">
        <f t="shared" si="5"/>
        <v>2.5149572649572653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>
        <v>183</v>
      </c>
      <c r="B158" s="56">
        <v>129.32692307692307</v>
      </c>
      <c r="C158" s="50">
        <v>18</v>
      </c>
      <c r="D158" s="50">
        <v>129.32692307692307</v>
      </c>
      <c r="E158" s="54">
        <v>0.9</v>
      </c>
      <c r="F158" s="54">
        <v>0</v>
      </c>
      <c r="G158" s="54">
        <v>0</v>
      </c>
      <c r="H158" s="54">
        <v>0.1</v>
      </c>
      <c r="I158" s="57">
        <f t="shared" si="5"/>
        <v>1.5384615384615377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26</v>
      </c>
      <c r="B162" s="52" t="str">
        <f>IF(B14="","",B14)</f>
        <v/>
      </c>
      <c r="D162" s="229" t="s">
        <v>45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46</v>
      </c>
      <c r="C164" s="258" t="s">
        <v>47</v>
      </c>
      <c r="D164" s="258"/>
      <c r="E164" s="259" t="s">
        <v>48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49</v>
      </c>
      <c r="B165" s="36" t="s">
        <v>50</v>
      </c>
      <c r="C165" s="48" t="s">
        <v>51</v>
      </c>
      <c r="D165" s="48" t="s">
        <v>52</v>
      </c>
      <c r="E165" s="36" t="s">
        <v>53</v>
      </c>
      <c r="F165" s="36" t="s">
        <v>54</v>
      </c>
      <c r="G165" s="36" t="s">
        <v>55</v>
      </c>
      <c r="H165" s="36" t="s">
        <v>56</v>
      </c>
      <c r="I165" s="48" t="s">
        <v>57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27</v>
      </c>
      <c r="B188" s="52" t="str">
        <f>IF(B15="","",B15)</f>
        <v/>
      </c>
      <c r="D188" s="229" t="s">
        <v>45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46</v>
      </c>
      <c r="C190" s="258" t="s">
        <v>47</v>
      </c>
      <c r="D190" s="258"/>
      <c r="E190" s="259" t="s">
        <v>48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49</v>
      </c>
      <c r="B191" s="36" t="s">
        <v>50</v>
      </c>
      <c r="C191" s="48" t="s">
        <v>51</v>
      </c>
      <c r="D191" s="48" t="s">
        <v>52</v>
      </c>
      <c r="E191" s="36" t="s">
        <v>53</v>
      </c>
      <c r="F191" s="36" t="s">
        <v>54</v>
      </c>
      <c r="G191" s="36" t="s">
        <v>55</v>
      </c>
      <c r="H191" s="36" t="s">
        <v>56</v>
      </c>
      <c r="I191" s="48" t="s">
        <v>57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28</v>
      </c>
      <c r="B214" s="52" t="str">
        <f>IF(B16="","",B16)</f>
        <v/>
      </c>
      <c r="D214" s="229" t="s">
        <v>45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46</v>
      </c>
      <c r="C216" s="258" t="s">
        <v>47</v>
      </c>
      <c r="D216" s="258"/>
      <c r="E216" s="259" t="s">
        <v>48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49</v>
      </c>
      <c r="B217" s="36" t="s">
        <v>50</v>
      </c>
      <c r="C217" s="48" t="s">
        <v>51</v>
      </c>
      <c r="D217" s="48" t="s">
        <v>52</v>
      </c>
      <c r="E217" s="36" t="s">
        <v>53</v>
      </c>
      <c r="F217" s="36" t="s">
        <v>54</v>
      </c>
      <c r="G217" s="36" t="s">
        <v>55</v>
      </c>
      <c r="H217" s="36" t="s">
        <v>56</v>
      </c>
      <c r="I217" s="48" t="s">
        <v>57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29</v>
      </c>
      <c r="B240" s="52" t="str">
        <f>IF(B17="","",B17)</f>
        <v/>
      </c>
      <c r="D240" s="229" t="s">
        <v>45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46</v>
      </c>
      <c r="C242" s="258" t="s">
        <v>47</v>
      </c>
      <c r="D242" s="258"/>
      <c r="E242" s="259" t="s">
        <v>48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49</v>
      </c>
      <c r="B243" s="36" t="s">
        <v>50</v>
      </c>
      <c r="C243" s="48" t="s">
        <v>51</v>
      </c>
      <c r="D243" s="48" t="s">
        <v>52</v>
      </c>
      <c r="E243" s="36" t="s">
        <v>53</v>
      </c>
      <c r="F243" s="36" t="s">
        <v>54</v>
      </c>
      <c r="G243" s="36" t="s">
        <v>55</v>
      </c>
      <c r="H243" s="36" t="s">
        <v>56</v>
      </c>
      <c r="I243" s="48" t="s">
        <v>57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30</v>
      </c>
      <c r="B266" s="52" t="str">
        <f>IF(B18="","",B18)</f>
        <v/>
      </c>
      <c r="D266" s="229" t="s">
        <v>45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46</v>
      </c>
      <c r="C268" s="258" t="s">
        <v>47</v>
      </c>
      <c r="D268" s="258"/>
      <c r="E268" s="259" t="s">
        <v>48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49</v>
      </c>
      <c r="B269" s="36" t="s">
        <v>50</v>
      </c>
      <c r="C269" s="48" t="s">
        <v>51</v>
      </c>
      <c r="D269" s="48" t="s">
        <v>52</v>
      </c>
      <c r="E269" s="36" t="s">
        <v>53</v>
      </c>
      <c r="F269" s="36" t="s">
        <v>54</v>
      </c>
      <c r="G269" s="36" t="s">
        <v>55</v>
      </c>
      <c r="H269" s="36" t="s">
        <v>56</v>
      </c>
      <c r="I269" s="48" t="s">
        <v>57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="90" zoomScaleNormal="100" workbookViewId="0">
      <selection activeCell="G19" sqref="G1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71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72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73</v>
      </c>
      <c r="C7" s="100" t="s">
        <v>74</v>
      </c>
      <c r="D7" s="215"/>
      <c r="E7" s="101"/>
      <c r="F7" s="26" t="s">
        <v>73</v>
      </c>
      <c r="G7" s="100" t="s">
        <v>75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76</v>
      </c>
      <c r="D8" s="23"/>
      <c r="E8" s="105">
        <v>4</v>
      </c>
      <c r="F8" s="61">
        <v>1</v>
      </c>
      <c r="G8" s="102" t="s">
        <v>77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78</v>
      </c>
      <c r="D9" s="23"/>
      <c r="E9" s="105">
        <v>5</v>
      </c>
      <c r="F9" s="61">
        <v>0</v>
      </c>
      <c r="G9" s="103" t="s">
        <v>79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80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81</v>
      </c>
      <c r="D13" s="216"/>
      <c r="E13" s="99"/>
      <c r="F13" s="107"/>
      <c r="G13" s="98" t="s">
        <v>82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83</v>
      </c>
      <c r="D14" s="216"/>
      <c r="E14" s="99"/>
      <c r="F14" s="107"/>
      <c r="G14" s="98" t="s">
        <v>84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73</v>
      </c>
      <c r="C15" s="4"/>
      <c r="D15" s="23"/>
      <c r="E15" s="4"/>
      <c r="F15" s="4"/>
      <c r="G15" s="2" t="s">
        <v>85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86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87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88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89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Peuplier Koster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rouge d'Amérique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sessile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90</v>
      </c>
      <c r="B2" s="72" t="s">
        <v>91</v>
      </c>
      <c r="C2" s="5" t="s">
        <v>92</v>
      </c>
      <c r="D2" s="5" t="s">
        <v>93</v>
      </c>
      <c r="E2" s="5" t="s">
        <v>94</v>
      </c>
      <c r="F2" s="5" t="s">
        <v>95</v>
      </c>
      <c r="G2" s="5" t="s">
        <v>96</v>
      </c>
      <c r="H2" s="66" t="s">
        <v>97</v>
      </c>
      <c r="I2" s="68" t="s">
        <v>94</v>
      </c>
      <c r="J2" s="69" t="s">
        <v>95</v>
      </c>
      <c r="K2" s="6" t="s">
        <v>98</v>
      </c>
      <c r="L2" s="6" t="s">
        <v>99</v>
      </c>
      <c r="M2" s="6" t="s">
        <v>99</v>
      </c>
      <c r="N2" s="6" t="s">
        <v>100</v>
      </c>
      <c r="O2" s="6" t="s">
        <v>101</v>
      </c>
      <c r="P2" s="6" t="s">
        <v>102</v>
      </c>
      <c r="Q2" s="6" t="s">
        <v>96</v>
      </c>
      <c r="R2" s="6" t="s">
        <v>103</v>
      </c>
      <c r="S2" s="6" t="s">
        <v>104</v>
      </c>
      <c r="T2" s="6" t="s">
        <v>105</v>
      </c>
      <c r="U2" s="7" t="s">
        <v>106</v>
      </c>
      <c r="V2" s="8" t="s">
        <v>107</v>
      </c>
      <c r="W2" s="7" t="s">
        <v>53</v>
      </c>
      <c r="X2" s="7" t="s">
        <v>54</v>
      </c>
      <c r="Y2" s="7" t="s">
        <v>108</v>
      </c>
      <c r="Z2" s="8" t="s">
        <v>109</v>
      </c>
      <c r="AA2" s="8" t="s">
        <v>110</v>
      </c>
      <c r="AB2" s="8" t="s">
        <v>111</v>
      </c>
      <c r="AC2" s="9" t="s">
        <v>112</v>
      </c>
      <c r="AD2" s="69" t="s">
        <v>94</v>
      </c>
      <c r="AE2" s="69" t="s">
        <v>95</v>
      </c>
      <c r="AF2" s="6" t="s">
        <v>98</v>
      </c>
      <c r="AG2" s="6" t="s">
        <v>99</v>
      </c>
      <c r="AH2" s="6" t="s">
        <v>99</v>
      </c>
      <c r="AI2" s="6" t="s">
        <v>100</v>
      </c>
      <c r="AJ2" s="6" t="s">
        <v>101</v>
      </c>
      <c r="AK2" s="6" t="s">
        <v>102</v>
      </c>
      <c r="AL2" s="6" t="s">
        <v>96</v>
      </c>
      <c r="AM2" s="6" t="s">
        <v>103</v>
      </c>
      <c r="AN2" s="6" t="s">
        <v>104</v>
      </c>
      <c r="AO2" s="6" t="s">
        <v>105</v>
      </c>
      <c r="AP2" s="7" t="s">
        <v>106</v>
      </c>
      <c r="AQ2" s="8" t="s">
        <v>107</v>
      </c>
      <c r="AR2" s="7" t="s">
        <v>53</v>
      </c>
      <c r="AS2" s="7" t="s">
        <v>54</v>
      </c>
      <c r="AT2" s="8" t="s">
        <v>113</v>
      </c>
      <c r="AU2" s="8" t="s">
        <v>109</v>
      </c>
      <c r="AV2" s="8" t="s">
        <v>110</v>
      </c>
      <c r="AW2" s="8" t="s">
        <v>111</v>
      </c>
      <c r="AX2" s="8" t="s">
        <v>112</v>
      </c>
      <c r="AY2" s="68" t="s">
        <v>94</v>
      </c>
      <c r="AZ2" s="69" t="s">
        <v>95</v>
      </c>
      <c r="BA2" s="6" t="s">
        <v>98</v>
      </c>
      <c r="BB2" s="6" t="s">
        <v>99</v>
      </c>
      <c r="BC2" s="6" t="s">
        <v>99</v>
      </c>
      <c r="BD2" s="6" t="s">
        <v>100</v>
      </c>
      <c r="BE2" s="6" t="s">
        <v>101</v>
      </c>
      <c r="BF2" s="6" t="s">
        <v>102</v>
      </c>
      <c r="BG2" s="6" t="s">
        <v>96</v>
      </c>
      <c r="BH2" s="6" t="s">
        <v>103</v>
      </c>
      <c r="BI2" s="6" t="s">
        <v>104</v>
      </c>
      <c r="BJ2" s="6" t="s">
        <v>105</v>
      </c>
      <c r="BK2" s="7" t="s">
        <v>106</v>
      </c>
      <c r="BL2" s="8" t="s">
        <v>107</v>
      </c>
      <c r="BM2" s="7" t="s">
        <v>53</v>
      </c>
      <c r="BN2" s="7" t="s">
        <v>54</v>
      </c>
      <c r="BO2" s="8" t="s">
        <v>113</v>
      </c>
      <c r="BP2" s="8" t="s">
        <v>109</v>
      </c>
      <c r="BQ2" s="8" t="s">
        <v>110</v>
      </c>
      <c r="BR2" s="8" t="s">
        <v>111</v>
      </c>
      <c r="BS2" s="9" t="s">
        <v>112</v>
      </c>
      <c r="BT2" s="68" t="s">
        <v>94</v>
      </c>
      <c r="BU2" s="69" t="s">
        <v>95</v>
      </c>
      <c r="BV2" s="6" t="s">
        <v>98</v>
      </c>
      <c r="BW2" s="6" t="s">
        <v>99</v>
      </c>
      <c r="BX2" s="6" t="s">
        <v>99</v>
      </c>
      <c r="BY2" s="6" t="s">
        <v>100</v>
      </c>
      <c r="BZ2" s="6" t="s">
        <v>101</v>
      </c>
      <c r="CA2" s="6" t="s">
        <v>102</v>
      </c>
      <c r="CB2" s="6" t="s">
        <v>96</v>
      </c>
      <c r="CC2" s="6" t="s">
        <v>103</v>
      </c>
      <c r="CD2" s="6" t="s">
        <v>104</v>
      </c>
      <c r="CE2" s="6" t="s">
        <v>105</v>
      </c>
      <c r="CF2" s="7" t="s">
        <v>106</v>
      </c>
      <c r="CG2" s="8" t="s">
        <v>107</v>
      </c>
      <c r="CH2" s="7" t="s">
        <v>53</v>
      </c>
      <c r="CI2" s="7" t="s">
        <v>54</v>
      </c>
      <c r="CJ2" s="8" t="s">
        <v>113</v>
      </c>
      <c r="CK2" s="8" t="s">
        <v>109</v>
      </c>
      <c r="CL2" s="8" t="s">
        <v>110</v>
      </c>
      <c r="CM2" s="8" t="s">
        <v>111</v>
      </c>
      <c r="CN2" s="9" t="s">
        <v>112</v>
      </c>
      <c r="CO2" s="68" t="s">
        <v>94</v>
      </c>
      <c r="CP2" s="69" t="s">
        <v>95</v>
      </c>
      <c r="CQ2" s="6" t="s">
        <v>98</v>
      </c>
      <c r="CR2" s="6" t="s">
        <v>99</v>
      </c>
      <c r="CS2" s="6" t="s">
        <v>99</v>
      </c>
      <c r="CT2" s="6" t="s">
        <v>100</v>
      </c>
      <c r="CU2" s="6" t="s">
        <v>101</v>
      </c>
      <c r="CV2" s="6" t="s">
        <v>102</v>
      </c>
      <c r="CW2" s="6" t="s">
        <v>96</v>
      </c>
      <c r="CX2" s="6" t="s">
        <v>103</v>
      </c>
      <c r="CY2" s="6" t="s">
        <v>104</v>
      </c>
      <c r="CZ2" s="6" t="s">
        <v>105</v>
      </c>
      <c r="DA2" s="7" t="s">
        <v>106</v>
      </c>
      <c r="DB2" s="8" t="s">
        <v>107</v>
      </c>
      <c r="DC2" s="7" t="s">
        <v>53</v>
      </c>
      <c r="DD2" s="7" t="s">
        <v>54</v>
      </c>
      <c r="DE2" s="8" t="s">
        <v>113</v>
      </c>
      <c r="DF2" s="8" t="s">
        <v>109</v>
      </c>
      <c r="DG2" s="8" t="s">
        <v>110</v>
      </c>
      <c r="DH2" s="8" t="s">
        <v>111</v>
      </c>
      <c r="DI2" s="9" t="s">
        <v>112</v>
      </c>
      <c r="DJ2" s="68" t="s">
        <v>94</v>
      </c>
      <c r="DK2" s="69" t="s">
        <v>95</v>
      </c>
      <c r="DL2" s="6" t="s">
        <v>98</v>
      </c>
      <c r="DM2" s="6" t="s">
        <v>99</v>
      </c>
      <c r="DN2" s="6" t="s">
        <v>99</v>
      </c>
      <c r="DO2" s="6" t="s">
        <v>100</v>
      </c>
      <c r="DP2" s="6" t="s">
        <v>101</v>
      </c>
      <c r="DQ2" s="6" t="s">
        <v>102</v>
      </c>
      <c r="DR2" s="6" t="s">
        <v>96</v>
      </c>
      <c r="DS2" s="6" t="s">
        <v>103</v>
      </c>
      <c r="DT2" s="6" t="s">
        <v>104</v>
      </c>
      <c r="DU2" s="6" t="s">
        <v>105</v>
      </c>
      <c r="DV2" s="7" t="s">
        <v>106</v>
      </c>
      <c r="DW2" s="8" t="s">
        <v>107</v>
      </c>
      <c r="DX2" s="7" t="s">
        <v>53</v>
      </c>
      <c r="DY2" s="7" t="s">
        <v>54</v>
      </c>
      <c r="DZ2" s="8" t="s">
        <v>113</v>
      </c>
      <c r="EA2" s="8" t="s">
        <v>109</v>
      </c>
      <c r="EB2" s="8" t="s">
        <v>110</v>
      </c>
      <c r="EC2" s="8" t="s">
        <v>111</v>
      </c>
      <c r="ED2" s="9" t="s">
        <v>112</v>
      </c>
      <c r="EE2" s="68" t="s">
        <v>94</v>
      </c>
      <c r="EF2" s="69" t="s">
        <v>95</v>
      </c>
      <c r="EG2" s="6" t="s">
        <v>98</v>
      </c>
      <c r="EH2" s="6" t="s">
        <v>99</v>
      </c>
      <c r="EI2" s="6" t="s">
        <v>99</v>
      </c>
      <c r="EJ2" s="6" t="s">
        <v>100</v>
      </c>
      <c r="EK2" s="6" t="s">
        <v>101</v>
      </c>
      <c r="EL2" s="6" t="s">
        <v>102</v>
      </c>
      <c r="EM2" s="6" t="s">
        <v>96</v>
      </c>
      <c r="EN2" s="6" t="s">
        <v>103</v>
      </c>
      <c r="EO2" s="6" t="s">
        <v>104</v>
      </c>
      <c r="EP2" s="6" t="s">
        <v>105</v>
      </c>
      <c r="EQ2" s="7" t="s">
        <v>106</v>
      </c>
      <c r="ER2" s="8" t="s">
        <v>107</v>
      </c>
      <c r="ES2" s="7" t="s">
        <v>53</v>
      </c>
      <c r="ET2" s="7" t="s">
        <v>54</v>
      </c>
      <c r="EU2" s="8" t="s">
        <v>113</v>
      </c>
      <c r="EV2" s="8" t="s">
        <v>109</v>
      </c>
      <c r="EW2" s="8" t="s">
        <v>110</v>
      </c>
      <c r="EX2" s="8" t="s">
        <v>111</v>
      </c>
      <c r="EY2" s="9" t="s">
        <v>112</v>
      </c>
      <c r="EZ2" s="68" t="s">
        <v>94</v>
      </c>
      <c r="FA2" s="69" t="s">
        <v>95</v>
      </c>
      <c r="FB2" s="6" t="s">
        <v>98</v>
      </c>
      <c r="FC2" s="6" t="s">
        <v>99</v>
      </c>
      <c r="FD2" s="6" t="s">
        <v>99</v>
      </c>
      <c r="FE2" s="6" t="s">
        <v>100</v>
      </c>
      <c r="FF2" s="6" t="s">
        <v>101</v>
      </c>
      <c r="FG2" s="6" t="s">
        <v>102</v>
      </c>
      <c r="FH2" s="6" t="s">
        <v>96</v>
      </c>
      <c r="FI2" s="6" t="s">
        <v>103</v>
      </c>
      <c r="FJ2" s="6" t="s">
        <v>104</v>
      </c>
      <c r="FK2" s="6" t="s">
        <v>105</v>
      </c>
      <c r="FL2" s="7" t="s">
        <v>106</v>
      </c>
      <c r="FM2" s="8" t="s">
        <v>107</v>
      </c>
      <c r="FN2" s="7" t="s">
        <v>53</v>
      </c>
      <c r="FO2" s="7" t="s">
        <v>54</v>
      </c>
      <c r="FP2" s="8" t="s">
        <v>114</v>
      </c>
      <c r="FQ2" s="8" t="s">
        <v>109</v>
      </c>
      <c r="FR2" s="8" t="s">
        <v>110</v>
      </c>
      <c r="FS2" s="8" t="s">
        <v>111</v>
      </c>
      <c r="FT2" s="9" t="s">
        <v>112</v>
      </c>
      <c r="FU2" s="68" t="s">
        <v>94</v>
      </c>
      <c r="FV2" s="69" t="s">
        <v>95</v>
      </c>
      <c r="FW2" s="6" t="s">
        <v>98</v>
      </c>
      <c r="FX2" s="6" t="s">
        <v>99</v>
      </c>
      <c r="FY2" s="6" t="s">
        <v>99</v>
      </c>
      <c r="FZ2" s="6" t="s">
        <v>100</v>
      </c>
      <c r="GA2" s="6" t="s">
        <v>101</v>
      </c>
      <c r="GB2" s="6" t="s">
        <v>102</v>
      </c>
      <c r="GC2" s="6" t="s">
        <v>96</v>
      </c>
      <c r="GD2" s="6" t="s">
        <v>103</v>
      </c>
      <c r="GE2" s="6" t="s">
        <v>104</v>
      </c>
      <c r="GF2" s="6" t="s">
        <v>105</v>
      </c>
      <c r="GG2" s="7" t="s">
        <v>106</v>
      </c>
      <c r="GH2" s="8" t="s">
        <v>107</v>
      </c>
      <c r="GI2" s="7" t="s">
        <v>53</v>
      </c>
      <c r="GJ2" s="7" t="s">
        <v>54</v>
      </c>
      <c r="GK2" s="8" t="s">
        <v>113</v>
      </c>
      <c r="GL2" s="8" t="s">
        <v>109</v>
      </c>
      <c r="GM2" s="8" t="s">
        <v>110</v>
      </c>
      <c r="GN2" s="8" t="s">
        <v>111</v>
      </c>
      <c r="GO2" s="8" t="s">
        <v>112</v>
      </c>
      <c r="GP2" s="68" t="s">
        <v>94</v>
      </c>
      <c r="GQ2" s="69" t="s">
        <v>95</v>
      </c>
      <c r="GR2" s="6" t="s">
        <v>98</v>
      </c>
      <c r="GS2" s="6" t="s">
        <v>99</v>
      </c>
      <c r="GT2" s="6" t="s">
        <v>99</v>
      </c>
      <c r="GU2" s="6" t="s">
        <v>100</v>
      </c>
      <c r="GV2" s="6" t="s">
        <v>101</v>
      </c>
      <c r="GW2" s="6" t="s">
        <v>102</v>
      </c>
      <c r="GX2" s="6" t="s">
        <v>96</v>
      </c>
      <c r="GY2" s="6" t="s">
        <v>103</v>
      </c>
      <c r="GZ2" s="6" t="s">
        <v>104</v>
      </c>
      <c r="HA2" s="6" t="s">
        <v>105</v>
      </c>
      <c r="HB2" s="7" t="s">
        <v>106</v>
      </c>
      <c r="HC2" s="8" t="s">
        <v>107</v>
      </c>
      <c r="HD2" s="7" t="s">
        <v>53</v>
      </c>
      <c r="HE2" s="7" t="s">
        <v>54</v>
      </c>
      <c r="HF2" s="8" t="s">
        <v>113</v>
      </c>
      <c r="HG2" s="8" t="s">
        <v>109</v>
      </c>
      <c r="HH2" s="8" t="s">
        <v>110</v>
      </c>
      <c r="HI2" s="8" t="s">
        <v>111</v>
      </c>
      <c r="HJ2" s="9" t="s">
        <v>112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200.15574321350221</v>
      </c>
      <c r="T3" s="59">
        <f>IF('Données projet'!E9&gt;30,$R$33-$H$33,LOOKUP('Données projet'!$E$9,$A$3:$A$203,R3:R203)-LOOKUP('Données projet'!$E$9,$A$3:$A$203,$H$3:$H$203))</f>
        <v>200.70728852570426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45.407317338461951</v>
      </c>
      <c r="AO3" s="59">
        <f>IF('Données projet'!E10&gt;30,$AM$33-$H$33,LOOKUP('Données projet'!$E$10,$A$3:$A$203,AM3:AM203)-LOOKUP('Données projet'!$E$10,$A$3:$A$203,$H$3:$H$203))</f>
        <v>149.88701606165358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183.67580045784649</v>
      </c>
      <c r="BJ3" s="59">
        <f>IF('Données projet'!E11&gt;30,$BH$33-$H$33,LOOKUP('Données projet'!$E$11,$A$3:$A$203,BH3:BH203)-LOOKUP('Données projet'!$E$11,$A$3:$A$203,$H$3:$H$203))</f>
        <v>121.08269345608767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216.10252108537389</v>
      </c>
      <c r="CE3" s="59">
        <f>IF('Données projet'!E12&gt;30,$CC$33-$H$33,LOOKUP('Données projet'!$E$12,$A$3:$A$203,CC3:CC203)-LOOKUP('Données projet'!$E$12,$A$3:$A$203,$H$3:$H$203))</f>
        <v>196.91968622092054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318.01858325056168</v>
      </c>
      <c r="CZ3" s="59">
        <f>IF('Données projet'!E13&gt;30,$CX$33-$H$33,LOOKUP('Données projet'!$E$13,$A$3:$A$203,CX3:CX203)-LOOKUP('Données projet'!$E$13,$A$3:$A$203,$H$3:$H$203))</f>
        <v>119.46953274700951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0.46799999999999997</v>
      </c>
      <c r="D4" s="11">
        <f>IFERROR(EXP(-1.0587+0.8836*LN(C4)+0.284),0)</f>
        <v>0.23560326283967137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5.431323432446586</v>
      </c>
      <c r="H4" s="67">
        <f t="shared" ref="H4:H67" si="1">(B4+E4+F4)*44/12+(C4+D4)*0.475*44/12</f>
        <v>294.55877568277907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7.4312217194570129</v>
      </c>
      <c r="N4" s="13">
        <f>IF('Données projet'!$A$36&gt;35,N3+M4-V3,IF(A4&lt;'Données projet'!$A$36,$K$205^A4,IF(A4='Données projet'!$A$36,'Données projet'!$B$36,N3+M4-V3)))</f>
        <v>1.3292852468636394</v>
      </c>
      <c r="O4" s="13">
        <f>N4*VLOOKUP('Données projet'!$B$9,Paramètres!$A$1:$I$89,3,0)*VLOOKUP('Données projet'!$B$9,Paramètres!$A$1:$I$89,5,0)</f>
        <v>0.79491257762445644</v>
      </c>
      <c r="P4" s="13">
        <f>EXP(-1.0587+0.8836*LN(O4)+0.284)</f>
        <v>0.37624805113513943</v>
      </c>
      <c r="Q4" s="20">
        <f t="shared" ref="Q4:Q34" si="2">(O4+P4)*0.475*44/12</f>
        <v>2.0397714284229629</v>
      </c>
      <c r="R4" s="59">
        <f t="shared" si="0"/>
        <v>295.37310476175628</v>
      </c>
      <c r="S4" s="59">
        <f ca="1">AVERAGE(OFFSET($R$3,0,0,'Données projet'!$E$9+1,1))-AVERAGE(OFFSET($H$3,0,0,'Données projet'!$E$9+1,1))</f>
        <v>200.15574321350221</v>
      </c>
      <c r="T4" s="59">
        <f>$T$3</f>
        <v>200.70728852570426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9.2551282051282546E-2</v>
      </c>
      <c r="AI4" s="13">
        <f>IF('Données projet'!$A$62&gt;35,AI3+AH4-AQ3,IF(A4&lt;'Données projet'!$A$62,$AF$205^A4,IF(A4='Données projet'!$A$62,'Données projet'!$B$62,AI3+AH4-AQ3)))</f>
        <v>0.85717695908485014</v>
      </c>
      <c r="AJ4" s="13">
        <f>AI4*VLOOKUP('Données projet'!$B$10,Paramètres!$A$1:$I$89,3,0)*VLOOKUP('Données projet'!$B$10,Paramètres!$A$1:$I$89,5,0)</f>
        <v>0.43592591431219141</v>
      </c>
      <c r="AK4" s="13">
        <f>EXP(-1.0587+0.8836*LN(AJ4)+0.284)</f>
        <v>0.22127742820140189</v>
      </c>
      <c r="AL4" s="20">
        <f t="shared" ref="AL4:AL67" si="4">(AJ4+AK4)*0.475*44/12</f>
        <v>1.1446291548778416</v>
      </c>
      <c r="AM4" s="59">
        <f t="shared" ref="AM4:AM67" si="5">AL4+(AD4+AE4)*44/12</f>
        <v>294.47796248821118</v>
      </c>
      <c r="AN4" s="59">
        <f ca="1">AVERAGE(OFFSET($AM$3,0,0,'Données projet'!$E$10+1,1))-AVERAGE(OFFSET($H$3,0,0,'Données projet'!$E$10+1,1))</f>
        <v>45.407317338461951</v>
      </c>
      <c r="AO4" s="59">
        <f>$AO$3</f>
        <v>149.88701606165358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4.9084615384615384</v>
      </c>
      <c r="BD4" s="12">
        <f>IF('Données projet'!$A$88&gt;35,BD3+BC4-BL3,IF(A4&lt;'Données projet'!$A$88,$BA$205^A4,IF(A4='Données projet'!$A$88,'Données projet'!$B$88,BD3+BC4-BL3)))</f>
        <v>1.1810516433311786</v>
      </c>
      <c r="BE4" s="13">
        <f>BD4*VLOOKUP('Données projet'!$B$11,Paramètres!$A$1:$I$89,3,0)*VLOOKUP('Données projet'!$B$11,Paramètres!$A$1:$I$89,5,0)</f>
        <v>0.55273216907899159</v>
      </c>
      <c r="BF4" s="13">
        <f>EXP(-1.0587+0.8836*LN(BE4)+0.284)</f>
        <v>0.27292171413945432</v>
      </c>
      <c r="BG4" s="20">
        <f t="shared" ref="BG4:BG67" si="7">(BE4+BF4)*0.475*44/12</f>
        <v>1.4380138466054599</v>
      </c>
      <c r="BH4" s="59">
        <f t="shared" ref="BH4:BH67" si="8">BG4+(AY4+AZ4)*44/12</f>
        <v>294.7713471799388</v>
      </c>
      <c r="BI4" s="59">
        <f ca="1">AVERAGE(OFFSET($BH$3,0,0,'Données projet'!$E$11+1,1))-AVERAGE(OFFSET($H$3,0,0,'Données projet'!$E$11+1,1))</f>
        <v>183.67580045784649</v>
      </c>
      <c r="BJ4" s="59">
        <f>$BJ$3</f>
        <v>121.08269345608767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1.8</v>
      </c>
      <c r="BY4" s="12">
        <f>IF('Données projet'!$A$114&gt;35,BY3+BX4-CG3,IF(A4&lt;'Données projet'!$A$114,$BV$205^A4,IF(A4='Données projet'!$A$114,'Données projet'!$B$114,BY3+BX4-CG3)))</f>
        <v>1.335141362540313</v>
      </c>
      <c r="BZ4" s="13">
        <f>BY4*VLOOKUP('Données projet'!$B$12,Paramètres!$A$1:$I$89,3,0)*VLOOKUP('Données projet'!$B$12,Paramètres!$A$1:$I$89,5,0)</f>
        <v>1.1663794943152175</v>
      </c>
      <c r="CA4" s="13">
        <f>EXP(-1.0587+0.8836*LN(BZ4)+0.284)</f>
        <v>0.52797307958445927</v>
      </c>
      <c r="CB4" s="20">
        <f t="shared" ref="CB4:CB67" si="10">(BZ4+CA4)*0.475*44/12</f>
        <v>2.9509973995419365</v>
      </c>
      <c r="CC4" s="59">
        <f t="shared" ref="CC4:CC67" si="11">CB4+(BT4+BU4)*44/12</f>
        <v>296.28433073287528</v>
      </c>
      <c r="CD4" s="59">
        <f ca="1">AVERAGE(OFFSET($CC$3,0,0,'Données projet'!$E$12+1,1))-AVERAGE(OFFSET($H$3,0,0,'Données projet'!$E$12+1,1))</f>
        <v>216.10252108537389</v>
      </c>
      <c r="CE4" s="59">
        <f>$CE$3</f>
        <v>196.91968622092054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2.5115384615384619</v>
      </c>
      <c r="CT4" s="12">
        <f>IF('Données projet'!$A$140&gt;35,CT3+CS4-DB3,IF(A4&lt;'Données projet'!$A$140,$CQ$205^A4,IF(A4='Données projet'!$A$140,'Données projet'!$B$140,CT3+CS4-DB3)))</f>
        <v>1.1549646791274306</v>
      </c>
      <c r="CU4" s="17">
        <f>CT4*VLOOKUP('Données projet'!$B$13,Paramètres!$A$1:$I$89,3,0)*VLOOKUP('Données projet'!$B$13,Paramètres!$A$1:$I$89,5,0)</f>
        <v>1.0450120416744992</v>
      </c>
      <c r="CV4" s="13">
        <f>EXP(-1.0587+0.8836*LN(CU4)+0.284)</f>
        <v>0.47912368577044179</v>
      </c>
      <c r="CW4" s="20">
        <f t="shared" ref="CW4:CW67" si="13">(CU4+CV4)*0.475*44/12</f>
        <v>2.6545363919666056</v>
      </c>
      <c r="CX4" s="59">
        <f t="shared" ref="CX4:CX67" si="14">CW4+(CO4+CP4)*44/12</f>
        <v>295.9878697252999</v>
      </c>
      <c r="CY4" s="59">
        <f ca="1">AVERAGE(OFFSET($CX$3,0,0,'Données projet'!$E$13+1,1))-AVERAGE(OFFSET($H$3,0,0,'Données projet'!$E$13+1,1))</f>
        <v>318.01858325056168</v>
      </c>
      <c r="CZ4" s="59">
        <f>$CZ$3</f>
        <v>119.46953274700951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0.93599999999999994</v>
      </c>
      <c r="D5" s="11">
        <f t="shared" ref="D5:D68" si="32">IFERROR(EXP(-1.0587+0.8836*LN(C5)+0.284),0)</f>
        <v>0.43468174797979486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10.58070121247561</v>
      </c>
      <c r="H5" s="67">
        <f t="shared" si="1"/>
        <v>295.7206040443981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7.4312217194570129</v>
      </c>
      <c r="N5" s="13">
        <f>IF('Données projet'!$A$36&gt;35,N4+M5-V4,IF(A5&lt;'Données projet'!$A$36,$K$205^A5,IF(A5='Données projet'!$A$36,'Données projet'!$B$36,N4+M5-V4)))</f>
        <v>1.7669992675293267</v>
      </c>
      <c r="O5" s="13">
        <f>N5*VLOOKUP('Données projet'!$B$9,Paramètres!$A$1:$I$89,3,0)*VLOOKUP('Données projet'!$B$9,Paramètres!$A$1:$I$89,5,0)</f>
        <v>1.0566655619825374</v>
      </c>
      <c r="P5" s="13">
        <f t="shared" ref="P5:P68" si="33">EXP(-1.0587+0.8836*LN(O5)+0.284)</f>
        <v>0.48384169076702271</v>
      </c>
      <c r="Q5" s="20">
        <f t="shared" si="2"/>
        <v>2.6830501318721502</v>
      </c>
      <c r="R5" s="59">
        <f t="shared" si="0"/>
        <v>296.01638346520548</v>
      </c>
      <c r="S5" s="59">
        <f ca="1">AVERAGE(OFFSET($R$3,0,0,'Données projet'!$E$9+1,1))-AVERAGE(OFFSET($H$3,0,0,'Données projet'!$E$9+1,1))</f>
        <v>200.15574321350221</v>
      </c>
      <c r="T5" s="59">
        <f t="shared" ref="T5:T68" si="34">$T$3</f>
        <v>200.70728852570426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9.2551282051282546E-2</v>
      </c>
      <c r="AI5" s="13">
        <f>IF('Données projet'!$A$62&gt;35,AI4+AH5-AQ4,IF(A5&lt;'Données projet'!$A$62,$AF$205^A5,IF(A5='Données projet'!$A$62,'Données projet'!$B$62,AI4+AH5-AQ4)))</f>
        <v>0.73475233918595084</v>
      </c>
      <c r="AJ5" s="13">
        <f>AI5*VLOOKUP('Données projet'!$B$10,Paramètres!$A$1:$I$89,3,0)*VLOOKUP('Données projet'!$B$10,Paramètres!$A$1:$I$89,5,0)</f>
        <v>0.37366564961640719</v>
      </c>
      <c r="AK5" s="13">
        <f t="shared" ref="AK5:AK68" si="35">EXP(-1.0587+0.8836*LN(AJ5)+0.284)</f>
        <v>0.19310708095282603</v>
      </c>
      <c r="AL5" s="20">
        <f t="shared" si="4"/>
        <v>0.98712917240808107</v>
      </c>
      <c r="AM5" s="59">
        <f t="shared" si="5"/>
        <v>294.32046250574138</v>
      </c>
      <c r="AN5" s="59">
        <f ca="1">AVERAGE(OFFSET($AM$3,0,0,'Données projet'!$E$10+1,1))-AVERAGE(OFFSET($H$3,0,0,'Données projet'!$E$10+1,1))</f>
        <v>45.407317338461951</v>
      </c>
      <c r="AO5" s="59">
        <f t="shared" ref="AO5:AO68" si="36">$AO$3</f>
        <v>149.88701606165358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4.9084615384615384</v>
      </c>
      <c r="BD5" s="12">
        <f>IF('Données projet'!$A$88&gt;35,BD4+BC5-BL4,IF(A5&lt;'Données projet'!$A$88,$BA$205^A5,IF(A5='Données projet'!$A$88,'Données projet'!$B$88,BD4+BC5-BL4)))</f>
        <v>1.3948829842152777</v>
      </c>
      <c r="BE5" s="13">
        <f>BD5*VLOOKUP('Données projet'!$B$11,Paramètres!$A$1:$I$89,3,0)*VLOOKUP('Données projet'!$B$11,Paramètres!$A$1:$I$89,5,0)</f>
        <v>0.65280523661274992</v>
      </c>
      <c r="BF5" s="13">
        <f t="shared" ref="BF5:BF68" si="37">EXP(-1.0587+0.8836*LN(BE5)+0.284)</f>
        <v>0.31615123301372139</v>
      </c>
      <c r="BG5" s="20">
        <f t="shared" si="7"/>
        <v>1.6875991845994376</v>
      </c>
      <c r="BH5" s="59">
        <f t="shared" si="8"/>
        <v>295.02093251793275</v>
      </c>
      <c r="BI5" s="59">
        <f ca="1">AVERAGE(OFFSET($BH$3,0,0,'Données projet'!$E$11+1,1))-AVERAGE(OFFSET($H$3,0,0,'Données projet'!$E$11+1,1))</f>
        <v>183.67580045784649</v>
      </c>
      <c r="BJ5" s="59">
        <f t="shared" ref="BJ5:BJ68" si="38">$BJ$3</f>
        <v>121.08269345608767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1.8</v>
      </c>
      <c r="BY5" s="12">
        <f>IF('Données projet'!$A$114&gt;35,BY4+BX5-CG4,IF(A5&lt;'Données projet'!$A$114,$BV$205^A5,IF(A5='Données projet'!$A$114,'Données projet'!$B$114,BY4+BX5-CG4)))</f>
        <v>1.7826024579660036</v>
      </c>
      <c r="BZ5" s="13">
        <f>BY5*VLOOKUP('Données projet'!$B$12,Paramètres!$A$1:$I$89,3,0)*VLOOKUP('Données projet'!$B$12,Paramètres!$A$1:$I$89,5,0)</f>
        <v>1.5572815072791011</v>
      </c>
      <c r="CA5" s="13">
        <f t="shared" ref="CA5:CA68" si="39">EXP(-1.0587+0.8836*LN(BZ5)+0.284)</f>
        <v>0.68159698037116012</v>
      </c>
      <c r="CB5" s="20">
        <f t="shared" si="10"/>
        <v>3.8993800326575379</v>
      </c>
      <c r="CC5" s="59">
        <f t="shared" si="11"/>
        <v>297.23271336599083</v>
      </c>
      <c r="CD5" s="59">
        <f ca="1">AVERAGE(OFFSET($CC$3,0,0,'Données projet'!$E$12+1,1))-AVERAGE(OFFSET($H$3,0,0,'Données projet'!$E$12+1,1))</f>
        <v>216.10252108537389</v>
      </c>
      <c r="CE5" s="59">
        <f t="shared" ref="CE5:CE68" si="40">$CE$3</f>
        <v>196.91968622092054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2.5115384615384619</v>
      </c>
      <c r="CT5" s="12">
        <f>IF('Données projet'!$A$140&gt;35,CT4+CS5-DB4,IF(A5&lt;'Données projet'!$A$140,$CQ$205^A5,IF(A5='Données projet'!$A$140,'Données projet'!$B$140,CT4+CS5-DB4)))</f>
        <v>1.3339434100319287</v>
      </c>
      <c r="CU5" s="17">
        <f>CT5*VLOOKUP('Données projet'!$B$13,Paramètres!$A$1:$I$89,3,0)*VLOOKUP('Données projet'!$B$13,Paramètres!$A$1:$I$89,5,0)</f>
        <v>1.206951997396889</v>
      </c>
      <c r="CV5" s="13">
        <f t="shared" ref="CV5:CV68" si="41">EXP(-1.0587+0.8836*LN(CU5)+0.284)</f>
        <v>0.54416843549744709</v>
      </c>
      <c r="CW5" s="20">
        <f t="shared" si="13"/>
        <v>3.0498680872909687</v>
      </c>
      <c r="CX5" s="59">
        <f t="shared" si="14"/>
        <v>296.38320142062429</v>
      </c>
      <c r="CY5" s="59">
        <f ca="1">AVERAGE(OFFSET($CX$3,0,0,'Données projet'!$E$13+1,1))-AVERAGE(OFFSET($H$3,0,0,'Données projet'!$E$13+1,1))</f>
        <v>318.01858325056168</v>
      </c>
      <c r="CZ5" s="59">
        <f t="shared" ref="CZ5:CZ68" si="42">$CZ$3</f>
        <v>119.46953274700951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1.4039999999999999</v>
      </c>
      <c r="D6" s="11">
        <f t="shared" si="32"/>
        <v>0.62196456335211292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15.639024699560167</v>
      </c>
      <c r="H6" s="67">
        <f t="shared" si="1"/>
        <v>296.86188828117156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7.4312217194570129</v>
      </c>
      <c r="N6" s="13">
        <f>IF('Données projet'!$A$36&gt;35,N5+M6-V5,IF(A6&lt;'Données projet'!$A$36,$K$205^A6,IF(A6='Données projet'!$A$36,'Données projet'!$B$36,N5+M6-V5)))</f>
        <v>2.3488460575455909</v>
      </c>
      <c r="O6" s="13">
        <f>N6*VLOOKUP('Données projet'!$B$9,Paramètres!$A$1:$I$89,3,0)*VLOOKUP('Données projet'!$B$9,Paramètres!$A$1:$I$89,5,0)</f>
        <v>1.4046099424122636</v>
      </c>
      <c r="P6" s="13">
        <f t="shared" si="33"/>
        <v>0.62220330714804695</v>
      </c>
      <c r="Q6" s="20">
        <f t="shared" si="2"/>
        <v>3.5300330763175403</v>
      </c>
      <c r="R6" s="59">
        <f t="shared" si="0"/>
        <v>296.86336640965084</v>
      </c>
      <c r="S6" s="59">
        <f ca="1">AVERAGE(OFFSET($R$3,0,0,'Données projet'!$E$9+1,1))-AVERAGE(OFFSET($H$3,0,0,'Données projet'!$E$9+1,1))</f>
        <v>200.15574321350221</v>
      </c>
      <c r="T6" s="59">
        <f t="shared" si="34"/>
        <v>200.70728852570426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9.2551282051282546E-2</v>
      </c>
      <c r="AI6" s="13">
        <f>IF('Données projet'!$A$62&gt;35,AI5+AH6-AQ5,IF(A6&lt;'Données projet'!$A$62,$AF$205^A6,IF(A6='Données projet'!$A$62,'Données projet'!$B$62,AI5+AH6-AQ5)))</f>
        <v>0.62981277578389372</v>
      </c>
      <c r="AJ6" s="13">
        <f>AI6*VLOOKUP('Données projet'!$B$10,Paramètres!$A$1:$I$89,3,0)*VLOOKUP('Données projet'!$B$10,Paramètres!$A$1:$I$89,5,0)</f>
        <v>0.320297585252657</v>
      </c>
      <c r="AK6" s="13">
        <f t="shared" si="35"/>
        <v>0.16852303923281522</v>
      </c>
      <c r="AL6" s="20">
        <f t="shared" si="4"/>
        <v>0.85136258764553074</v>
      </c>
      <c r="AM6" s="59">
        <f t="shared" si="5"/>
        <v>294.18469592097887</v>
      </c>
      <c r="AN6" s="59">
        <f ca="1">AVERAGE(OFFSET($AM$3,0,0,'Données projet'!$E$10+1,1))-AVERAGE(OFFSET($H$3,0,0,'Données projet'!$E$10+1,1))</f>
        <v>45.407317338461951</v>
      </c>
      <c r="AO6" s="59">
        <f t="shared" si="36"/>
        <v>149.88701606165358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4.9084615384615384</v>
      </c>
      <c r="BD6" s="12">
        <f>IF('Données projet'!$A$88&gt;35,BD5+BC6-BL5,IF(A6&lt;'Données projet'!$A$88,$BA$205^A6,IF(A6='Données projet'!$A$88,'Données projet'!$B$88,BD5+BC6-BL5)))</f>
        <v>1.6474288407621522</v>
      </c>
      <c r="BE6" s="13">
        <f>BD6*VLOOKUP('Données projet'!$B$11,Paramètres!$A$1:$I$89,3,0)*VLOOKUP('Données projet'!$B$11,Paramètres!$A$1:$I$89,5,0)</f>
        <v>0.7709966974766872</v>
      </c>
      <c r="BF6" s="13">
        <f t="shared" si="37"/>
        <v>0.36622810482944673</v>
      </c>
      <c r="BG6" s="20">
        <f t="shared" si="7"/>
        <v>1.9806665306831832</v>
      </c>
      <c r="BH6" s="59">
        <f t="shared" si="8"/>
        <v>295.31399986401652</v>
      </c>
      <c r="BI6" s="59">
        <f ca="1">AVERAGE(OFFSET($BH$3,0,0,'Données projet'!$E$11+1,1))-AVERAGE(OFFSET($H$3,0,0,'Données projet'!$E$11+1,1))</f>
        <v>183.67580045784649</v>
      </c>
      <c r="BJ6" s="59">
        <f t="shared" si="38"/>
        <v>121.08269345608767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1.8</v>
      </c>
      <c r="BY6" s="12">
        <f>IF('Données projet'!$A$114&gt;35,BY5+BX6-CG5,IF(A6&lt;'Données projet'!$A$114,$BV$205^A6,IF(A6='Données projet'!$A$114,'Données projet'!$B$114,BY5+BX6-CG5)))</f>
        <v>2.3800262745964411</v>
      </c>
      <c r="BZ6" s="13">
        <f>BY6*VLOOKUP('Données projet'!$B$12,Paramètres!$A$1:$I$89,3,0)*VLOOKUP('Données projet'!$B$12,Paramètres!$A$1:$I$89,5,0)</f>
        <v>2.0791909534874513</v>
      </c>
      <c r="CA6" s="13">
        <f t="shared" si="39"/>
        <v>0.87992070356451979</v>
      </c>
      <c r="CB6" s="20">
        <f t="shared" si="10"/>
        <v>5.1537861360321822</v>
      </c>
      <c r="CC6" s="59">
        <f t="shared" si="11"/>
        <v>298.4871194693655</v>
      </c>
      <c r="CD6" s="59">
        <f ca="1">AVERAGE(OFFSET($CC$3,0,0,'Données projet'!$E$12+1,1))-AVERAGE(OFFSET($H$3,0,0,'Données projet'!$E$12+1,1))</f>
        <v>216.10252108537389</v>
      </c>
      <c r="CE6" s="59">
        <f t="shared" si="40"/>
        <v>196.91968622092054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2.5115384615384619</v>
      </c>
      <c r="CT6" s="12">
        <f>IF('Données projet'!$A$140&gt;35,CT5+CS6-DB5,IF(A6&lt;'Données projet'!$A$140,$CQ$205^A6,IF(A6='Données projet'!$A$140,'Données projet'!$B$140,CT5+CS6-DB5)))</f>
        <v>1.5406575225416772</v>
      </c>
      <c r="CU6" s="17">
        <f>CT6*VLOOKUP('Données projet'!$B$13,Paramètres!$A$1:$I$89,3,0)*VLOOKUP('Données projet'!$B$13,Paramètres!$A$1:$I$89,5,0)</f>
        <v>1.3939869263957094</v>
      </c>
      <c r="CV6" s="13">
        <f t="shared" si="41"/>
        <v>0.6180435135774448</v>
      </c>
      <c r="CW6" s="20">
        <f t="shared" si="13"/>
        <v>3.5042863496199099</v>
      </c>
      <c r="CX6" s="59">
        <f t="shared" si="14"/>
        <v>296.83761968295323</v>
      </c>
      <c r="CY6" s="59">
        <f ca="1">AVERAGE(OFFSET($CX$3,0,0,'Données projet'!$E$13+1,1))-AVERAGE(OFFSET($H$3,0,0,'Données projet'!$E$13+1,1))</f>
        <v>318.01858325056168</v>
      </c>
      <c r="CZ6" s="59">
        <f t="shared" si="42"/>
        <v>119.46953274700951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1.8719999999999999</v>
      </c>
      <c r="D7" s="11">
        <f t="shared" si="32"/>
        <v>0.80197625342459555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20.641220201874074</v>
      </c>
      <c r="H7" s="67">
        <f t="shared" si="1"/>
        <v>297.99050864138115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7.4312217194570129</v>
      </c>
      <c r="N7" s="13">
        <f>IF('Données projet'!$A$36&gt;35,N6+M7-V6,IF(A7&lt;'Données projet'!$A$36,$K$205^A7,IF(A7='Données projet'!$A$36,'Données projet'!$B$36,N6+M7-V6)))</f>
        <v>3.1222864114491768</v>
      </c>
      <c r="O7" s="13">
        <f>N7*VLOOKUP('Données projet'!$B$9,Paramètres!$A$1:$I$89,3,0)*VLOOKUP('Données projet'!$B$9,Paramètres!$A$1:$I$89,5,0)</f>
        <v>1.8671272740466078</v>
      </c>
      <c r="P7" s="13">
        <f t="shared" si="33"/>
        <v>0.80013145376589556</v>
      </c>
      <c r="Q7" s="20">
        <f t="shared" si="2"/>
        <v>4.6454756176067766</v>
      </c>
      <c r="R7" s="59">
        <f t="shared" si="0"/>
        <v>297.97880895094011</v>
      </c>
      <c r="S7" s="59">
        <f ca="1">AVERAGE(OFFSET($R$3,0,0,'Données projet'!$E$9+1,1))-AVERAGE(OFFSET($H$3,0,0,'Données projet'!$E$9+1,1))</f>
        <v>200.15574321350221</v>
      </c>
      <c r="T7" s="59">
        <f t="shared" si="34"/>
        <v>200.70728852570426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9.2551282051282546E-2</v>
      </c>
      <c r="AI7" s="13">
        <f>IF('Données projet'!$A$62&gt;35,AI6+AH7-AQ6,IF(A7&lt;'Données projet'!$A$62,$AF$205^A7,IF(A7='Données projet'!$A$62,'Données projet'!$B$62,AI6+AH7-AQ6)))</f>
        <v>0.53986099993922654</v>
      </c>
      <c r="AJ7" s="13">
        <f>AI7*VLOOKUP('Données projet'!$B$10,Paramètres!$A$1:$I$89,3,0)*VLOOKUP('Données projet'!$B$10,Paramètres!$A$1:$I$89,5,0)</f>
        <v>0.27455171012909307</v>
      </c>
      <c r="AK7" s="13">
        <f t="shared" si="35"/>
        <v>0.14706873829863756</v>
      </c>
      <c r="AL7" s="20">
        <f t="shared" si="4"/>
        <v>0.73432228101163088</v>
      </c>
      <c r="AM7" s="59">
        <f t="shared" si="5"/>
        <v>294.06765561434497</v>
      </c>
      <c r="AN7" s="59">
        <f ca="1">AVERAGE(OFFSET($AM$3,0,0,'Données projet'!$E$10+1,1))-AVERAGE(OFFSET($H$3,0,0,'Données projet'!$E$10+1,1))</f>
        <v>45.407317338461951</v>
      </c>
      <c r="AO7" s="59">
        <f t="shared" si="36"/>
        <v>149.88701606165358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4.9084615384615384</v>
      </c>
      <c r="BD7" s="12">
        <f>IF('Données projet'!$A$88&gt;35,BD6+BC7-BL6,IF(A7&lt;'Données projet'!$A$88,$BA$205^A7,IF(A7='Données projet'!$A$88,'Données projet'!$B$88,BD6+BC7-BL6)))</f>
        <v>1.9456985396533186</v>
      </c>
      <c r="BE7" s="13">
        <f>BD7*VLOOKUP('Données projet'!$B$11,Paramètres!$A$1:$I$89,3,0)*VLOOKUP('Données projet'!$B$11,Paramètres!$A$1:$I$89,5,0)</f>
        <v>0.91058691655775315</v>
      </c>
      <c r="BF7" s="13">
        <f t="shared" si="37"/>
        <v>0.42423691816235021</v>
      </c>
      <c r="BG7" s="20">
        <f t="shared" si="7"/>
        <v>2.32481817880418</v>
      </c>
      <c r="BH7" s="59">
        <f t="shared" si="8"/>
        <v>295.65815151213752</v>
      </c>
      <c r="BI7" s="59">
        <f ca="1">AVERAGE(OFFSET($BH$3,0,0,'Données projet'!$E$11+1,1))-AVERAGE(OFFSET($H$3,0,0,'Données projet'!$E$11+1,1))</f>
        <v>183.67580045784649</v>
      </c>
      <c r="BJ7" s="59">
        <f t="shared" si="38"/>
        <v>121.08269345608767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1.8</v>
      </c>
      <c r="BY7" s="12">
        <f>IF('Données projet'!$A$114&gt;35,BY6+BX7-CG6,IF(A7&lt;'Données projet'!$A$114,$BV$205^A7,IF(A7='Données projet'!$A$114,'Données projet'!$B$114,BY6+BX7-CG6)))</f>
        <v>3.1776715231464374</v>
      </c>
      <c r="BZ7" s="13">
        <f>BY7*VLOOKUP('Données projet'!$B$12,Paramètres!$A$1:$I$89,3,0)*VLOOKUP('Données projet'!$B$12,Paramètres!$A$1:$I$89,5,0)</f>
        <v>2.7760138426207281</v>
      </c>
      <c r="CA7" s="13">
        <f t="shared" si="39"/>
        <v>1.135950520408497</v>
      </c>
      <c r="CB7" s="20">
        <f t="shared" si="10"/>
        <v>6.8133379322758998</v>
      </c>
      <c r="CC7" s="59">
        <f t="shared" si="11"/>
        <v>300.1466712656092</v>
      </c>
      <c r="CD7" s="59">
        <f ca="1">AVERAGE(OFFSET($CC$3,0,0,'Données projet'!$E$12+1,1))-AVERAGE(OFFSET($H$3,0,0,'Données projet'!$E$12+1,1))</f>
        <v>216.10252108537389</v>
      </c>
      <c r="CE7" s="59">
        <f t="shared" si="40"/>
        <v>196.91968622092054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2.5115384615384619</v>
      </c>
      <c r="CT7" s="12">
        <f>IF('Données projet'!$A$140&gt;35,CT6+CS7-DB6,IF(A7&lt;'Données projet'!$A$140,$CQ$205^A7,IF(A7='Données projet'!$A$140,'Données projet'!$B$140,CT6+CS7-DB6)))</f>
        <v>1.7794050211676105</v>
      </c>
      <c r="CU7" s="17">
        <f>CT7*VLOOKUP('Données projet'!$B$13,Paramètres!$A$1:$I$89,3,0)*VLOOKUP('Données projet'!$B$13,Paramètres!$A$1:$I$89,5,0)</f>
        <v>1.610005663152454</v>
      </c>
      <c r="CV7" s="13">
        <f t="shared" si="41"/>
        <v>0.70194770544890439</v>
      </c>
      <c r="CW7" s="20">
        <f t="shared" si="13"/>
        <v>4.0266521169806992</v>
      </c>
      <c r="CX7" s="59">
        <f t="shared" si="14"/>
        <v>297.35998545031401</v>
      </c>
      <c r="CY7" s="59">
        <f ca="1">AVERAGE(OFFSET($CX$3,0,0,'Données projet'!$E$13+1,1))-AVERAGE(OFFSET($H$3,0,0,'Données projet'!$E$13+1,1))</f>
        <v>318.01858325056168</v>
      </c>
      <c r="CZ7" s="59">
        <f t="shared" si="42"/>
        <v>119.46953274700951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2.34</v>
      </c>
      <c r="D8" s="11">
        <f t="shared" si="32"/>
        <v>0.97676749007450259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25.603117467241773</v>
      </c>
      <c r="H8" s="67">
        <f t="shared" si="1"/>
        <v>299.11003671187973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7.4312217194570129</v>
      </c>
      <c r="N8" s="13">
        <f>IF('Données projet'!$A$36&gt;35,N7+M8-V7,IF(A8&lt;'Données projet'!$A$36,$K$205^A8,IF(A8='Données projet'!$A$36,'Données projet'!$B$36,N7+M8-V7)))</f>
        <v>4.1504092632222056</v>
      </c>
      <c r="O8" s="13">
        <f>N8*VLOOKUP('Données projet'!$B$9,Paramètres!$A$1:$I$89,3,0)*VLOOKUP('Données projet'!$B$9,Paramètres!$A$1:$I$89,5,0)</f>
        <v>2.4819447394068792</v>
      </c>
      <c r="P8" s="13">
        <f t="shared" si="33"/>
        <v>1.0289407593154982</v>
      </c>
      <c r="Q8" s="20">
        <f t="shared" si="2"/>
        <v>6.1147922436081394</v>
      </c>
      <c r="R8" s="59">
        <f t="shared" si="0"/>
        <v>299.44812557694144</v>
      </c>
      <c r="S8" s="59">
        <f ca="1">AVERAGE(OFFSET($R$3,0,0,'Données projet'!$E$9+1,1))-AVERAGE(OFFSET($H$3,0,0,'Données projet'!$E$9+1,1))</f>
        <v>200.15574321350221</v>
      </c>
      <c r="T8" s="59">
        <f t="shared" si="34"/>
        <v>200.70728852570426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>
        <f>VLOOKUP(A8,'Données projet'!$A$61:$I$81,2,0)</f>
        <v>0.46275641025641273</v>
      </c>
      <c r="AG8" s="12">
        <f>VLOOKUP(A8,'Données projet'!$A$61:$I$81,9,0)</f>
        <v>9.2551282051282546E-2</v>
      </c>
      <c r="AH8" s="12">
        <f t="array" ref="AH8">INDEX(AG:AG,MIN(IF(ISNUMBER(AG8:AG204),ROW(AG8:AG204),"")))</f>
        <v>9.2551282051282546E-2</v>
      </c>
      <c r="AI8" s="13">
        <f>IF('Données projet'!$A$62&gt;35,AI7+AH8-AQ7,IF(A8&lt;'Données projet'!$A$62,$AF$205^A8,IF(A8='Données projet'!$A$62,'Données projet'!$B$62,AI7+AH8-AQ7)))</f>
        <v>0.46275641025641273</v>
      </c>
      <c r="AJ8" s="13">
        <f>AI8*VLOOKUP('Données projet'!$B$10,Paramètres!$A$1:$I$89,3,0)*VLOOKUP('Données projet'!$B$10,Paramètres!$A$1:$I$89,5,0)</f>
        <v>0.23533940000000128</v>
      </c>
      <c r="AK8" s="13">
        <f t="shared" si="35"/>
        <v>0.1283457376701608</v>
      </c>
      <c r="AL8" s="20">
        <f t="shared" si="4"/>
        <v>0.63341828144219903</v>
      </c>
      <c r="AM8" s="59">
        <f t="shared" si="5"/>
        <v>293.96675161477549</v>
      </c>
      <c r="AN8" s="59">
        <f ca="1">AVERAGE(OFFSET($AM$3,0,0,'Données projet'!$E$10+1,1))-AVERAGE(OFFSET($H$3,0,0,'Données projet'!$E$10+1,1))</f>
        <v>45.407317338461951</v>
      </c>
      <c r="AO8" s="59">
        <f t="shared" si="36"/>
        <v>149.88701606165358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4.9084615384615384</v>
      </c>
      <c r="BD8" s="12">
        <f>IF('Données projet'!$A$88&gt;35,BD7+BC8-BL7,IF(A8&lt;'Données projet'!$A$88,$BA$205^A8,IF(A8='Données projet'!$A$88,'Données projet'!$B$88,BD7+BC8-BL7)))</f>
        <v>2.2979704576846265</v>
      </c>
      <c r="BE8" s="13">
        <f>BD8*VLOOKUP('Données projet'!$B$11,Paramètres!$A$1:$I$89,3,0)*VLOOKUP('Données projet'!$B$11,Paramètres!$A$1:$I$89,5,0)</f>
        <v>1.0754501741964051</v>
      </c>
      <c r="BF8" s="13">
        <f t="shared" si="37"/>
        <v>0.49143405532927165</v>
      </c>
      <c r="BG8" s="20">
        <f t="shared" si="7"/>
        <v>2.7289900330905534</v>
      </c>
      <c r="BH8" s="59">
        <f t="shared" si="8"/>
        <v>296.06232336642387</v>
      </c>
      <c r="BI8" s="59">
        <f ca="1">AVERAGE(OFFSET($BH$3,0,0,'Données projet'!$E$11+1,1))-AVERAGE(OFFSET($H$3,0,0,'Données projet'!$E$11+1,1))</f>
        <v>183.67580045784649</v>
      </c>
      <c r="BJ8" s="59">
        <f t="shared" si="38"/>
        <v>121.08269345608767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1.8</v>
      </c>
      <c r="BY8" s="12">
        <f>IF('Données projet'!$A$114&gt;35,BY7+BX8-CG7,IF(A8&lt;'Données projet'!$A$114,$BV$205^A8,IF(A8='Données projet'!$A$114,'Données projet'!$B$114,BY7+BX8-CG7)))</f>
        <v>4.2426406871192865</v>
      </c>
      <c r="BZ8" s="13">
        <f>BY8*VLOOKUP('Données projet'!$B$12,Paramètres!$A$1:$I$89,3,0)*VLOOKUP('Données projet'!$B$12,Paramètres!$A$1:$I$89,5,0)</f>
        <v>3.7063709042674091</v>
      </c>
      <c r="CA8" s="13">
        <f t="shared" si="39"/>
        <v>1.4664771263922398</v>
      </c>
      <c r="CB8" s="20">
        <f t="shared" si="10"/>
        <v>9.0093769867322209</v>
      </c>
      <c r="CC8" s="59">
        <f t="shared" si="11"/>
        <v>302.34271032006552</v>
      </c>
      <c r="CD8" s="59">
        <f ca="1">AVERAGE(OFFSET($CC$3,0,0,'Données projet'!$E$12+1,1))-AVERAGE(OFFSET($H$3,0,0,'Données projet'!$E$12+1,1))</f>
        <v>216.10252108537389</v>
      </c>
      <c r="CE8" s="59">
        <f t="shared" si="40"/>
        <v>196.91968622092054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2.5115384615384619</v>
      </c>
      <c r="CT8" s="12">
        <f>IF('Données projet'!$A$140&gt;35,CT7+CS8-DB7,IF(A8&lt;'Données projet'!$A$140,$CQ$205^A8,IF(A8='Données projet'!$A$140,'Données projet'!$B$140,CT7+CS8-DB7)))</f>
        <v>2.055149949310588</v>
      </c>
      <c r="CU8" s="17">
        <f>CT8*VLOOKUP('Données projet'!$B$13,Paramètres!$A$1:$I$89,3,0)*VLOOKUP('Données projet'!$B$13,Paramètres!$A$1:$I$89,5,0)</f>
        <v>1.85949967413622</v>
      </c>
      <c r="CV8" s="13">
        <f t="shared" si="41"/>
        <v>0.79724254095458524</v>
      </c>
      <c r="CW8" s="20">
        <f t="shared" si="13"/>
        <v>4.6271593579498189</v>
      </c>
      <c r="CX8" s="59">
        <f t="shared" si="14"/>
        <v>297.96049269128315</v>
      </c>
      <c r="CY8" s="59">
        <f ca="1">AVERAGE(OFFSET($CX$3,0,0,'Données projet'!$E$13+1,1))-AVERAGE(OFFSET($H$3,0,0,'Données projet'!$E$13+1,1))</f>
        <v>318.01858325056168</v>
      </c>
      <c r="CZ8" s="59">
        <f t="shared" si="42"/>
        <v>119.46953274700951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2.8079999999999998</v>
      </c>
      <c r="D9" s="11">
        <f t="shared" si="32"/>
        <v>1.1475080621585647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30.533746444732781</v>
      </c>
      <c r="H9" s="67">
        <f t="shared" si="1"/>
        <v>300.22250987492617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7.4312217194570129</v>
      </c>
      <c r="N9" s="13">
        <f>IF('Données projet'!$A$36&gt;35,N8+M9-V8,IF(A9&lt;'Données projet'!$A$36,$K$205^A9,IF(A9='Données projet'!$A$36,'Données projet'!$B$36,N8+M9-V8)))</f>
        <v>5.5170778020474653</v>
      </c>
      <c r="O9" s="13">
        <f>N9*VLOOKUP('Données projet'!$B$9,Paramètres!$A$1:$I$89,3,0)*VLOOKUP('Données projet'!$B$9,Paramètres!$A$1:$I$89,5,0)</f>
        <v>3.2992125256243843</v>
      </c>
      <c r="P9" s="13">
        <f t="shared" si="33"/>
        <v>1.3231814362474952</v>
      </c>
      <c r="Q9" s="20">
        <f t="shared" si="2"/>
        <v>8.0506694835935235</v>
      </c>
      <c r="R9" s="59">
        <f t="shared" si="0"/>
        <v>301.38400281692685</v>
      </c>
      <c r="S9" s="59">
        <f ca="1">AVERAGE(OFFSET($R$3,0,0,'Données projet'!$E$9+1,1))-AVERAGE(OFFSET($H$3,0,0,'Données projet'!$E$9+1,1))</f>
        <v>200.15574321350221</v>
      </c>
      <c r="T9" s="59">
        <f t="shared" si="34"/>
        <v>200.70728852570426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>
        <f>VLOOKUP(A9,'Données projet'!$A$61:$I$81,2,0)</f>
        <v>4.6342307692307738</v>
      </c>
      <c r="AG9" s="12">
        <f>VLOOKUP(A9,'Données projet'!$A$61:$I$81,9,0)</f>
        <v>4.1714743589743613</v>
      </c>
      <c r="AH9" s="12">
        <f t="array" ref="AH9">INDEX(AG:AG,MIN(IF(ISNUMBER(AG9:AG205),ROW(AG9:AG205),"")))</f>
        <v>4.1714743589743613</v>
      </c>
      <c r="AI9" s="13">
        <f>IF('Données projet'!$A$62&gt;35,AI8+AH9-AQ8,IF(A9&lt;'Données projet'!$A$62,$AF$205^A9,IF(A9='Données projet'!$A$62,'Données projet'!$B$62,AI8+AH9-AQ8)))</f>
        <v>4.6342307692307738</v>
      </c>
      <c r="AJ9" s="13">
        <f>AI9*VLOOKUP('Données projet'!$B$10,Paramètres!$A$1:$I$89,3,0)*VLOOKUP('Données projet'!$B$10,Paramètres!$A$1:$I$89,5,0)</f>
        <v>2.3567844000000027</v>
      </c>
      <c r="AK9" s="13">
        <f t="shared" si="35"/>
        <v>0.98295557138847023</v>
      </c>
      <c r="AL9" s="20">
        <f t="shared" si="4"/>
        <v>5.8167137835015907</v>
      </c>
      <c r="AM9" s="59">
        <f t="shared" si="5"/>
        <v>299.15004711683491</v>
      </c>
      <c r="AN9" s="59">
        <f ca="1">AVERAGE(OFFSET($AM$3,0,0,'Données projet'!$E$10+1,1))-AVERAGE(OFFSET($H$3,0,0,'Données projet'!$E$10+1,1))</f>
        <v>45.407317338461951</v>
      </c>
      <c r="AO9" s="59">
        <f t="shared" si="36"/>
        <v>149.88701606165358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4.9084615384615384</v>
      </c>
      <c r="BD9" s="12">
        <f>IF('Données projet'!$A$88&gt;35,BD8+BC9-BL8,IF(A9&lt;'Données projet'!$A$88,$BA$205^A9,IF(A9='Données projet'!$A$88,'Données projet'!$B$88,BD8+BC9-BL8)))</f>
        <v>2.7140217853749289</v>
      </c>
      <c r="BE9" s="13">
        <f>BD9*VLOOKUP('Données projet'!$B$11,Paramètres!$A$1:$I$89,3,0)*VLOOKUP('Données projet'!$B$11,Paramètres!$A$1:$I$89,5,0)</f>
        <v>1.2701621955554667</v>
      </c>
      <c r="BF9" s="13">
        <f t="shared" si="37"/>
        <v>0.56927490371064715</v>
      </c>
      <c r="BG9" s="20">
        <f t="shared" si="7"/>
        <v>3.203686281221815</v>
      </c>
      <c r="BH9" s="59">
        <f t="shared" si="8"/>
        <v>296.53701961455511</v>
      </c>
      <c r="BI9" s="59">
        <f ca="1">AVERAGE(OFFSET($BH$3,0,0,'Données projet'!$E$11+1,1))-AVERAGE(OFFSET($H$3,0,0,'Données projet'!$E$11+1,1))</f>
        <v>183.67580045784649</v>
      </c>
      <c r="BJ9" s="59">
        <f t="shared" si="38"/>
        <v>121.08269345608767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1.8</v>
      </c>
      <c r="BY9" s="12">
        <f>IF('Données projet'!$A$114&gt;35,BY8+BX9-CG8,IF(A9&lt;'Données projet'!$A$114,$BV$205^A9,IF(A9='Données projet'!$A$114,'Données projet'!$B$114,BY8+BX9-CG8)))</f>
        <v>5.6645250677694134</v>
      </c>
      <c r="BZ9" s="13">
        <f>BY9*VLOOKUP('Données projet'!$B$12,Paramètres!$A$1:$I$89,3,0)*VLOOKUP('Données projet'!$B$12,Paramètres!$A$1:$I$89,5,0)</f>
        <v>4.9485290992033608</v>
      </c>
      <c r="CA9" s="13">
        <f t="shared" si="39"/>
        <v>1.8931767921179217</v>
      </c>
      <c r="CB9" s="20">
        <f t="shared" si="10"/>
        <v>11.915971094051232</v>
      </c>
      <c r="CC9" s="59">
        <f t="shared" si="11"/>
        <v>305.24930442738457</v>
      </c>
      <c r="CD9" s="59">
        <f ca="1">AVERAGE(OFFSET($CC$3,0,0,'Données projet'!$E$12+1,1))-AVERAGE(OFFSET($H$3,0,0,'Données projet'!$E$12+1,1))</f>
        <v>216.10252108537389</v>
      </c>
      <c r="CE9" s="59">
        <f t="shared" si="40"/>
        <v>196.91968622092054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2.5115384615384619</v>
      </c>
      <c r="CT9" s="12">
        <f>IF('Données projet'!$A$140&gt;35,CT8+CS9-DB8,IF(A9&lt;'Données projet'!$A$140,$CQ$205^A9,IF(A9='Données projet'!$A$140,'Données projet'!$B$140,CT8+CS9-DB8)))</f>
        <v>2.3736256017642585</v>
      </c>
      <c r="CU9" s="17">
        <f>CT9*VLOOKUP('Données projet'!$B$13,Paramètres!$A$1:$I$89,3,0)*VLOOKUP('Données projet'!$B$13,Paramètres!$A$1:$I$89,5,0)</f>
        <v>2.1476564444763011</v>
      </c>
      <c r="CV9" s="13">
        <f t="shared" si="41"/>
        <v>0.90547438815438841</v>
      </c>
      <c r="CW9" s="20">
        <f t="shared" si="13"/>
        <v>5.3175362001651179</v>
      </c>
      <c r="CX9" s="59">
        <f t="shared" si="14"/>
        <v>298.65086953349845</v>
      </c>
      <c r="CY9" s="59">
        <f ca="1">AVERAGE(OFFSET($CX$3,0,0,'Données projet'!$E$13+1,1))-AVERAGE(OFFSET($H$3,0,0,'Données projet'!$E$13+1,1))</f>
        <v>318.01858325056168</v>
      </c>
      <c r="CZ9" s="59">
        <f t="shared" si="42"/>
        <v>119.46953274700951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3.2759999999999998</v>
      </c>
      <c r="D10" s="11">
        <f t="shared" si="32"/>
        <v>1.3149520873221709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35.438928393364129</v>
      </c>
      <c r="H10" s="67">
        <f t="shared" si="1"/>
        <v>301.3292415520861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7.4312217194570129</v>
      </c>
      <c r="N10" s="13">
        <f>IF('Données projet'!$A$36&gt;35,N9+M10-V9,IF(A10&lt;'Données projet'!$A$36,$K$205^A10,IF(A10='Données projet'!$A$36,'Données projet'!$B$36,N9+M10-V9)))</f>
        <v>7.3337701280605696</v>
      </c>
      <c r="O10" s="13">
        <f>N10*VLOOKUP('Données projet'!$B$9,Paramètres!$A$1:$I$89,3,0)*VLOOKUP('Données projet'!$B$9,Paramètres!$A$1:$I$89,5,0)</f>
        <v>4.3855945365802205</v>
      </c>
      <c r="P10" s="13">
        <f t="shared" si="33"/>
        <v>1.7015645433219191</v>
      </c>
      <c r="Q10" s="20">
        <f t="shared" si="2"/>
        <v>10.601802064162893</v>
      </c>
      <c r="R10" s="59">
        <f t="shared" si="0"/>
        <v>303.9351353974962</v>
      </c>
      <c r="S10" s="59">
        <f ca="1">AVERAGE(OFFSET($R$3,0,0,'Données projet'!$E$9+1,1))-AVERAGE(OFFSET($H$3,0,0,'Données projet'!$E$9+1,1))</f>
        <v>200.15574321350221</v>
      </c>
      <c r="T10" s="59">
        <f t="shared" si="34"/>
        <v>200.70728852570426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>
        <f>VLOOKUP(A10,'Données projet'!$A$61:$I$81,2,0)</f>
        <v>10.009166666666667</v>
      </c>
      <c r="AG10" s="12">
        <f>VLOOKUP(A10,'Données projet'!$A$61:$I$81,9,0)</f>
        <v>5.3749358974358934</v>
      </c>
      <c r="AH10" s="12">
        <f t="array" ref="AH10">INDEX(AG:AG,MIN(IF(ISNUMBER(AG10:AG206),ROW(AG10:AG206),"")))</f>
        <v>5.3749358974358934</v>
      </c>
      <c r="AI10" s="13">
        <f>IF('Données projet'!$A$62&gt;35,AI9+AH10-AQ9,IF(A10&lt;'Données projet'!$A$62,$AF$205^A10,IF(A10='Données projet'!$A$62,'Données projet'!$B$62,AI9+AH10-AQ9)))</f>
        <v>10.009166666666667</v>
      </c>
      <c r="AJ10" s="13">
        <f>AI10*VLOOKUP('Données projet'!$B$10,Paramètres!$A$1:$I$89,3,0)*VLOOKUP('Données projet'!$B$10,Paramètres!$A$1:$I$89,5,0)</f>
        <v>5.0902618000000013</v>
      </c>
      <c r="AK10" s="13">
        <f t="shared" si="35"/>
        <v>1.9410093808270277</v>
      </c>
      <c r="AL10" s="20">
        <f t="shared" si="4"/>
        <v>12.246130639940409</v>
      </c>
      <c r="AM10" s="59">
        <f t="shared" si="5"/>
        <v>305.57946397327373</v>
      </c>
      <c r="AN10" s="59">
        <f ca="1">AVERAGE(OFFSET($AM$3,0,0,'Données projet'!$E$10+1,1))-AVERAGE(OFFSET($H$3,0,0,'Données projet'!$E$10+1,1))</f>
        <v>45.407317338461951</v>
      </c>
      <c r="AO10" s="59">
        <f t="shared" si="36"/>
        <v>149.88701606165358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4.9084615384615384</v>
      </c>
      <c r="BD10" s="12">
        <f>IF('Données projet'!$A$88&gt;35,BD9+BC10-BL9,IF(A10&lt;'Données projet'!$A$88,$BA$205^A10,IF(A10='Données projet'!$A$88,'Données projet'!$B$88,BD9+BC10-BL9)))</f>
        <v>3.2053998896536791</v>
      </c>
      <c r="BE10" s="13">
        <f>BD10*VLOOKUP('Données projet'!$B$11,Paramètres!$A$1:$I$89,3,0)*VLOOKUP('Données projet'!$B$11,Paramètres!$A$1:$I$89,5,0)</f>
        <v>1.5001271483579217</v>
      </c>
      <c r="BF10" s="13">
        <f t="shared" si="37"/>
        <v>0.65944537721878049</v>
      </c>
      <c r="BG10" s="20">
        <f t="shared" si="7"/>
        <v>3.7612554820460891</v>
      </c>
      <c r="BH10" s="59">
        <f t="shared" si="8"/>
        <v>297.09458881537938</v>
      </c>
      <c r="BI10" s="59">
        <f ca="1">AVERAGE(OFFSET($BH$3,0,0,'Données projet'!$E$11+1,1))-AVERAGE(OFFSET($H$3,0,0,'Données projet'!$E$11+1,1))</f>
        <v>183.67580045784649</v>
      </c>
      <c r="BJ10" s="59">
        <f t="shared" si="38"/>
        <v>121.08269345608767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1.8</v>
      </c>
      <c r="BY10" s="12">
        <f>IF('Données projet'!$A$114&gt;35,BY9+BX10-CG9,IF(A10&lt;'Données projet'!$A$114,$BV$205^A10,IF(A10='Données projet'!$A$114,'Données projet'!$B$114,BY9+BX10-CG9)))</f>
        <v>7.5629417171254145</v>
      </c>
      <c r="BZ10" s="13">
        <f>BY10*VLOOKUP('Données projet'!$B$12,Paramètres!$A$1:$I$89,3,0)*VLOOKUP('Données projet'!$B$12,Paramètres!$A$1:$I$89,5,0)</f>
        <v>6.6069858840807631</v>
      </c>
      <c r="CA10" s="13">
        <f t="shared" si="39"/>
        <v>2.4440329151477385</v>
      </c>
      <c r="CB10" s="20">
        <f t="shared" si="10"/>
        <v>15.763857741989639</v>
      </c>
      <c r="CC10" s="59">
        <f t="shared" si="11"/>
        <v>309.09719107532294</v>
      </c>
      <c r="CD10" s="59">
        <f ca="1">AVERAGE(OFFSET($CC$3,0,0,'Données projet'!$E$12+1,1))-AVERAGE(OFFSET($H$3,0,0,'Données projet'!$E$12+1,1))</f>
        <v>216.10252108537389</v>
      </c>
      <c r="CE10" s="59">
        <f t="shared" si="40"/>
        <v>196.91968622092054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2.5115384615384619</v>
      </c>
      <c r="CT10" s="12">
        <f>IF('Données projet'!$A$140&gt;35,CT9+CS10-DB9,IF(A10&lt;'Données projet'!$A$140,$CQ$205^A10,IF(A10='Données projet'!$A$140,'Données projet'!$B$140,CT9+CS10-DB9)))</f>
        <v>2.7414537315103114</v>
      </c>
      <c r="CU10" s="17">
        <f>CT10*VLOOKUP('Données projet'!$B$13,Paramètres!$A$1:$I$89,3,0)*VLOOKUP('Données projet'!$B$13,Paramètres!$A$1:$I$89,5,0)</f>
        <v>2.4804673362705296</v>
      </c>
      <c r="CV10" s="13">
        <f t="shared" si="41"/>
        <v>1.0283995465443541</v>
      </c>
      <c r="CW10" s="20">
        <f t="shared" si="13"/>
        <v>6.1112764875692553</v>
      </c>
      <c r="CX10" s="59">
        <f t="shared" si="14"/>
        <v>299.44460982090254</v>
      </c>
      <c r="CY10" s="59">
        <f ca="1">AVERAGE(OFFSET($CX$3,0,0,'Données projet'!$E$13+1,1))-AVERAGE(OFFSET($H$3,0,0,'Données projet'!$E$13+1,1))</f>
        <v>318.01858325056168</v>
      </c>
      <c r="CZ10" s="59">
        <f t="shared" si="42"/>
        <v>119.46953274700951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3.7439999999999998</v>
      </c>
      <c r="D11" s="11">
        <f t="shared" si="32"/>
        <v>1.4796248382778823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40.322718049864356</v>
      </c>
      <c r="H11" s="67">
        <f t="shared" si="1"/>
        <v>302.43114659333395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7.4312217194570129</v>
      </c>
      <c r="N11" s="13">
        <f>IF('Données projet'!$A$36&gt;35,N10+M11-V10,IF(A11&lt;'Données projet'!$A$36,$K$205^A11,IF(A11='Données projet'!$A$36,'Données projet'!$B$36,N10+M11-V10)))</f>
        <v>9.748672435120179</v>
      </c>
      <c r="O11" s="13">
        <f>N11*VLOOKUP('Données projet'!$B$9,Paramètres!$A$1:$I$89,3,0)*VLOOKUP('Données projet'!$B$9,Paramètres!$A$1:$I$89,5,0)</f>
        <v>5.8297061162018684</v>
      </c>
      <c r="P11" s="13">
        <f t="shared" si="33"/>
        <v>2.1881518405377438</v>
      </c>
      <c r="Q11" s="20">
        <f t="shared" si="2"/>
        <v>13.96443594132149</v>
      </c>
      <c r="R11" s="59">
        <f t="shared" si="0"/>
        <v>307.2977692746548</v>
      </c>
      <c r="S11" s="59">
        <f ca="1">AVERAGE(OFFSET($R$3,0,0,'Données projet'!$E$9+1,1))-AVERAGE(OFFSET($H$3,0,0,'Données projet'!$E$9+1,1))</f>
        <v>200.15574321350221</v>
      </c>
      <c r="T11" s="59">
        <f t="shared" si="34"/>
        <v>200.70728852570426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>
        <f>VLOOKUP(A11,'Données projet'!$A$61:$I$81,2,0)</f>
        <v>16.505256410256415</v>
      </c>
      <c r="AG11" s="12">
        <f>VLOOKUP(A11,'Données projet'!$A$61:$I$81,9,0)</f>
        <v>6.4960897435897476</v>
      </c>
      <c r="AH11" s="12">
        <f t="array" ref="AH11">INDEX(AG:AG,MIN(IF(ISNUMBER(AG11:AG207),ROW(AG11:AG207),"")))</f>
        <v>6.4960897435897476</v>
      </c>
      <c r="AI11" s="13">
        <f>IF('Données projet'!$A$62&gt;35,AI10+AH11-AQ10,IF(A11&lt;'Données projet'!$A$62,$AF$205^A11,IF(A11='Données projet'!$A$62,'Données projet'!$B$62,AI10+AH11-AQ10)))</f>
        <v>16.505256410256415</v>
      </c>
      <c r="AJ11" s="13">
        <f>AI11*VLOOKUP('Données projet'!$B$10,Paramètres!$A$1:$I$89,3,0)*VLOOKUP('Données projet'!$B$10,Paramètres!$A$1:$I$89,5,0)</f>
        <v>8.3939132000000036</v>
      </c>
      <c r="AK11" s="13">
        <f t="shared" si="35"/>
        <v>3.0197227719592821</v>
      </c>
      <c r="AL11" s="20">
        <f t="shared" si="4"/>
        <v>19.878749317829087</v>
      </c>
      <c r="AM11" s="59">
        <f t="shared" si="5"/>
        <v>313.2120826511624</v>
      </c>
      <c r="AN11" s="59">
        <f ca="1">AVERAGE(OFFSET($AM$3,0,0,'Données projet'!$E$10+1,1))-AVERAGE(OFFSET($H$3,0,0,'Données projet'!$E$10+1,1))</f>
        <v>45.407317338461951</v>
      </c>
      <c r="AO11" s="59">
        <f t="shared" si="36"/>
        <v>149.88701606165358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4.9084615384615384</v>
      </c>
      <c r="BD11" s="12">
        <f>IF('Données projet'!$A$88&gt;35,BD10+BC11-BL10,IF(A11&lt;'Données projet'!$A$88,$BA$205^A11,IF(A11='Données projet'!$A$88,'Données projet'!$B$88,BD10+BC11-BL10)))</f>
        <v>3.7857428072090569</v>
      </c>
      <c r="BE11" s="13">
        <f>BD11*VLOOKUP('Données projet'!$B$11,Paramètres!$A$1:$I$89,3,0)*VLOOKUP('Données projet'!$B$11,Paramètres!$A$1:$I$89,5,0)</f>
        <v>1.7717276337738388</v>
      </c>
      <c r="BF11" s="13">
        <f t="shared" si="37"/>
        <v>0.76389843061877893</v>
      </c>
      <c r="BG11" s="20">
        <f t="shared" si="7"/>
        <v>4.4162153954838086</v>
      </c>
      <c r="BH11" s="59">
        <f t="shared" si="8"/>
        <v>297.7495487288171</v>
      </c>
      <c r="BI11" s="59">
        <f ca="1">AVERAGE(OFFSET($BH$3,0,0,'Données projet'!$E$11+1,1))-AVERAGE(OFFSET($H$3,0,0,'Données projet'!$E$11+1,1))</f>
        <v>183.67580045784649</v>
      </c>
      <c r="BJ11" s="59">
        <f t="shared" si="38"/>
        <v>121.08269345608767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1.8</v>
      </c>
      <c r="BY11" s="12">
        <f>IF('Données projet'!$A$114&gt;35,BY10+BX11-CG10,IF(A11&lt;'Données projet'!$A$114,$BV$205^A11,IF(A11='Données projet'!$A$114,'Données projet'!$B$114,BY10+BX11-CG10)))</f>
        <v>10.097596309015799</v>
      </c>
      <c r="BZ11" s="13">
        <f>BY11*VLOOKUP('Données projet'!$B$12,Paramètres!$A$1:$I$89,3,0)*VLOOKUP('Données projet'!$B$12,Paramètres!$A$1:$I$89,5,0)</f>
        <v>8.8212601355562033</v>
      </c>
      <c r="CA11" s="13">
        <f t="shared" si="39"/>
        <v>3.1551711996443523</v>
      </c>
      <c r="CB11" s="20">
        <f t="shared" si="10"/>
        <v>20.858951242140964</v>
      </c>
      <c r="CC11" s="59">
        <f t="shared" si="11"/>
        <v>314.19228457547428</v>
      </c>
      <c r="CD11" s="59">
        <f ca="1">AVERAGE(OFFSET($CC$3,0,0,'Données projet'!$E$12+1,1))-AVERAGE(OFFSET($H$3,0,0,'Données projet'!$E$12+1,1))</f>
        <v>216.10252108537389</v>
      </c>
      <c r="CE11" s="59">
        <f t="shared" si="40"/>
        <v>196.91968622092054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2.5115384615384619</v>
      </c>
      <c r="CT11" s="12">
        <f>IF('Données projet'!$A$140&gt;35,CT10+CS11-DB10,IF(A11&lt;'Données projet'!$A$140,$CQ$205^A11,IF(A11='Données projet'!$A$140,'Données projet'!$B$140,CT10+CS11-DB10)))</f>
        <v>3.1662822293565043</v>
      </c>
      <c r="CU11" s="17">
        <f>CT11*VLOOKUP('Données projet'!$B$13,Paramètres!$A$1:$I$89,3,0)*VLOOKUP('Données projet'!$B$13,Paramètres!$A$1:$I$89,5,0)</f>
        <v>2.8648521611217652</v>
      </c>
      <c r="CV11" s="13">
        <f t="shared" si="41"/>
        <v>1.1680127468744104</v>
      </c>
      <c r="CW11" s="20">
        <f t="shared" si="13"/>
        <v>7.0239063814266727</v>
      </c>
      <c r="CX11" s="59">
        <f t="shared" si="14"/>
        <v>300.35723971476</v>
      </c>
      <c r="CY11" s="59">
        <f ca="1">AVERAGE(OFFSET($CX$3,0,0,'Données projet'!$E$13+1,1))-AVERAGE(OFFSET($H$3,0,0,'Données projet'!$E$13+1,1))</f>
        <v>318.01858325056168</v>
      </c>
      <c r="CZ11" s="59">
        <f t="shared" si="42"/>
        <v>119.46953274700951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4.2119999999999997</v>
      </c>
      <c r="D12" s="11">
        <f t="shared" si="32"/>
        <v>1.6419123971514347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45.188095697309329</v>
      </c>
      <c r="H12" s="67">
        <f t="shared" si="1"/>
        <v>303.52889742503874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7.4312217194570129</v>
      </c>
      <c r="N12" s="13">
        <f>IF('Données projet'!$A$36&gt;35,N11+M12-V11,IF(A12&lt;'Données projet'!$A$36,$K$205^A12,IF(A12='Données projet'!$A$36,'Données projet'!$B$36,N11+M12-V11)))</f>
        <v>12.958766444511483</v>
      </c>
      <c r="O12" s="13">
        <f>N12*VLOOKUP('Données projet'!$B$9,Paramètres!$A$1:$I$89,3,0)*VLOOKUP('Données projet'!$B$9,Paramètres!$A$1:$I$89,5,0)</f>
        <v>7.7493423338178671</v>
      </c>
      <c r="P12" s="13">
        <f t="shared" si="33"/>
        <v>2.8138859005026107</v>
      </c>
      <c r="Q12" s="20">
        <f t="shared" si="2"/>
        <v>18.397622508108167</v>
      </c>
      <c r="R12" s="59">
        <f t="shared" si="0"/>
        <v>311.73095584144147</v>
      </c>
      <c r="S12" s="59">
        <f ca="1">AVERAGE(OFFSET($R$3,0,0,'Données projet'!$E$9+1,1))-AVERAGE(OFFSET($H$3,0,0,'Données projet'!$E$9+1,1))</f>
        <v>200.15574321350221</v>
      </c>
      <c r="T12" s="59">
        <f t="shared" si="34"/>
        <v>200.70728852570426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>
        <f>VLOOKUP(A12,'Données projet'!$A$61:$I$81,2,0)</f>
        <v>24.040192307692308</v>
      </c>
      <c r="AG12" s="12">
        <f>VLOOKUP(A12,'Données projet'!$A$61:$I$81,9,0)</f>
        <v>7.5349358974358935</v>
      </c>
      <c r="AH12" s="12">
        <f t="array" ref="AH12">INDEX(AG:AG,MIN(IF(ISNUMBER(AG12:AG208),ROW(AG12:AG208),"")))</f>
        <v>7.5349358974358935</v>
      </c>
      <c r="AI12" s="13">
        <f>IF('Données projet'!$A$62&gt;35,AI11+AH12-AQ11,IF(A12&lt;'Données projet'!$A$62,$AF$205^A12,IF(A12='Données projet'!$A$62,'Données projet'!$B$62,AI11+AH12-AQ11)))</f>
        <v>24.040192307692308</v>
      </c>
      <c r="AJ12" s="13">
        <f>AI12*VLOOKUP('Données projet'!$B$10,Paramètres!$A$1:$I$89,3,0)*VLOOKUP('Données projet'!$B$10,Paramètres!$A$1:$I$89,5,0)</f>
        <v>12.225880200000001</v>
      </c>
      <c r="AK12" s="13">
        <f t="shared" si="35"/>
        <v>4.2099098196523714</v>
      </c>
      <c r="AL12" s="20">
        <f t="shared" si="4"/>
        <v>28.625667617561216</v>
      </c>
      <c r="AM12" s="59">
        <f t="shared" si="5"/>
        <v>321.95900095089451</v>
      </c>
      <c r="AN12" s="59">
        <f ca="1">AVERAGE(OFFSET($AM$3,0,0,'Données projet'!$E$10+1,1))-AVERAGE(OFFSET($H$3,0,0,'Données projet'!$E$10+1,1))</f>
        <v>45.407317338461951</v>
      </c>
      <c r="AO12" s="59">
        <f t="shared" si="36"/>
        <v>149.88701606165358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4.9084615384615384</v>
      </c>
      <c r="BD12" s="12">
        <f>IF('Données projet'!$A$88&gt;35,BD11+BC12-BL11,IF(A12&lt;'Données projet'!$A$88,$BA$205^A12,IF(A12='Données projet'!$A$88,'Données projet'!$B$88,BD11+BC12-BL11)))</f>
        <v>4.4711577636834461</v>
      </c>
      <c r="BE12" s="13">
        <f>BD12*VLOOKUP('Données projet'!$B$11,Paramètres!$A$1:$I$89,3,0)*VLOOKUP('Données projet'!$B$11,Paramètres!$A$1:$I$89,5,0)</f>
        <v>2.0925018334038525</v>
      </c>
      <c r="BF12" s="13">
        <f t="shared" si="37"/>
        <v>0.8848963575465858</v>
      </c>
      <c r="BG12" s="20">
        <f t="shared" si="7"/>
        <v>5.1856351825720131</v>
      </c>
      <c r="BH12" s="59">
        <f t="shared" si="8"/>
        <v>298.51896851590533</v>
      </c>
      <c r="BI12" s="59">
        <f ca="1">AVERAGE(OFFSET($BH$3,0,0,'Données projet'!$E$11+1,1))-AVERAGE(OFFSET($H$3,0,0,'Données projet'!$E$11+1,1))</f>
        <v>183.67580045784649</v>
      </c>
      <c r="BJ12" s="59">
        <f t="shared" si="38"/>
        <v>121.08269345608767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1.8</v>
      </c>
      <c r="BY12" s="12">
        <f>IF('Données projet'!$A$114&gt;35,BY11+BX12-CG11,IF(A12&lt;'Données projet'!$A$114,$BV$205^A12,IF(A12='Données projet'!$A$114,'Données projet'!$B$114,BY11+BX12-CG11)))</f>
        <v>13.48171849440139</v>
      </c>
      <c r="BZ12" s="13">
        <f>BY12*VLOOKUP('Données projet'!$B$12,Paramètres!$A$1:$I$89,3,0)*VLOOKUP('Données projet'!$B$12,Paramètres!$A$1:$I$89,5,0)</f>
        <v>11.777629276709055</v>
      </c>
      <c r="CA12" s="13">
        <f t="shared" si="39"/>
        <v>4.0732288167499631</v>
      </c>
      <c r="CB12" s="20">
        <f t="shared" si="10"/>
        <v>27.606911179441123</v>
      </c>
      <c r="CC12" s="59">
        <f t="shared" si="11"/>
        <v>320.94024451277443</v>
      </c>
      <c r="CD12" s="59">
        <f ca="1">AVERAGE(OFFSET($CC$3,0,0,'Données projet'!$E$12+1,1))-AVERAGE(OFFSET($H$3,0,0,'Données projet'!$E$12+1,1))</f>
        <v>216.10252108537389</v>
      </c>
      <c r="CE12" s="59">
        <f t="shared" si="40"/>
        <v>196.91968622092054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2.5115384615384619</v>
      </c>
      <c r="CT12" s="12">
        <f>IF('Données projet'!$A$140&gt;35,CT11+CS12-DB11,IF(A12&lt;'Données projet'!$A$140,$CQ$205^A12,IF(A12='Données projet'!$A$140,'Données projet'!$B$140,CT11+CS12-DB11)))</f>
        <v>3.6569441390556205</v>
      </c>
      <c r="CU12" s="17">
        <f>CT12*VLOOKUP('Données projet'!$B$13,Paramètres!$A$1:$I$89,3,0)*VLOOKUP('Données projet'!$B$13,Paramètres!$A$1:$I$89,5,0)</f>
        <v>3.3088030570175251</v>
      </c>
      <c r="CV12" s="13">
        <f t="shared" si="41"/>
        <v>1.3265795200370261</v>
      </c>
      <c r="CW12" s="20">
        <f t="shared" si="13"/>
        <v>8.0732913217033442</v>
      </c>
      <c r="CX12" s="59">
        <f t="shared" si="14"/>
        <v>301.40662465503664</v>
      </c>
      <c r="CY12" s="59">
        <f ca="1">AVERAGE(OFFSET($CX$3,0,0,'Données projet'!$E$13+1,1))-AVERAGE(OFFSET($H$3,0,0,'Données projet'!$E$13+1,1))</f>
        <v>318.01858325056168</v>
      </c>
      <c r="CZ12" s="59">
        <f t="shared" si="42"/>
        <v>119.46953274700951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4.68</v>
      </c>
      <c r="D13" s="11">
        <f t="shared" si="32"/>
        <v>1.8021100168054613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50.037340480603554</v>
      </c>
      <c r="H13" s="67">
        <f t="shared" si="1"/>
        <v>304.62300827926947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7.4312217194570129</v>
      </c>
      <c r="N13" s="13">
        <f>IF('Données projet'!$A$36&gt;35,N12+M13-V12,IF(A13&lt;'Données projet'!$A$36,$K$205^A13,IF(A13='Données projet'!$A$36,'Données projet'!$B$36,N12+M13-V12)))</f>
        <v>17.225897052240693</v>
      </c>
      <c r="O13" s="13">
        <f>N13*VLOOKUP('Données projet'!$B$9,Paramètres!$A$1:$I$89,3,0)*VLOOKUP('Données projet'!$B$9,Paramètres!$A$1:$I$89,5,0)</f>
        <v>10.301086437239935</v>
      </c>
      <c r="P13" s="13">
        <f t="shared" si="33"/>
        <v>3.6185577775542006</v>
      </c>
      <c r="Q13" s="20">
        <f t="shared" si="2"/>
        <v>24.243380340766453</v>
      </c>
      <c r="R13" s="59">
        <f t="shared" si="0"/>
        <v>317.57671367409978</v>
      </c>
      <c r="S13" s="59">
        <f ca="1">AVERAGE(OFFSET($R$3,0,0,'Données projet'!$E$9+1,1))-AVERAGE(OFFSET($H$3,0,0,'Données projet'!$E$9+1,1))</f>
        <v>200.15574321350221</v>
      </c>
      <c r="T13" s="59">
        <f t="shared" si="34"/>
        <v>200.70728852570426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32.531666666666673</v>
      </c>
      <c r="AG13" s="12">
        <f>VLOOKUP(A13,'Données projet'!$A$61:$I$81,9,0)</f>
        <v>8.4914743589743651</v>
      </c>
      <c r="AH13" s="12">
        <f t="array" ref="AH13">INDEX(AG:AG,MIN(IF(ISNUMBER(AG13:AG209),ROW(AG13:AG209),"")))</f>
        <v>8.4914743589743651</v>
      </c>
      <c r="AI13" s="13">
        <f>IF('Données projet'!$A$62&gt;35,AI12+AH13-AQ12,IF(A13&lt;'Données projet'!$A$62,$AF$205^A13,IF(A13='Données projet'!$A$62,'Données projet'!$B$62,AI12+AH13-AQ12)))</f>
        <v>32.531666666666673</v>
      </c>
      <c r="AJ13" s="13">
        <f>AI13*VLOOKUP('Données projet'!$B$10,Paramètres!$A$1:$I$89,3,0)*VLOOKUP('Données projet'!$B$10,Paramètres!$A$1:$I$89,5,0)</f>
        <v>16.544304400000005</v>
      </c>
      <c r="AK13" s="13">
        <f t="shared" si="35"/>
        <v>5.4998379089193925</v>
      </c>
      <c r="AL13" s="20">
        <f t="shared" si="4"/>
        <v>38.393547854701282</v>
      </c>
      <c r="AM13" s="59">
        <f t="shared" si="5"/>
        <v>331.72688118803461</v>
      </c>
      <c r="AN13" s="59">
        <f ca="1">AVERAGE(OFFSET($AM$3,0,0,'Données projet'!$E$10+1,1))-AVERAGE(OFFSET($H$3,0,0,'Données projet'!$E$10+1,1))</f>
        <v>45.407317338461951</v>
      </c>
      <c r="AO13" s="59">
        <f t="shared" si="36"/>
        <v>149.88701606165358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4.9084615384615384</v>
      </c>
      <c r="BD13" s="12">
        <f>IF('Données projet'!$A$88&gt;35,BD12+BC13-BL12,IF(A13&lt;'Données projet'!$A$88,$BA$205^A13,IF(A13='Données projet'!$A$88,'Données projet'!$B$88,BD12+BC13-BL12)))</f>
        <v>5.2806682243912917</v>
      </c>
      <c r="BE13" s="13">
        <f>BD13*VLOOKUP('Données projet'!$B$11,Paramètres!$A$1:$I$89,3,0)*VLOOKUP('Données projet'!$B$11,Paramètres!$A$1:$I$89,5,0)</f>
        <v>2.4713527290151243</v>
      </c>
      <c r="BF13" s="13">
        <f t="shared" si="37"/>
        <v>1.0250597883345953</v>
      </c>
      <c r="BG13" s="20">
        <f t="shared" si="7"/>
        <v>6.0895851343840945</v>
      </c>
      <c r="BH13" s="59">
        <f t="shared" si="8"/>
        <v>299.42291846771741</v>
      </c>
      <c r="BI13" s="59">
        <f ca="1">AVERAGE(OFFSET($BH$3,0,0,'Données projet'!$E$11+1,1))-AVERAGE(OFFSET($H$3,0,0,'Données projet'!$E$11+1,1))</f>
        <v>183.67580045784649</v>
      </c>
      <c r="BJ13" s="59">
        <f t="shared" si="38"/>
        <v>121.08269345608767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18</v>
      </c>
      <c r="BW13" s="12">
        <f>VLOOKUP(A13,'Données projet'!$A$113:$I$133,9,0)</f>
        <v>1.8</v>
      </c>
      <c r="BX13" s="12">
        <f t="array" ref="BX13">INDEX(BW:BW,MIN(IF(ISNUMBER(BW13:BW209),ROW(BW13:BW209),"")))</f>
        <v>1.8</v>
      </c>
      <c r="BY13" s="12">
        <f>IF('Données projet'!$A$114&gt;35,BY12+BX13-CG12,IF(A13&lt;'Données projet'!$A$114,$BV$205^A13,IF(A13='Données projet'!$A$114,'Données projet'!$B$114,BY12+BX13-CG12)))</f>
        <v>18</v>
      </c>
      <c r="BZ13" s="13">
        <f>BY13*VLOOKUP('Données projet'!$B$12,Paramètres!$A$1:$I$89,3,0)*VLOOKUP('Données projet'!$B$12,Paramètres!$A$1:$I$89,5,0)</f>
        <v>15.724800000000004</v>
      </c>
      <c r="CA13" s="13">
        <f t="shared" si="39"/>
        <v>5.2584129176484753</v>
      </c>
      <c r="CB13" s="20">
        <f t="shared" si="10"/>
        <v>36.545762498237771</v>
      </c>
      <c r="CC13" s="59">
        <f t="shared" si="11"/>
        <v>329.87909583157108</v>
      </c>
      <c r="CD13" s="59">
        <f ca="1">AVERAGE(OFFSET($CC$3,0,0,'Données projet'!$E$12+1,1))-AVERAGE(OFFSET($H$3,0,0,'Données projet'!$E$12+1,1))</f>
        <v>216.10252108537389</v>
      </c>
      <c r="CE13" s="59">
        <f t="shared" si="40"/>
        <v>196.91968622092054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2.5115384615384619</v>
      </c>
      <c r="CT13" s="12">
        <f>IF('Données projet'!$A$140&gt;35,CT12+CS13-DB12,IF(A13&lt;'Données projet'!$A$140,$CQ$205^A13,IF(A13='Données projet'!$A$140,'Données projet'!$B$140,CT12+CS13-DB12)))</f>
        <v>4.2236413141513127</v>
      </c>
      <c r="CU13" s="17">
        <f>CT13*VLOOKUP('Données projet'!$B$13,Paramètres!$A$1:$I$89,3,0)*VLOOKUP('Données projet'!$B$13,Paramètres!$A$1:$I$89,5,0)</f>
        <v>3.8215506610441077</v>
      </c>
      <c r="CV13" s="13">
        <f t="shared" si="41"/>
        <v>1.5066729602831042</v>
      </c>
      <c r="CW13" s="20">
        <f t="shared" si="13"/>
        <v>9.2799894738115594</v>
      </c>
      <c r="CX13" s="59">
        <f t="shared" si="14"/>
        <v>302.61332280714487</v>
      </c>
      <c r="CY13" s="59">
        <f ca="1">AVERAGE(OFFSET($CX$3,0,0,'Données projet'!$E$13+1,1))-AVERAGE(OFFSET($H$3,0,0,'Données projet'!$E$13+1,1))</f>
        <v>318.01858325056168</v>
      </c>
      <c r="CZ13" s="59">
        <f t="shared" si="42"/>
        <v>119.46953274700951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5.1479999999999997</v>
      </c>
      <c r="D14" s="11">
        <f t="shared" si="32"/>
        <v>1.9604504824312583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54.872249338065849</v>
      </c>
      <c r="H14" s="67">
        <f t="shared" si="1"/>
        <v>305.71388459023444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7.4312217194570129</v>
      </c>
      <c r="N14" s="13">
        <f>IF('Données projet'!$A$36&gt;35,N13+M14-V13,IF(A14&lt;'Données projet'!$A$36,$K$205^A14,IF(A14='Données projet'!$A$36,'Données projet'!$B$36,N13+M14-V13)))</f>
        <v>22.89813081553541</v>
      </c>
      <c r="O14" s="13">
        <f>N14*VLOOKUP('Données projet'!$B$9,Paramètres!$A$1:$I$89,3,0)*VLOOKUP('Données projet'!$B$9,Paramètres!$A$1:$I$89,5,0)</f>
        <v>13.693082227690176</v>
      </c>
      <c r="P14" s="13">
        <f t="shared" si="33"/>
        <v>4.6533373606794726</v>
      </c>
      <c r="Q14" s="20">
        <f t="shared" si="2"/>
        <v>31.953347449743802</v>
      </c>
      <c r="R14" s="59">
        <f t="shared" si="0"/>
        <v>325.28668078307714</v>
      </c>
      <c r="S14" s="59">
        <f ca="1">AVERAGE(OFFSET($R$3,0,0,'Données projet'!$E$9+1,1))-AVERAGE(OFFSET($H$3,0,0,'Données projet'!$E$9+1,1))</f>
        <v>200.15574321350221</v>
      </c>
      <c r="T14" s="59">
        <f t="shared" si="34"/>
        <v>200.70728852570426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>
        <f>VLOOKUP(A14,'Données projet'!$A$61:$I$81,2,0)</f>
        <v>41.897371794871802</v>
      </c>
      <c r="AG14" s="12">
        <f>VLOOKUP(A14,'Données projet'!$A$61:$I$81,9,0)</f>
        <v>9.3657051282051285</v>
      </c>
      <c r="AH14" s="12">
        <f t="array" ref="AH14">INDEX(AG:AG,MIN(IF(ISNUMBER(AG14:AG210),ROW(AG14:AG210),"")))</f>
        <v>9.3657051282051285</v>
      </c>
      <c r="AI14" s="13">
        <f>IF('Données projet'!$A$62&gt;35,AI13+AH14-AQ13,IF(A14&lt;'Données projet'!$A$62,$AF$205^A14,IF(A14='Données projet'!$A$62,'Données projet'!$B$62,AI13+AH14-AQ13)))</f>
        <v>41.897371794871802</v>
      </c>
      <c r="AJ14" s="13">
        <f>AI14*VLOOKUP('Données projet'!$B$10,Paramètres!$A$1:$I$89,3,0)*VLOOKUP('Données projet'!$B$10,Paramètres!$A$1:$I$89,5,0)</f>
        <v>21.307327400000005</v>
      </c>
      <c r="AK14" s="13">
        <f t="shared" si="35"/>
        <v>6.8776531640412015</v>
      </c>
      <c r="AL14" s="20">
        <f t="shared" si="4"/>
        <v>49.088841149038437</v>
      </c>
      <c r="AM14" s="59">
        <f t="shared" si="5"/>
        <v>342.42217448237176</v>
      </c>
      <c r="AN14" s="59">
        <f ca="1">AVERAGE(OFFSET($AM$3,0,0,'Données projet'!$E$10+1,1))-AVERAGE(OFFSET($H$3,0,0,'Données projet'!$E$10+1,1))</f>
        <v>45.407317338461951</v>
      </c>
      <c r="AO14" s="59">
        <f t="shared" si="36"/>
        <v>149.88701606165358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4.9084615384615384</v>
      </c>
      <c r="BD14" s="12">
        <f>IF('Données projet'!$A$88&gt;35,BD13+BC14-BL13,IF(A14&lt;'Données projet'!$A$88,$BA$205^A14,IF(A14='Données projet'!$A$88,'Données projet'!$B$88,BD13+BC14-BL13)))</f>
        <v>6.2367418843040729</v>
      </c>
      <c r="BE14" s="13">
        <f>BD14*VLOOKUP('Données projet'!$B$11,Paramètres!$A$1:$I$89,3,0)*VLOOKUP('Données projet'!$B$11,Paramètres!$A$1:$I$89,5,0)</f>
        <v>2.9187952018543064</v>
      </c>
      <c r="BF14" s="13">
        <f t="shared" si="37"/>
        <v>1.1874244488629264</v>
      </c>
      <c r="BG14" s="20">
        <f t="shared" si="7"/>
        <v>7.1516658916658464</v>
      </c>
      <c r="BH14" s="59">
        <f t="shared" si="8"/>
        <v>300.48499922499917</v>
      </c>
      <c r="BI14" s="59">
        <f ca="1">AVERAGE(OFFSET($BH$3,0,0,'Données projet'!$E$11+1,1))-AVERAGE(OFFSET($H$3,0,0,'Données projet'!$E$11+1,1))</f>
        <v>183.67580045784649</v>
      </c>
      <c r="BJ14" s="59">
        <f t="shared" si="38"/>
        <v>121.08269345608767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5.8</v>
      </c>
      <c r="BY14" s="12">
        <f>IF('Données projet'!$A$114&gt;35,BY13+BX14-CG13,IF(A14&lt;'Données projet'!$A$114,$BV$205^A14,IF(A14='Données projet'!$A$114,'Données projet'!$B$114,BY13+BX14-CG13)))</f>
        <v>23.8</v>
      </c>
      <c r="BZ14" s="13">
        <f>BY14*VLOOKUP('Données projet'!$B$12,Paramètres!$A$1:$I$89,3,0)*VLOOKUP('Données projet'!$B$12,Paramètres!$A$1:$I$89,5,0)</f>
        <v>20.791680000000003</v>
      </c>
      <c r="CA14" s="13">
        <f t="shared" si="39"/>
        <v>6.7303755760501467</v>
      </c>
      <c r="CB14" s="20">
        <f t="shared" si="10"/>
        <v>47.934246794954014</v>
      </c>
      <c r="CC14" s="59">
        <f t="shared" si="11"/>
        <v>341.26758012828731</v>
      </c>
      <c r="CD14" s="59">
        <f ca="1">AVERAGE(OFFSET($CC$3,0,0,'Données projet'!$E$12+1,1))-AVERAGE(OFFSET($H$3,0,0,'Données projet'!$E$12+1,1))</f>
        <v>216.10252108537389</v>
      </c>
      <c r="CE14" s="59">
        <f t="shared" si="40"/>
        <v>196.91968622092054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2.5115384615384619</v>
      </c>
      <c r="CT14" s="12">
        <f>IF('Données projet'!$A$140&gt;35,CT13+CS14-DB13,IF(A14&lt;'Données projet'!$A$140,$CQ$205^A14,IF(A14='Données projet'!$A$140,'Données projet'!$B$140,CT13+CS14-DB13)))</f>
        <v>4.8781565351481309</v>
      </c>
      <c r="CU14" s="17">
        <f>CT14*VLOOKUP('Données projet'!$B$13,Paramètres!$A$1:$I$89,3,0)*VLOOKUP('Données projet'!$B$13,Paramètres!$A$1:$I$89,5,0)</f>
        <v>4.413756033002028</v>
      </c>
      <c r="CV14" s="13">
        <f t="shared" si="41"/>
        <v>1.7112154793290431</v>
      </c>
      <c r="CW14" s="20">
        <f t="shared" si="13"/>
        <v>10.66765871730995</v>
      </c>
      <c r="CX14" s="59">
        <f t="shared" si="14"/>
        <v>304.00099205064328</v>
      </c>
      <c r="CY14" s="59">
        <f ca="1">AVERAGE(OFFSET($CX$3,0,0,'Données projet'!$E$13+1,1))-AVERAGE(OFFSET($H$3,0,0,'Données projet'!$E$13+1,1))</f>
        <v>318.01858325056168</v>
      </c>
      <c r="CZ14" s="59">
        <f t="shared" si="42"/>
        <v>119.46953274700951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5.6159999999999997</v>
      </c>
      <c r="D15" s="11">
        <f t="shared" si="32"/>
        <v>2.1171218270411956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59.694273752598697</v>
      </c>
      <c r="H15" s="67">
        <f t="shared" si="1"/>
        <v>306.80185384876341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7.4312217194570129</v>
      </c>
      <c r="N15" s="13">
        <f>IF('Données projet'!$A$36&gt;35,N14+M15-V14,IF(A15&lt;'Données projet'!$A$36,$K$205^A15,IF(A15='Données projet'!$A$36,'Données projet'!$B$36,N14+M15-V14)))</f>
        <v>30.438147473844893</v>
      </c>
      <c r="O15" s="13">
        <f>N15*VLOOKUP('Données projet'!$B$9,Paramètres!$A$1:$I$89,3,0)*VLOOKUP('Données projet'!$B$9,Paramètres!$A$1:$I$89,5,0)</f>
        <v>18.202012189359248</v>
      </c>
      <c r="P15" s="13">
        <f t="shared" si="33"/>
        <v>5.984027317903192</v>
      </c>
      <c r="Q15" s="20">
        <f t="shared" si="2"/>
        <v>42.124018808482084</v>
      </c>
      <c r="R15" s="59">
        <f t="shared" si="0"/>
        <v>335.45735214181542</v>
      </c>
      <c r="S15" s="59">
        <f ca="1">AVERAGE(OFFSET($R$3,0,0,'Données projet'!$E$9+1,1))-AVERAGE(OFFSET($H$3,0,0,'Données projet'!$E$9+1,1))</f>
        <v>200.15574321350221</v>
      </c>
      <c r="T15" s="59">
        <f t="shared" si="34"/>
        <v>200.70728852570426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52.055000000000014</v>
      </c>
      <c r="AG15" s="12">
        <f>VLOOKUP(A15,'Données projet'!$A$61:$I$81,9,0)</f>
        <v>10.157628205128212</v>
      </c>
      <c r="AH15" s="12">
        <f t="array" ref="AH15">INDEX(AG:AG,MIN(IF(ISNUMBER(AG15:AG211),ROW(AG15:AG211),"")))</f>
        <v>10.157628205128212</v>
      </c>
      <c r="AI15" s="13">
        <f>IF('Données projet'!$A$62&gt;35,AI14+AH15-AQ14,IF(A15&lt;'Données projet'!$A$62,$AF$205^A15,IF(A15='Données projet'!$A$62,'Données projet'!$B$62,AI14+AH15-AQ14)))</f>
        <v>52.055000000000014</v>
      </c>
      <c r="AJ15" s="13">
        <f>AI15*VLOOKUP('Données projet'!$B$10,Paramètres!$A$1:$I$89,3,0)*VLOOKUP('Données projet'!$B$10,Paramètres!$A$1:$I$89,5,0)</f>
        <v>26.473090800000008</v>
      </c>
      <c r="AK15" s="13">
        <f t="shared" si="35"/>
        <v>8.3318655450791184</v>
      </c>
      <c r="AL15" s="20">
        <f t="shared" si="4"/>
        <v>60.618632301012809</v>
      </c>
      <c r="AM15" s="59">
        <f t="shared" si="5"/>
        <v>353.95196563434615</v>
      </c>
      <c r="AN15" s="59">
        <f ca="1">AVERAGE(OFFSET($AM$3,0,0,'Données projet'!$E$10+1,1))-AVERAGE(OFFSET($H$3,0,0,'Données projet'!$E$10+1,1))</f>
        <v>45.407317338461951</v>
      </c>
      <c r="AO15" s="59">
        <f t="shared" si="36"/>
        <v>149.88701606165358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4.9084615384615384</v>
      </c>
      <c r="BD15" s="12">
        <f>IF('Données projet'!$A$88&gt;35,BD14+BC15-BL14,IF(A15&lt;'Données projet'!$A$88,$BA$205^A15,IF(A15='Données projet'!$A$88,'Données projet'!$B$88,BD14+BC15-BL14)))</f>
        <v>7.3659142514897171</v>
      </c>
      <c r="BE15" s="13">
        <f>BD15*VLOOKUP('Données projet'!$B$11,Paramètres!$A$1:$I$89,3,0)*VLOOKUP('Données projet'!$B$11,Paramètres!$A$1:$I$89,5,0)</f>
        <v>3.447247869697188</v>
      </c>
      <c r="BF15" s="13">
        <f t="shared" si="37"/>
        <v>1.3755069097464061</v>
      </c>
      <c r="BG15" s="20">
        <f t="shared" si="7"/>
        <v>8.3996312408642595</v>
      </c>
      <c r="BH15" s="59">
        <f t="shared" si="8"/>
        <v>301.73296457419758</v>
      </c>
      <c r="BI15" s="59">
        <f ca="1">AVERAGE(OFFSET($BH$3,0,0,'Données projet'!$E$11+1,1))-AVERAGE(OFFSET($H$3,0,0,'Données projet'!$E$11+1,1))</f>
        <v>183.67580045784649</v>
      </c>
      <c r="BJ15" s="59">
        <f t="shared" si="38"/>
        <v>121.08269345608767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5.8</v>
      </c>
      <c r="BY15" s="12">
        <f>IF('Données projet'!$A$114&gt;35,BY14+BX15-CG14,IF(A15&lt;'Données projet'!$A$114,$BV$205^A15,IF(A15='Données projet'!$A$114,'Données projet'!$B$114,BY14+BX15-CG14)))</f>
        <v>29.6</v>
      </c>
      <c r="BZ15" s="13">
        <f>BY15*VLOOKUP('Données projet'!$B$12,Paramètres!$A$1:$I$89,3,0)*VLOOKUP('Données projet'!$B$12,Paramètres!$A$1:$I$89,5,0)</f>
        <v>25.858560000000008</v>
      </c>
      <c r="CA15" s="13">
        <f t="shared" si="39"/>
        <v>8.1607346448714608</v>
      </c>
      <c r="CB15" s="20">
        <f t="shared" si="10"/>
        <v>59.250271506484466</v>
      </c>
      <c r="CC15" s="59">
        <f t="shared" si="11"/>
        <v>352.58360483981778</v>
      </c>
      <c r="CD15" s="59">
        <f ca="1">AVERAGE(OFFSET($CC$3,0,0,'Données projet'!$E$12+1,1))-AVERAGE(OFFSET($H$3,0,0,'Données projet'!$E$12+1,1))</f>
        <v>216.10252108537389</v>
      </c>
      <c r="CE15" s="59">
        <f t="shared" si="40"/>
        <v>196.91968622092054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2.5115384615384619</v>
      </c>
      <c r="CT15" s="12">
        <f>IF('Données projet'!$A$140&gt;35,CT14+CS15-DB14,IF(A15&lt;'Données projet'!$A$140,$CQ$205^A15,IF(A15='Données projet'!$A$140,'Données projet'!$B$140,CT14+CS15-DB14)))</f>
        <v>5.6340984973507391</v>
      </c>
      <c r="CU15" s="17">
        <f>CT15*VLOOKUP('Données projet'!$B$13,Paramètres!$A$1:$I$89,3,0)*VLOOKUP('Données projet'!$B$13,Paramètres!$A$1:$I$89,5,0)</f>
        <v>5.0977323204029483</v>
      </c>
      <c r="CV15" s="13">
        <f t="shared" si="41"/>
        <v>1.9435262289071051</v>
      </c>
      <c r="CW15" s="20">
        <f t="shared" si="13"/>
        <v>12.26352530671501</v>
      </c>
      <c r="CX15" s="59">
        <f t="shared" si="14"/>
        <v>305.59685864004831</v>
      </c>
      <c r="CY15" s="59">
        <f ca="1">AVERAGE(OFFSET($CX$3,0,0,'Données projet'!$E$13+1,1))-AVERAGE(OFFSET($H$3,0,0,'Données projet'!$E$13+1,1))</f>
        <v>318.01858325056168</v>
      </c>
      <c r="CZ15" s="59">
        <f t="shared" si="42"/>
        <v>119.46953274700951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6.0839999999999996</v>
      </c>
      <c r="D16" s="11">
        <f t="shared" si="32"/>
        <v>2.2722789577396263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64.504609498340969</v>
      </c>
      <c r="H16" s="67">
        <f t="shared" si="1"/>
        <v>307.88718585139651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7.4312217194570129</v>
      </c>
      <c r="N16" s="13">
        <f>IF('Données projet'!$A$36&gt;35,N15+M16-V15,IF(A16&lt;'Données projet'!$A$36,$K$205^A16,IF(A16='Données projet'!$A$36,'Données projet'!$B$36,N15+M16-V15)))</f>
        <v>40.460980378841768</v>
      </c>
      <c r="O16" s="13">
        <f>N16*VLOOKUP('Données projet'!$B$9,Paramètres!$A$1:$I$89,3,0)*VLOOKUP('Données projet'!$B$9,Paramètres!$A$1:$I$89,5,0)</f>
        <v>24.195666266547377</v>
      </c>
      <c r="P16" s="13">
        <f t="shared" si="33"/>
        <v>7.6952475537219458</v>
      </c>
      <c r="Q16" s="20">
        <f t="shared" si="2"/>
        <v>55.543341570302402</v>
      </c>
      <c r="R16" s="59">
        <f t="shared" si="0"/>
        <v>348.87667490363572</v>
      </c>
      <c r="S16" s="59">
        <f ca="1">AVERAGE(OFFSET($R$3,0,0,'Données projet'!$E$9+1,1))-AVERAGE(OFFSET($H$3,0,0,'Données projet'!$E$9+1,1))</f>
        <v>200.15574321350221</v>
      </c>
      <c r="T16" s="59">
        <f t="shared" si="34"/>
        <v>200.70728852570426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>
        <f>VLOOKUP(A16,'Données projet'!$A$61:$I$81,2,0)</f>
        <v>62.922243589743587</v>
      </c>
      <c r="AG16" s="12">
        <f>VLOOKUP(A16,'Données projet'!$A$61:$I$81,9,0)</f>
        <v>10.867243589743573</v>
      </c>
      <c r="AH16" s="12">
        <f t="array" ref="AH16">INDEX(AG:AG,MIN(IF(ISNUMBER(AG16:AG212),ROW(AG16:AG212),"")))</f>
        <v>10.867243589743573</v>
      </c>
      <c r="AI16" s="13">
        <f>IF('Données projet'!$A$62&gt;35,AI15+AH16-AQ15,IF(A16&lt;'Données projet'!$A$62,$AF$205^A16,IF(A16='Données projet'!$A$62,'Données projet'!$B$62,AI15+AH16-AQ15)))</f>
        <v>62.922243589743587</v>
      </c>
      <c r="AJ16" s="13">
        <f>AI16*VLOOKUP('Données projet'!$B$10,Paramètres!$A$1:$I$89,3,0)*VLOOKUP('Données projet'!$B$10,Paramètres!$A$1:$I$89,5,0)</f>
        <v>31.999736200000001</v>
      </c>
      <c r="AK16" s="13">
        <f t="shared" si="35"/>
        <v>9.8514333218495498</v>
      </c>
      <c r="AL16" s="20">
        <f t="shared" si="4"/>
        <v>72.890786917221291</v>
      </c>
      <c r="AM16" s="59">
        <f t="shared" si="5"/>
        <v>366.22412025055462</v>
      </c>
      <c r="AN16" s="59">
        <f ca="1">AVERAGE(OFFSET($AM$3,0,0,'Données projet'!$E$10+1,1))-AVERAGE(OFFSET($H$3,0,0,'Données projet'!$E$10+1,1))</f>
        <v>45.407317338461951</v>
      </c>
      <c r="AO16" s="59">
        <f t="shared" si="36"/>
        <v>149.88701606165358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4.9084615384615384</v>
      </c>
      <c r="BD16" s="12">
        <f>IF('Données projet'!$A$88&gt;35,BD15+BC16-BL15,IF(A16&lt;'Données projet'!$A$88,$BA$205^A16,IF(A16='Données projet'!$A$88,'Données projet'!$B$88,BD15+BC16-BL15)))</f>
        <v>8.6995251313584792</v>
      </c>
      <c r="BE16" s="13">
        <f>BD16*VLOOKUP('Données projet'!$B$11,Paramètres!$A$1:$I$89,3,0)*VLOOKUP('Données projet'!$B$11,Paramètres!$A$1:$I$89,5,0)</f>
        <v>4.0713777614757687</v>
      </c>
      <c r="BF16" s="13">
        <f t="shared" si="37"/>
        <v>1.5933807498842545</v>
      </c>
      <c r="BG16" s="20">
        <f t="shared" si="7"/>
        <v>9.8661210739520406</v>
      </c>
      <c r="BH16" s="59">
        <f t="shared" si="8"/>
        <v>303.19945440728537</v>
      </c>
      <c r="BI16" s="59">
        <f ca="1">AVERAGE(OFFSET($BH$3,0,0,'Données projet'!$E$11+1,1))-AVERAGE(OFFSET($H$3,0,0,'Données projet'!$E$11+1,1))</f>
        <v>183.67580045784649</v>
      </c>
      <c r="BJ16" s="59">
        <f t="shared" si="38"/>
        <v>121.08269345608767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5.8</v>
      </c>
      <c r="BY16" s="12">
        <f>IF('Données projet'!$A$114&gt;35,BY15+BX16-CG15,IF(A16&lt;'Données projet'!$A$114,$BV$205^A16,IF(A16='Données projet'!$A$114,'Données projet'!$B$114,BY15+BX16-CG15)))</f>
        <v>35.4</v>
      </c>
      <c r="BZ16" s="13">
        <f>BY16*VLOOKUP('Données projet'!$B$12,Paramètres!$A$1:$I$89,3,0)*VLOOKUP('Données projet'!$B$12,Paramètres!$A$1:$I$89,5,0)</f>
        <v>30.925440000000002</v>
      </c>
      <c r="CA16" s="13">
        <f t="shared" si="39"/>
        <v>9.5586196975402125</v>
      </c>
      <c r="CB16" s="20">
        <f t="shared" si="10"/>
        <v>70.509737306549212</v>
      </c>
      <c r="CC16" s="59">
        <f t="shared" si="11"/>
        <v>363.84307063988251</v>
      </c>
      <c r="CD16" s="59">
        <f ca="1">AVERAGE(OFFSET($CC$3,0,0,'Données projet'!$E$12+1,1))-AVERAGE(OFFSET($H$3,0,0,'Données projet'!$E$12+1,1))</f>
        <v>216.10252108537389</v>
      </c>
      <c r="CE16" s="59">
        <f t="shared" si="40"/>
        <v>196.91968622092054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2.5115384615384619</v>
      </c>
      <c r="CT16" s="12">
        <f>IF('Données projet'!$A$140&gt;35,CT15+CS16-DB15,IF(A16&lt;'Données projet'!$A$140,$CQ$205^A16,IF(A16='Données projet'!$A$140,'Données projet'!$B$140,CT15+CS16-DB15)))</f>
        <v>6.5071847631650357</v>
      </c>
      <c r="CU16" s="17">
        <f>CT16*VLOOKUP('Données projet'!$B$13,Paramètres!$A$1:$I$89,3,0)*VLOOKUP('Données projet'!$B$13,Paramètres!$A$1:$I$89,5,0)</f>
        <v>5.8877007737117237</v>
      </c>
      <c r="CV16" s="13">
        <f t="shared" si="41"/>
        <v>2.2073749612941369</v>
      </c>
      <c r="CW16" s="20">
        <f t="shared" si="13"/>
        <v>14.098923571801871</v>
      </c>
      <c r="CX16" s="59">
        <f t="shared" si="14"/>
        <v>307.4322569051352</v>
      </c>
      <c r="CY16" s="59">
        <f ca="1">AVERAGE(OFFSET($CX$3,0,0,'Données projet'!$E$13+1,1))-AVERAGE(OFFSET($H$3,0,0,'Données projet'!$E$13+1,1))</f>
        <v>318.01858325056168</v>
      </c>
      <c r="CZ16" s="59">
        <f t="shared" si="42"/>
        <v>119.46953274700951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6.5519999999999996</v>
      </c>
      <c r="D17" s="11">
        <f t="shared" si="32"/>
        <v>2.4260515959655735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69.304257933769335</v>
      </c>
      <c r="H17" s="67">
        <f t="shared" si="1"/>
        <v>308.97010652964002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7.4312217194570129</v>
      </c>
      <c r="N17" s="13">
        <f>IF('Données projet'!$A$36&gt;35,N16+M17-V16,IF(A17&lt;'Données projet'!$A$36,$K$205^A17,IF(A17='Données projet'!$A$36,'Données projet'!$B$36,N16+M17-V16)))</f>
        <v>53.784184291233551</v>
      </c>
      <c r="O17" s="13">
        <f>N17*VLOOKUP('Données projet'!$B$9,Paramètres!$A$1:$I$89,3,0)*VLOOKUP('Données projet'!$B$9,Paramètres!$A$1:$I$89,5,0)</f>
        <v>32.162942206157666</v>
      </c>
      <c r="P17" s="13">
        <f t="shared" si="33"/>
        <v>9.8958162734145461</v>
      </c>
      <c r="Q17" s="20">
        <f t="shared" si="2"/>
        <v>73.252337685254929</v>
      </c>
      <c r="R17" s="59">
        <f t="shared" si="0"/>
        <v>366.58567101858824</v>
      </c>
      <c r="S17" s="59">
        <f ca="1">AVERAGE(OFFSET($R$3,0,0,'Données projet'!$E$9+1,1))-AVERAGE(OFFSET($H$3,0,0,'Données projet'!$E$9+1,1))</f>
        <v>200.15574321350221</v>
      </c>
      <c r="T17" s="59">
        <f t="shared" si="34"/>
        <v>200.70728852570426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>
        <f>VLOOKUP(A17,'Données projet'!$A$61:$I$81,2,0)</f>
        <v>74.416794871794863</v>
      </c>
      <c r="AG17" s="12">
        <f>VLOOKUP(A17,'Données projet'!$A$61:$I$81,9,0)</f>
        <v>11.494551282051276</v>
      </c>
      <c r="AH17" s="12">
        <f t="array" ref="AH17">INDEX(AG:AG,MIN(IF(ISNUMBER(AG17:AG213),ROW(AG17:AG213),"")))</f>
        <v>11.494551282051276</v>
      </c>
      <c r="AI17" s="13">
        <f>IF('Données projet'!$A$62&gt;35,AI16+AH17-AQ16,IF(A17&lt;'Données projet'!$A$62,$AF$205^A17,IF(A17='Données projet'!$A$62,'Données projet'!$B$62,AI16+AH17-AQ16)))</f>
        <v>74.416794871794863</v>
      </c>
      <c r="AJ17" s="13">
        <f>AI17*VLOOKUP('Données projet'!$B$10,Paramètres!$A$1:$I$89,3,0)*VLOOKUP('Données projet'!$B$10,Paramètres!$A$1:$I$89,5,0)</f>
        <v>37.845405200000002</v>
      </c>
      <c r="AK17" s="13">
        <f t="shared" si="35"/>
        <v>11.425744087968779</v>
      </c>
      <c r="AL17" s="20">
        <f t="shared" si="4"/>
        <v>85.813918343212279</v>
      </c>
      <c r="AM17" s="59">
        <f t="shared" si="5"/>
        <v>379.14725167654558</v>
      </c>
      <c r="AN17" s="59">
        <f ca="1">AVERAGE(OFFSET($AM$3,0,0,'Données projet'!$E$10+1,1))-AVERAGE(OFFSET($H$3,0,0,'Données projet'!$E$10+1,1))</f>
        <v>45.407317338461951</v>
      </c>
      <c r="AO17" s="59">
        <f t="shared" si="36"/>
        <v>149.88701606165358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4.9084615384615384</v>
      </c>
      <c r="BD17" s="12">
        <f>IF('Données projet'!$A$88&gt;35,BD16+BC17-BL16,IF(A17&lt;'Données projet'!$A$88,$BA$205^A17,IF(A17='Données projet'!$A$88,'Données projet'!$B$88,BD16+BC17-BL16)))</f>
        <v>10.27458845259182</v>
      </c>
      <c r="BE17" s="13">
        <f>BD17*VLOOKUP('Données projet'!$B$11,Paramètres!$A$1:$I$89,3,0)*VLOOKUP('Données projet'!$B$11,Paramètres!$A$1:$I$89,5,0)</f>
        <v>4.8085073958129714</v>
      </c>
      <c r="BF17" s="13">
        <f t="shared" si="37"/>
        <v>1.8457647839586531</v>
      </c>
      <c r="BG17" s="20">
        <f t="shared" si="7"/>
        <v>11.589524046435578</v>
      </c>
      <c r="BH17" s="59">
        <f t="shared" si="8"/>
        <v>304.92285737976891</v>
      </c>
      <c r="BI17" s="59">
        <f ca="1">AVERAGE(OFFSET($BH$3,0,0,'Données projet'!$E$11+1,1))-AVERAGE(OFFSET($H$3,0,0,'Données projet'!$E$11+1,1))</f>
        <v>183.67580045784649</v>
      </c>
      <c r="BJ17" s="59">
        <f t="shared" si="38"/>
        <v>121.08269345608767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5.8</v>
      </c>
      <c r="BY17" s="12">
        <f>IF('Données projet'!$A$114&gt;35,BY16+BX17-CG16,IF(A17&lt;'Données projet'!$A$114,$BV$205^A17,IF(A17='Données projet'!$A$114,'Données projet'!$B$114,BY16+BX17-CG16)))</f>
        <v>41.199999999999996</v>
      </c>
      <c r="BZ17" s="13">
        <f>BY17*VLOOKUP('Données projet'!$B$12,Paramètres!$A$1:$I$89,3,0)*VLOOKUP('Données projet'!$B$12,Paramètres!$A$1:$I$89,5,0)</f>
        <v>35.992319999999999</v>
      </c>
      <c r="CA17" s="13">
        <f t="shared" si="39"/>
        <v>10.929972788578748</v>
      </c>
      <c r="CB17" s="20">
        <f t="shared" si="10"/>
        <v>81.722993273441304</v>
      </c>
      <c r="CC17" s="59">
        <f t="shared" si="11"/>
        <v>375.05632660677463</v>
      </c>
      <c r="CD17" s="59">
        <f ca="1">AVERAGE(OFFSET($CC$3,0,0,'Données projet'!$E$12+1,1))-AVERAGE(OFFSET($H$3,0,0,'Données projet'!$E$12+1,1))</f>
        <v>216.10252108537389</v>
      </c>
      <c r="CE17" s="59">
        <f t="shared" si="40"/>
        <v>196.91968622092054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2.5115384615384619</v>
      </c>
      <c r="CT17" s="12">
        <f>IF('Données projet'!$A$140&gt;35,CT16+CS17-DB16,IF(A17&lt;'Données projet'!$A$140,$CQ$205^A17,IF(A17='Données projet'!$A$140,'Données projet'!$B$140,CT16+CS17-DB16)))</f>
        <v>7.5155685620118104</v>
      </c>
      <c r="CU17" s="17">
        <f>CT17*VLOOKUP('Données projet'!$B$13,Paramètres!$A$1:$I$89,3,0)*VLOOKUP('Données projet'!$B$13,Paramètres!$A$1:$I$89,5,0)</f>
        <v>6.8000864349082857</v>
      </c>
      <c r="CV17" s="13">
        <f t="shared" si="41"/>
        <v>2.5070432018240512</v>
      </c>
      <c r="CW17" s="20">
        <f t="shared" si="13"/>
        <v>16.209917450642156</v>
      </c>
      <c r="CX17" s="59">
        <f t="shared" si="14"/>
        <v>309.54325078397545</v>
      </c>
      <c r="CY17" s="59">
        <f ca="1">AVERAGE(OFFSET($CX$3,0,0,'Données projet'!$E$13+1,1))-AVERAGE(OFFSET($H$3,0,0,'Données projet'!$E$13+1,1))</f>
        <v>318.01858325056168</v>
      </c>
      <c r="CZ17" s="59">
        <f t="shared" si="42"/>
        <v>119.46953274700951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7.02</v>
      </c>
      <c r="D18" s="11">
        <f t="shared" si="32"/>
        <v>2.5785498814341232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74.094069260193223</v>
      </c>
      <c r="H18" s="67">
        <f t="shared" si="1"/>
        <v>310.05080771016441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7.4312217194570129</v>
      </c>
      <c r="N18" s="13">
        <f>IF('Données projet'!$A$36&gt;35,N17+M18-V17,IF(A18&lt;'Données projet'!$A$36,$K$205^A18,IF(A18='Données projet'!$A$36,'Données projet'!$B$36,N17+M18-V17)))</f>
        <v>71.494522692931866</v>
      </c>
      <c r="O18" s="13">
        <f>N18*VLOOKUP('Données projet'!$B$9,Paramètres!$A$1:$I$89,3,0)*VLOOKUP('Données projet'!$B$9,Paramètres!$A$1:$I$89,5,0)</f>
        <v>42.753724570373258</v>
      </c>
      <c r="P18" s="13">
        <f t="shared" si="33"/>
        <v>12.725669841487028</v>
      </c>
      <c r="Q18" s="20">
        <f t="shared" si="2"/>
        <v>96.626611933989992</v>
      </c>
      <c r="R18" s="59">
        <f t="shared" si="0"/>
        <v>389.95994526732329</v>
      </c>
      <c r="S18" s="59">
        <f ca="1">AVERAGE(OFFSET($R$3,0,0,'Données projet'!$E$9+1,1))-AVERAGE(OFFSET($H$3,0,0,'Données projet'!$E$9+1,1))</f>
        <v>200.15574321350221</v>
      </c>
      <c r="T18" s="59">
        <f t="shared" si="34"/>
        <v>200.70728852570426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86.456346153846169</v>
      </c>
      <c r="AG18" s="12">
        <f>VLOOKUP(A18,'Données projet'!$A$61:$I$81,9,0)</f>
        <v>12.039551282051306</v>
      </c>
      <c r="AH18" s="12">
        <f t="array" ref="AH18">INDEX(AG:AG,MIN(IF(ISNUMBER(AG18:AG214),ROW(AG18:AG214),"")))</f>
        <v>12.039551282051306</v>
      </c>
      <c r="AI18" s="13">
        <f>IF('Données projet'!$A$62&gt;35,AI17+AH18-AQ17,IF(A18&lt;'Données projet'!$A$62,$AF$205^A18,IF(A18='Données projet'!$A$62,'Données projet'!$B$62,AI17+AH18-AQ17)))</f>
        <v>86.456346153846169</v>
      </c>
      <c r="AJ18" s="13">
        <f>AI18*VLOOKUP('Données projet'!$B$10,Paramètres!$A$1:$I$89,3,0)*VLOOKUP('Données projet'!$B$10,Paramètres!$A$1:$I$89,5,0)</f>
        <v>43.968239400000009</v>
      </c>
      <c r="AK18" s="13">
        <f t="shared" si="35"/>
        <v>13.04456953567075</v>
      </c>
      <c r="AL18" s="20">
        <f t="shared" si="4"/>
        <v>99.297308896293245</v>
      </c>
      <c r="AM18" s="59">
        <f t="shared" si="5"/>
        <v>392.63064222962657</v>
      </c>
      <c r="AN18" s="59">
        <f ca="1">AVERAGE(OFFSET($AM$3,0,0,'Données projet'!$E$10+1,1))-AVERAGE(OFFSET($H$3,0,0,'Données projet'!$E$10+1,1))</f>
        <v>45.407317338461951</v>
      </c>
      <c r="AO18" s="59">
        <f t="shared" si="36"/>
        <v>149.88701606165358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4.9084615384615384</v>
      </c>
      <c r="BD18" s="12">
        <f>IF('Données projet'!$A$88&gt;35,BD17+BC18-BL17,IF(A18&lt;'Données projet'!$A$88,$BA$205^A18,IF(A18='Données projet'!$A$88,'Données projet'!$B$88,BD17+BC18-BL17)))</f>
        <v>12.134819576485119</v>
      </c>
      <c r="BE18" s="13">
        <f>BD18*VLOOKUP('Données projet'!$B$11,Paramètres!$A$1:$I$89,3,0)*VLOOKUP('Données projet'!$B$11,Paramètres!$A$1:$I$89,5,0)</f>
        <v>5.6790955617950356</v>
      </c>
      <c r="BF18" s="13">
        <f t="shared" si="37"/>
        <v>2.1381252647550886</v>
      </c>
      <c r="BG18" s="20">
        <f t="shared" si="7"/>
        <v>13.614992939574798</v>
      </c>
      <c r="BH18" s="59">
        <f t="shared" si="8"/>
        <v>306.9483262729081</v>
      </c>
      <c r="BI18" s="59">
        <f ca="1">AVERAGE(OFFSET($BH$3,0,0,'Données projet'!$E$11+1,1))-AVERAGE(OFFSET($H$3,0,0,'Données projet'!$E$11+1,1))</f>
        <v>183.67580045784649</v>
      </c>
      <c r="BJ18" s="59">
        <f t="shared" si="38"/>
        <v>121.08269345608767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47</v>
      </c>
      <c r="BW18" s="12">
        <f>VLOOKUP(A18,'Données projet'!$A$113:$I$133,9,0)</f>
        <v>5.8</v>
      </c>
      <c r="BX18" s="12">
        <f t="array" ref="BX18">INDEX(BW:BW,MIN(IF(ISNUMBER(BW18:BW214),ROW(BW18:BW214),"")))</f>
        <v>5.8</v>
      </c>
      <c r="BY18" s="12">
        <f>IF('Données projet'!$A$114&gt;35,BY17+BX18-CG17,IF(A18&lt;'Données projet'!$A$114,$BV$205^A18,IF(A18='Données projet'!$A$114,'Données projet'!$B$114,BY17+BX18-CG17)))</f>
        <v>46.999999999999993</v>
      </c>
      <c r="BZ18" s="13">
        <f>BY18*VLOOKUP('Données projet'!$B$12,Paramètres!$A$1:$I$89,3,0)*VLOOKUP('Données projet'!$B$12,Paramètres!$A$1:$I$89,5,0)</f>
        <v>41.059200000000004</v>
      </c>
      <c r="CA18" s="13">
        <f t="shared" si="39"/>
        <v>12.278959527914743</v>
      </c>
      <c r="CB18" s="20">
        <f t="shared" si="10"/>
        <v>92.897294511118176</v>
      </c>
      <c r="CC18" s="59">
        <f t="shared" si="11"/>
        <v>386.23062784445148</v>
      </c>
      <c r="CD18" s="59">
        <f ca="1">AVERAGE(OFFSET($CC$3,0,0,'Données projet'!$E$12+1,1))-AVERAGE(OFFSET($H$3,0,0,'Données projet'!$E$12+1,1))</f>
        <v>216.10252108537389</v>
      </c>
      <c r="CE18" s="59">
        <f t="shared" si="40"/>
        <v>196.91968622092054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2.5115384615384619</v>
      </c>
      <c r="CT18" s="12">
        <f>IF('Données projet'!$A$140&gt;35,CT17+CS18-DB17,IF(A18&lt;'Données projet'!$A$140,$CQ$205^A18,IF(A18='Données projet'!$A$140,'Données projet'!$B$140,CT17+CS18-DB17)))</f>
        <v>8.6802162326841756</v>
      </c>
      <c r="CU18" s="17">
        <f>CT18*VLOOKUP('Données projet'!$B$13,Paramètres!$A$1:$I$89,3,0)*VLOOKUP('Données projet'!$B$13,Paramètres!$A$1:$I$89,5,0)</f>
        <v>7.8538596473326416</v>
      </c>
      <c r="CV18" s="13">
        <f t="shared" si="41"/>
        <v>2.8473937260424811</v>
      </c>
      <c r="CW18" s="20">
        <f t="shared" si="13"/>
        <v>18.638016291961673</v>
      </c>
      <c r="CX18" s="59">
        <f t="shared" si="14"/>
        <v>311.97134962529498</v>
      </c>
      <c r="CY18" s="59">
        <f ca="1">AVERAGE(OFFSET($CX$3,0,0,'Données projet'!$E$13+1,1))-AVERAGE(OFFSET($H$3,0,0,'Données projet'!$E$13+1,1))</f>
        <v>318.01858325056168</v>
      </c>
      <c r="CZ18" s="59">
        <f t="shared" si="42"/>
        <v>119.46953274700951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7.4879999999999995</v>
      </c>
      <c r="D19" s="11">
        <f t="shared" si="32"/>
        <v>2.7298684377500635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78.874773905439085</v>
      </c>
      <c r="H19" s="67">
        <f t="shared" si="1"/>
        <v>311.129454195748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7.4312217194570129</v>
      </c>
      <c r="N19" s="13">
        <f>IF('Données projet'!$A$36&gt;35,N18+M19-V18,IF(A19&lt;'Données projet'!$A$36,$K$205^A19,IF(A19='Données projet'!$A$36,'Données projet'!$B$36,N18+M19-V18)))</f>
        <v>95.036614247271999</v>
      </c>
      <c r="O19" s="13">
        <f>N19*VLOOKUP('Données projet'!$B$9,Paramètres!$A$1:$I$89,3,0)*VLOOKUP('Données projet'!$B$9,Paramètres!$A$1:$I$89,5,0)</f>
        <v>56.831895319868664</v>
      </c>
      <c r="P19" s="13">
        <f t="shared" si="33"/>
        <v>16.364761474967661</v>
      </c>
      <c r="Q19" s="20">
        <f t="shared" si="2"/>
        <v>127.4841772510066</v>
      </c>
      <c r="R19" s="59">
        <f t="shared" si="0"/>
        <v>420.81751058433991</v>
      </c>
      <c r="S19" s="59">
        <f ca="1">AVERAGE(OFFSET($R$3,0,0,'Données projet'!$E$9+1,1))-AVERAGE(OFFSET($H$3,0,0,'Données projet'!$E$9+1,1))</f>
        <v>200.15574321350221</v>
      </c>
      <c r="T19" s="59">
        <f t="shared" si="34"/>
        <v>200.70728852570426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>
        <f>VLOOKUP(A19,'Données projet'!$A$61:$I$81,2,0)</f>
        <v>98.958589743589755</v>
      </c>
      <c r="AG19" s="12">
        <f>VLOOKUP(A19,'Données projet'!$A$61:$I$81,9,0)</f>
        <v>12.502243589743586</v>
      </c>
      <c r="AH19" s="12">
        <f t="array" ref="AH19">INDEX(AG:AG,MIN(IF(ISNUMBER(AG19:AG215),ROW(AG19:AG215),"")))</f>
        <v>12.502243589743586</v>
      </c>
      <c r="AI19" s="13">
        <f>IF('Données projet'!$A$62&gt;35,AI18+AH19-AQ18,IF(A19&lt;'Données projet'!$A$62,$AF$205^A19,IF(A19='Données projet'!$A$62,'Données projet'!$B$62,AI18+AH19-AQ18)))</f>
        <v>98.958589743589755</v>
      </c>
      <c r="AJ19" s="13">
        <f>AI19*VLOOKUP('Données projet'!$B$10,Paramètres!$A$1:$I$89,3,0)*VLOOKUP('Données projet'!$B$10,Paramètres!$A$1:$I$89,5,0)</f>
        <v>50.326380400000005</v>
      </c>
      <c r="AK19" s="13">
        <f t="shared" si="35"/>
        <v>14.698016880518479</v>
      </c>
      <c r="AL19" s="20">
        <f t="shared" si="4"/>
        <v>113.25082526356969</v>
      </c>
      <c r="AM19" s="59">
        <f t="shared" si="5"/>
        <v>406.58415859690302</v>
      </c>
      <c r="AN19" s="59">
        <f ca="1">AVERAGE(OFFSET($AM$3,0,0,'Données projet'!$E$10+1,1))-AVERAGE(OFFSET($H$3,0,0,'Données projet'!$E$10+1,1))</f>
        <v>45.407317338461951</v>
      </c>
      <c r="AO19" s="59">
        <f t="shared" si="36"/>
        <v>149.88701606165358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4.9084615384615384</v>
      </c>
      <c r="BD19" s="12">
        <f>IF('Données projet'!$A$88&gt;35,BD18+BC19-BL18,IF(A19&lt;'Données projet'!$A$88,$BA$205^A19,IF(A19='Données projet'!$A$88,'Données projet'!$B$88,BD18+BC19-BL18)))</f>
        <v>14.331848602335111</v>
      </c>
      <c r="BE19" s="13">
        <f>BD19*VLOOKUP('Données projet'!$B$11,Paramètres!$A$1:$I$89,3,0)*VLOOKUP('Données projet'!$B$11,Paramètres!$A$1:$I$89,5,0)</f>
        <v>6.7073051458928319</v>
      </c>
      <c r="BF19" s="13">
        <f t="shared" si="37"/>
        <v>2.4767942738506736</v>
      </c>
      <c r="BG19" s="20">
        <f t="shared" si="7"/>
        <v>15.995639822719939</v>
      </c>
      <c r="BH19" s="59">
        <f t="shared" si="8"/>
        <v>309.32897315605328</v>
      </c>
      <c r="BI19" s="59">
        <f ca="1">AVERAGE(OFFSET($BH$3,0,0,'Données projet'!$E$11+1,1))-AVERAGE(OFFSET($H$3,0,0,'Données projet'!$E$11+1,1))</f>
        <v>183.67580045784649</v>
      </c>
      <c r="BJ19" s="59">
        <f t="shared" si="38"/>
        <v>121.08269345608767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8</v>
      </c>
      <c r="BY19" s="12">
        <f>IF('Données projet'!$A$114&gt;35,BY18+BX19-CG18,IF(A19&lt;'Données projet'!$A$114,$BV$205^A19,IF(A19='Données projet'!$A$114,'Données projet'!$B$114,BY18+BX19-CG18)))</f>
        <v>54.999999999999993</v>
      </c>
      <c r="BZ19" s="13">
        <f>BY19*VLOOKUP('Données projet'!$B$12,Paramètres!$A$1:$I$89,3,0)*VLOOKUP('Données projet'!$B$12,Paramètres!$A$1:$I$89,5,0)</f>
        <v>48.048000000000002</v>
      </c>
      <c r="CA19" s="13">
        <f t="shared" si="39"/>
        <v>14.108484750160615</v>
      </c>
      <c r="CB19" s="20">
        <f t="shared" si="10"/>
        <v>108.25587760652974</v>
      </c>
      <c r="CC19" s="59">
        <f t="shared" si="11"/>
        <v>401.58921093986305</v>
      </c>
      <c r="CD19" s="59">
        <f ca="1">AVERAGE(OFFSET($CC$3,0,0,'Données projet'!$E$12+1,1))-AVERAGE(OFFSET($H$3,0,0,'Données projet'!$E$12+1,1))</f>
        <v>216.10252108537389</v>
      </c>
      <c r="CE19" s="59">
        <f t="shared" si="40"/>
        <v>196.91968622092054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2.5115384615384619</v>
      </c>
      <c r="CT19" s="12">
        <f>IF('Données projet'!$A$140&gt;35,CT18+CS19-DB18,IF(A19&lt;'Données projet'!$A$140,$CQ$205^A19,IF(A19='Données projet'!$A$140,'Données projet'!$B$140,CT18+CS19-DB18)))</f>
        <v>10.025343155938796</v>
      </c>
      <c r="CU19" s="17">
        <f>CT19*VLOOKUP('Données projet'!$B$13,Paramètres!$A$1:$I$89,3,0)*VLOOKUP('Données projet'!$B$13,Paramètres!$A$1:$I$89,5,0)</f>
        <v>9.0709304874934222</v>
      </c>
      <c r="CV19" s="13">
        <f t="shared" si="41"/>
        <v>3.2339494689230706</v>
      </c>
      <c r="CW19" s="20">
        <f t="shared" si="13"/>
        <v>21.430999257425388</v>
      </c>
      <c r="CX19" s="59">
        <f t="shared" si="14"/>
        <v>314.76433259075873</v>
      </c>
      <c r="CY19" s="59">
        <f ca="1">AVERAGE(OFFSET($CX$3,0,0,'Données projet'!$E$13+1,1))-AVERAGE(OFFSET($H$3,0,0,'Données projet'!$E$13+1,1))</f>
        <v>318.01858325056168</v>
      </c>
      <c r="CZ19" s="59">
        <f t="shared" si="42"/>
        <v>119.46953274700951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7.9559999999999995</v>
      </c>
      <c r="D20" s="11">
        <f t="shared" si="32"/>
        <v>2.880089392049658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83.647005833365782</v>
      </c>
      <c r="H20" s="67">
        <f t="shared" si="1"/>
        <v>312.20618902448649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126.33076923076922</v>
      </c>
      <c r="L20" s="12">
        <f>VLOOKUP(A20,'Données projet'!$A$35:$I$55,9,0)</f>
        <v>7.4312217194570129</v>
      </c>
      <c r="M20" s="12">
        <f t="array" ref="M20">INDEX(L:L,MIN(IF(ISNUMBER(L20:L216),ROW(L20:L216),"")))</f>
        <v>7.4312217194570129</v>
      </c>
      <c r="N20" s="13">
        <f>IF('Données projet'!$A$36&gt;35,N19+M20-V19,IF(A20&lt;'Données projet'!$A$36,$K$205^A20,IF(A20='Données projet'!$A$36,'Données projet'!$B$36,N19+M20-V19)))</f>
        <v>126.33076923076922</v>
      </c>
      <c r="O20" s="13">
        <f>N20*VLOOKUP('Données projet'!$B$9,Paramètres!$A$1:$I$89,3,0)*VLOOKUP('Données projet'!$B$9,Paramètres!$A$1:$I$89,5,0)</f>
        <v>75.5458</v>
      </c>
      <c r="P20" s="13">
        <f t="shared" si="33"/>
        <v>21.044504648353485</v>
      </c>
      <c r="Q20" s="20">
        <f t="shared" si="2"/>
        <v>168.22811392921565</v>
      </c>
      <c r="R20" s="59">
        <f t="shared" si="0"/>
        <v>461.561447262549</v>
      </c>
      <c r="S20" s="59">
        <f ca="1">AVERAGE(OFFSET($R$3,0,0,'Données projet'!$E$9+1,1))-AVERAGE(OFFSET($H$3,0,0,'Données projet'!$E$9+1,1))</f>
        <v>200.15574321350221</v>
      </c>
      <c r="T20" s="59">
        <f t="shared" si="34"/>
        <v>200.70728852570426</v>
      </c>
      <c r="U20" s="15">
        <f>IF(ISNA(VLOOKUP(A20,'Données projet'!$A$35:$I$55,3,0)),0,VLOOKUP(A20,'Données projet'!$A$35:$I$55,3,0))</f>
        <v>1</v>
      </c>
      <c r="V20" s="15">
        <f>IF(ISNA(VLOOKUP(A20,'Données projet'!$A$35:$I$55,4,0)),0,VLOOKUP(A20,'Données projet'!$A$35:$I$55,4,0))</f>
        <v>42.084615384615383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0.25200000000000006</v>
      </c>
      <c r="Y20" s="16">
        <f>IF(ISNA(VLOOKUP(A20,'Données projet'!$A$35:$I$55,7,0)),0%,VLOOKUP(A20,'Données projet'!$A$35:$I$55,7,0))</f>
        <v>0.44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8.3799241086489591</v>
      </c>
      <c r="AB20" s="21">
        <f>EXP(-LN(2)/2)*AB19+(1-EXP(-LN(2)/2))/(LN(2)/2)*V20*Y20*VLOOKUP('Données projet'!$B$9,Paramètres!$A$1:$I$89,3,0)*0.475*44/12</f>
        <v>12.537552429129006</v>
      </c>
      <c r="AC20" s="22">
        <f t="shared" si="3"/>
        <v>20.917476537777965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>
        <f>VLOOKUP(A20,'Données projet'!$A$61:$I$81,2,0)</f>
        <v>111.84121794871795</v>
      </c>
      <c r="AG20" s="12">
        <f>VLOOKUP(A20,'Données projet'!$A$61:$I$81,9,0)</f>
        <v>12.882628205128199</v>
      </c>
      <c r="AH20" s="12">
        <f t="array" ref="AH20">INDEX(AG:AG,MIN(IF(ISNUMBER(AG20:AG216),ROW(AG20:AG216),"")))</f>
        <v>12.882628205128199</v>
      </c>
      <c r="AI20" s="13">
        <f>IF('Données projet'!$A$62&gt;35,AI19+AH20-AQ19,IF(A20&lt;'Données projet'!$A$62,$AF$205^A20,IF(A20='Données projet'!$A$62,'Données projet'!$B$62,AI19+AH20-AQ19)))</f>
        <v>111.84121794871795</v>
      </c>
      <c r="AJ20" s="13">
        <f>AI20*VLOOKUP('Données projet'!$B$10,Paramètres!$A$1:$I$89,3,0)*VLOOKUP('Données projet'!$B$10,Paramètres!$A$1:$I$89,5,0)</f>
        <v>56.87796980000001</v>
      </c>
      <c r="AK20" s="13">
        <f t="shared" si="35"/>
        <v>16.376483785036072</v>
      </c>
      <c r="AL20" s="20">
        <f t="shared" si="4"/>
        <v>127.58483999393785</v>
      </c>
      <c r="AM20" s="59">
        <f t="shared" si="5"/>
        <v>420.91817332727118</v>
      </c>
      <c r="AN20" s="59">
        <f ca="1">AVERAGE(OFFSET($AM$3,0,0,'Données projet'!$E$10+1,1))-AVERAGE(OFFSET($H$3,0,0,'Données projet'!$E$10+1,1))</f>
        <v>45.407317338461951</v>
      </c>
      <c r="AO20" s="59">
        <f t="shared" si="36"/>
        <v>149.88701606165358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4.9084615384615384</v>
      </c>
      <c r="BD20" s="12">
        <f>IF('Données projet'!$A$88&gt;35,BD19+BC20-BL19,IF(A20&lt;'Données projet'!$A$88,$BA$205^A20,IF(A20='Données projet'!$A$88,'Données projet'!$B$88,BD19+BC20-BL19)))</f>
        <v>16.926653343761537</v>
      </c>
      <c r="BE20" s="13">
        <f>BD20*VLOOKUP('Données projet'!$B$11,Paramètres!$A$1:$I$89,3,0)*VLOOKUP('Données projet'!$B$11,Paramètres!$A$1:$I$89,5,0)</f>
        <v>7.9216737648803992</v>
      </c>
      <c r="BF20" s="13">
        <f t="shared" si="37"/>
        <v>2.8691068648319642</v>
      </c>
      <c r="BG20" s="20">
        <f t="shared" si="7"/>
        <v>18.793942930082366</v>
      </c>
      <c r="BH20" s="59">
        <f t="shared" si="8"/>
        <v>312.12727626341569</v>
      </c>
      <c r="BI20" s="59">
        <f ca="1">AVERAGE(OFFSET($BH$3,0,0,'Données projet'!$E$11+1,1))-AVERAGE(OFFSET($H$3,0,0,'Données projet'!$E$11+1,1))</f>
        <v>183.67580045784649</v>
      </c>
      <c r="BJ20" s="59">
        <f t="shared" si="38"/>
        <v>121.08269345608767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8</v>
      </c>
      <c r="BY20" s="12">
        <f>IF('Données projet'!$A$114&gt;35,BY19+BX20-CG19,IF(A20&lt;'Données projet'!$A$114,$BV$205^A20,IF(A20='Données projet'!$A$114,'Données projet'!$B$114,BY19+BX20-CG19)))</f>
        <v>62.999999999999993</v>
      </c>
      <c r="BZ20" s="13">
        <f>BY20*VLOOKUP('Données projet'!$B$12,Paramètres!$A$1:$I$89,3,0)*VLOOKUP('Données projet'!$B$12,Paramètres!$A$1:$I$89,5,0)</f>
        <v>55.036800000000007</v>
      </c>
      <c r="CA20" s="13">
        <f t="shared" si="39"/>
        <v>15.907180538864345</v>
      </c>
      <c r="CB20" s="20">
        <f t="shared" si="10"/>
        <v>123.56076610518875</v>
      </c>
      <c r="CC20" s="59">
        <f t="shared" si="11"/>
        <v>416.89409943852206</v>
      </c>
      <c r="CD20" s="59">
        <f ca="1">AVERAGE(OFFSET($CC$3,0,0,'Données projet'!$E$12+1,1))-AVERAGE(OFFSET($H$3,0,0,'Données projet'!$E$12+1,1))</f>
        <v>216.10252108537389</v>
      </c>
      <c r="CE20" s="59">
        <f t="shared" si="40"/>
        <v>196.91968622092054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2.5115384615384619</v>
      </c>
      <c r="CT20" s="12">
        <f>IF('Données projet'!$A$140&gt;35,CT19+CS20-DB19,IF(A20&lt;'Données projet'!$A$140,$CQ$205^A20,IF(A20='Données projet'!$A$140,'Données projet'!$B$140,CT19+CS20-DB19)))</f>
        <v>11.578917241241234</v>
      </c>
      <c r="CU20" s="17">
        <f>CT20*VLOOKUP('Données projet'!$B$13,Paramètres!$A$1:$I$89,3,0)*VLOOKUP('Données projet'!$B$13,Paramètres!$A$1:$I$89,5,0)</f>
        <v>10.476604319875069</v>
      </c>
      <c r="CV20" s="13">
        <f t="shared" si="41"/>
        <v>3.6729831466207905</v>
      </c>
      <c r="CW20" s="20">
        <f t="shared" si="13"/>
        <v>24.643864837480283</v>
      </c>
      <c r="CX20" s="59">
        <f t="shared" si="14"/>
        <v>317.97719817081361</v>
      </c>
      <c r="CY20" s="59">
        <f ca="1">AVERAGE(OFFSET($CX$3,0,0,'Données projet'!$E$13+1,1))-AVERAGE(OFFSET($H$3,0,0,'Données projet'!$E$13+1,1))</f>
        <v>318.01858325056168</v>
      </c>
      <c r="CZ20" s="59">
        <f t="shared" si="42"/>
        <v>119.46953274700951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8.4239999999999995</v>
      </c>
      <c r="D21" s="11">
        <f t="shared" si="32"/>
        <v>3.0292846636388133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88.411320210545227</v>
      </c>
      <c r="H21" s="67">
        <f t="shared" si="1"/>
        <v>313.28113745583755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14.926923076923075</v>
      </c>
      <c r="N21" s="13">
        <f>IF('Données projet'!$A$36&gt;35,N20+M21-V20,IF(A21&lt;'Données projet'!$A$36,$K$205^A21,IF(A21='Données projet'!$A$36,'Données projet'!$B$36,N20+M21-V20)))</f>
        <v>99.173076923076934</v>
      </c>
      <c r="O21" s="13">
        <f>N21*VLOOKUP('Données projet'!$B$9,Paramètres!$A$1:$I$89,3,0)*VLOOKUP('Données projet'!$B$9,Paramètres!$A$1:$I$89,5,0)</f>
        <v>59.305500000000016</v>
      </c>
      <c r="P21" s="13">
        <f t="shared" si="33"/>
        <v>16.992558820122873</v>
      </c>
      <c r="Q21" s="20">
        <f t="shared" si="2"/>
        <v>132.88578577838067</v>
      </c>
      <c r="R21" s="59">
        <f t="shared" si="0"/>
        <v>426.21911911171401</v>
      </c>
      <c r="S21" s="59">
        <f ca="1">AVERAGE(OFFSET($R$3,0,0,'Données projet'!$E$9+1,1))-AVERAGE(OFFSET($H$3,0,0,'Données projet'!$E$9+1,1))</f>
        <v>200.15574321350221</v>
      </c>
      <c r="T21" s="59">
        <f t="shared" si="34"/>
        <v>200.70728852570426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8.1507746432168968</v>
      </c>
      <c r="AB21" s="21">
        <f>EXP(-LN(2)/2)*AB20+(1-EXP(-LN(2)/2))/(LN(2)/2)*V21*Y21*VLOOKUP('Données projet'!$B$9,Paramètres!$A$1:$I$89,3,0)*0.475*44/12</f>
        <v>8.8653883421189921</v>
      </c>
      <c r="AC21" s="22">
        <f t="shared" si="3"/>
        <v>17.016162985335889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125.02192307692309</v>
      </c>
      <c r="AG21" s="12">
        <f>VLOOKUP(A21,'Données projet'!$A$61:$I$81,9,0)</f>
        <v>13.180705128205133</v>
      </c>
      <c r="AH21" s="12">
        <f t="array" ref="AH21">INDEX(AG:AG,MIN(IF(ISNUMBER(AG21:AG217),ROW(AG21:AG217),"")))</f>
        <v>13.180705128205133</v>
      </c>
      <c r="AI21" s="13">
        <f>IF('Données projet'!$A$62&gt;35,AI20+AH21-AQ20,IF(A21&lt;'Données projet'!$A$62,$AF$205^A21,IF(A21='Données projet'!$A$62,'Données projet'!$B$62,AI20+AH21-AQ20)))</f>
        <v>125.02192307692309</v>
      </c>
      <c r="AJ21" s="13">
        <f>AI21*VLOOKUP('Données projet'!$B$10,Paramètres!$A$1:$I$89,3,0)*VLOOKUP('Données projet'!$B$10,Paramètres!$A$1:$I$89,5,0)</f>
        <v>63.581149200000013</v>
      </c>
      <c r="AK21" s="13">
        <f t="shared" si="35"/>
        <v>18.070618425032709</v>
      </c>
      <c r="AL21" s="20">
        <f t="shared" si="4"/>
        <v>142.21016194693198</v>
      </c>
      <c r="AM21" s="59">
        <f t="shared" si="5"/>
        <v>435.54349528026529</v>
      </c>
      <c r="AN21" s="59">
        <f ca="1">AVERAGE(OFFSET($AM$3,0,0,'Données projet'!$E$10+1,1))-AVERAGE(OFFSET($H$3,0,0,'Données projet'!$E$10+1,1))</f>
        <v>45.407317338461951</v>
      </c>
      <c r="AO21" s="59">
        <f t="shared" si="36"/>
        <v>149.88701606165358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4.9084615384615384</v>
      </c>
      <c r="BD21" s="12">
        <f>IF('Données projet'!$A$88&gt;35,BD20+BC21-BL20,IF(A21&lt;'Données projet'!$A$88,$BA$205^A21,IF(A21='Données projet'!$A$88,'Données projet'!$B$88,BD20+BC21-BL20)))</f>
        <v>19.991251747746755</v>
      </c>
      <c r="BE21" s="13">
        <f>BD21*VLOOKUP('Données projet'!$B$11,Paramètres!$A$1:$I$89,3,0)*VLOOKUP('Données projet'!$B$11,Paramètres!$A$1:$I$89,5,0)</f>
        <v>9.3559058179454802</v>
      </c>
      <c r="BF21" s="13">
        <f t="shared" si="37"/>
        <v>3.3235599293549551</v>
      </c>
      <c r="BG21" s="20">
        <f t="shared" si="7"/>
        <v>22.083402843214927</v>
      </c>
      <c r="BH21" s="59">
        <f t="shared" si="8"/>
        <v>315.41673617654823</v>
      </c>
      <c r="BI21" s="59">
        <f ca="1">AVERAGE(OFFSET($BH$3,0,0,'Données projet'!$E$11+1,1))-AVERAGE(OFFSET($H$3,0,0,'Données projet'!$E$11+1,1))</f>
        <v>183.67580045784649</v>
      </c>
      <c r="BJ21" s="59">
        <f t="shared" si="38"/>
        <v>121.08269345608767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8</v>
      </c>
      <c r="BY21" s="12">
        <f>IF('Données projet'!$A$114&gt;35,BY20+BX21-CG20,IF(A21&lt;'Données projet'!$A$114,$BV$205^A21,IF(A21='Données projet'!$A$114,'Données projet'!$B$114,BY20+BX21-CG20)))</f>
        <v>71</v>
      </c>
      <c r="BZ21" s="13">
        <f>BY21*VLOOKUP('Données projet'!$B$12,Paramètres!$A$1:$I$89,3,0)*VLOOKUP('Données projet'!$B$12,Paramètres!$A$1:$I$89,5,0)</f>
        <v>62.025600000000011</v>
      </c>
      <c r="CA21" s="13">
        <f t="shared" si="39"/>
        <v>17.679410406677221</v>
      </c>
      <c r="CB21" s="20">
        <f t="shared" si="10"/>
        <v>138.8195597916295</v>
      </c>
      <c r="CC21" s="59">
        <f t="shared" si="11"/>
        <v>432.15289312496282</v>
      </c>
      <c r="CD21" s="59">
        <f ca="1">AVERAGE(OFFSET($CC$3,0,0,'Données projet'!$E$12+1,1))-AVERAGE(OFFSET($H$3,0,0,'Données projet'!$E$12+1,1))</f>
        <v>216.10252108537389</v>
      </c>
      <c r="CE21" s="59">
        <f t="shared" si="40"/>
        <v>196.91968622092054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2.5115384615384619</v>
      </c>
      <c r="CT21" s="12">
        <f>IF('Données projet'!$A$140&gt;35,CT20+CS21-DB20,IF(A21&lt;'Données projet'!$A$140,$CQ$205^A21,IF(A21='Données projet'!$A$140,'Données projet'!$B$140,CT20+CS21-DB20)))</f>
        <v>13.373240436173255</v>
      </c>
      <c r="CU21" s="17">
        <f>CT21*VLOOKUP('Données projet'!$B$13,Paramètres!$A$1:$I$89,3,0)*VLOOKUP('Données projet'!$B$13,Paramètres!$A$1:$I$89,5,0)</f>
        <v>12.10010794664956</v>
      </c>
      <c r="CV21" s="13">
        <f t="shared" si="41"/>
        <v>4.1716190450721236</v>
      </c>
      <c r="CW21" s="20">
        <f t="shared" si="13"/>
        <v>28.339924510581934</v>
      </c>
      <c r="CX21" s="59">
        <f t="shared" si="14"/>
        <v>321.67325784391522</v>
      </c>
      <c r="CY21" s="59">
        <f ca="1">AVERAGE(OFFSET($CX$3,0,0,'Données projet'!$E$13+1,1))-AVERAGE(OFFSET($H$3,0,0,'Données projet'!$E$13+1,1))</f>
        <v>318.01858325056168</v>
      </c>
      <c r="CZ21" s="59">
        <f t="shared" si="42"/>
        <v>119.46953274700951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2" s="11">
        <f t="shared" si="32"/>
        <v>3.177517729464268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93.16820703446102</v>
      </c>
      <c r="H22" s="67">
        <f t="shared" si="1"/>
        <v>314.35441004548358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14.926923076923075</v>
      </c>
      <c r="N22" s="13">
        <f>IF('Données projet'!$A$36&gt;35,N21+M22-V21,IF(A22&lt;'Données projet'!$A$36,$K$205^A22,IF(A22='Données projet'!$A$36,'Données projet'!$B$36,N21+M22-V21)))</f>
        <v>114.10000000000001</v>
      </c>
      <c r="O22" s="13">
        <f>N22*VLOOKUP('Données projet'!$B$9,Paramètres!$A$1:$I$89,3,0)*VLOOKUP('Données projet'!$B$9,Paramètres!$A$1:$I$89,5,0)</f>
        <v>68.231800000000007</v>
      </c>
      <c r="P22" s="13">
        <f t="shared" si="33"/>
        <v>19.233699497264624</v>
      </c>
      <c r="Q22" s="20">
        <f t="shared" si="2"/>
        <v>152.3357449577359</v>
      </c>
      <c r="R22" s="59">
        <f t="shared" si="0"/>
        <v>445.66907829106924</v>
      </c>
      <c r="S22" s="59">
        <f ca="1">AVERAGE(OFFSET($R$3,0,0,'Données projet'!$E$9+1,1))-AVERAGE(OFFSET($H$3,0,0,'Données projet'!$E$9+1,1))</f>
        <v>200.15574321350221</v>
      </c>
      <c r="T22" s="59">
        <f t="shared" si="34"/>
        <v>200.70728852570426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7.9278912819675211</v>
      </c>
      <c r="AB22" s="21">
        <f>EXP(-LN(2)/2)*AB21+(1-EXP(-LN(2)/2))/(LN(2)/2)*V22*Y22*VLOOKUP('Données projet'!$B$9,Paramètres!$A$1:$I$89,3,0)*0.475*44/12</f>
        <v>6.2687762145645038</v>
      </c>
      <c r="AC22" s="22">
        <f t="shared" si="3"/>
        <v>14.196667496532026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138.41839743589745</v>
      </c>
      <c r="AG22" s="12">
        <f>VLOOKUP(A22,'Données projet'!$A$61:$I$81,9,0)</f>
        <v>13.396474358974359</v>
      </c>
      <c r="AH22" s="12">
        <f t="array" ref="AH22">INDEX(AG:AG,MIN(IF(ISNUMBER(AG22:AG218),ROW(AG22:AG218),"")))</f>
        <v>13.396474358974359</v>
      </c>
      <c r="AI22" s="13">
        <f>IF('Données projet'!$A$62&gt;35,AI21+AH22-AQ21,IF(A22&lt;'Données projet'!$A$62,$AF$205^A22,IF(A22='Données projet'!$A$62,'Données projet'!$B$62,AI21+AH22-AQ21)))</f>
        <v>138.41839743589745</v>
      </c>
      <c r="AJ22" s="13">
        <f>AI22*VLOOKUP('Données projet'!$B$10,Paramètres!$A$1:$I$89,3,0)*VLOOKUP('Données projet'!$B$10,Paramètres!$A$1:$I$89,5,0)</f>
        <v>70.394060200000013</v>
      </c>
      <c r="AK22" s="13">
        <f t="shared" si="35"/>
        <v>19.771284612592289</v>
      </c>
      <c r="AL22" s="20">
        <f t="shared" si="4"/>
        <v>157.03797554859827</v>
      </c>
      <c r="AM22" s="59">
        <f t="shared" si="5"/>
        <v>450.37130888193155</v>
      </c>
      <c r="AN22" s="59">
        <f ca="1">AVERAGE(OFFSET($AM$3,0,0,'Données projet'!$E$10+1,1))-AVERAGE(OFFSET($H$3,0,0,'Données projet'!$E$10+1,1))</f>
        <v>45.407317338461951</v>
      </c>
      <c r="AO22" s="59">
        <f t="shared" si="36"/>
        <v>149.88701606165358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4.9084615384615384</v>
      </c>
      <c r="BD22" s="12">
        <f>IF('Données projet'!$A$88&gt;35,BD21+BC22-BL21,IF(A22&lt;'Données projet'!$A$88,$BA$205^A22,IF(A22='Données projet'!$A$88,'Données projet'!$B$88,BD21+BC22-BL21)))</f>
        <v>23.610700728923604</v>
      </c>
      <c r="BE22" s="13">
        <f>BD22*VLOOKUP('Données projet'!$B$11,Paramètres!$A$1:$I$89,3,0)*VLOOKUP('Données projet'!$B$11,Paramètres!$A$1:$I$89,5,0)</f>
        <v>11.049807941136248</v>
      </c>
      <c r="BF22" s="13">
        <f t="shared" si="37"/>
        <v>3.8499962268435248</v>
      </c>
      <c r="BG22" s="20">
        <f t="shared" si="7"/>
        <v>25.950492259231435</v>
      </c>
      <c r="BH22" s="59">
        <f t="shared" si="8"/>
        <v>319.28382559256477</v>
      </c>
      <c r="BI22" s="59">
        <f ca="1">AVERAGE(OFFSET($BH$3,0,0,'Données projet'!$E$11+1,1))-AVERAGE(OFFSET($H$3,0,0,'Données projet'!$E$11+1,1))</f>
        <v>183.67580045784649</v>
      </c>
      <c r="BJ22" s="59">
        <f t="shared" si="38"/>
        <v>121.08269345608767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8</v>
      </c>
      <c r="BY22" s="12">
        <f>IF('Données projet'!$A$114&gt;35,BY21+BX22-CG21,IF(A22&lt;'Données projet'!$A$114,$BV$205^A22,IF(A22='Données projet'!$A$114,'Données projet'!$B$114,BY21+BX22-CG21)))</f>
        <v>79</v>
      </c>
      <c r="BZ22" s="13">
        <f>BY22*VLOOKUP('Données projet'!$B$12,Paramètres!$A$1:$I$89,3,0)*VLOOKUP('Données projet'!$B$12,Paramètres!$A$1:$I$89,5,0)</f>
        <v>69.014400000000009</v>
      </c>
      <c r="CA22" s="13">
        <f t="shared" si="39"/>
        <v>19.428496726251055</v>
      </c>
      <c r="CB22" s="20">
        <f t="shared" si="10"/>
        <v>154.03804513155393</v>
      </c>
      <c r="CC22" s="59">
        <f t="shared" si="11"/>
        <v>447.37137846488724</v>
      </c>
      <c r="CD22" s="59">
        <f ca="1">AVERAGE(OFFSET($CC$3,0,0,'Données projet'!$E$12+1,1))-AVERAGE(OFFSET($H$3,0,0,'Données projet'!$E$12+1,1))</f>
        <v>216.10252108537389</v>
      </c>
      <c r="CE22" s="59">
        <f t="shared" si="40"/>
        <v>196.91968622092054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2.5115384615384619</v>
      </c>
      <c r="CT22" s="12">
        <f>IF('Données projet'!$A$140&gt;35,CT21+CS22-DB21,IF(A22&lt;'Données projet'!$A$140,$CQ$205^A22,IF(A22='Données projet'!$A$140,'Données projet'!$B$140,CT21+CS22-DB21)))</f>
        <v>15.445620349258824</v>
      </c>
      <c r="CU22" s="17">
        <f>CT22*VLOOKUP('Données projet'!$B$13,Paramètres!$A$1:$I$89,3,0)*VLOOKUP('Données projet'!$B$13,Paramètres!$A$1:$I$89,5,0)</f>
        <v>13.975197292009385</v>
      </c>
      <c r="CV22" s="13">
        <f t="shared" si="41"/>
        <v>4.7379486271857729</v>
      </c>
      <c r="CW22" s="20">
        <f t="shared" si="13"/>
        <v>32.592062475931563</v>
      </c>
      <c r="CX22" s="59">
        <f t="shared" si="14"/>
        <v>325.9253958092649</v>
      </c>
      <c r="CY22" s="59">
        <f ca="1">AVERAGE(OFFSET($CX$3,0,0,'Données projet'!$E$13+1,1))-AVERAGE(OFFSET($H$3,0,0,'Données projet'!$E$13+1,1))</f>
        <v>318.01858325056168</v>
      </c>
      <c r="CZ22" s="59">
        <f t="shared" si="42"/>
        <v>119.46953274700951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9.36</v>
      </c>
      <c r="D23" s="11">
        <f t="shared" si="32"/>
        <v>3.3248450073034994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97.918101810763858</v>
      </c>
      <c r="H23" s="67">
        <f t="shared" si="1"/>
        <v>315.42610505438688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14.926923076923075</v>
      </c>
      <c r="N23" s="13">
        <f>IF('Données projet'!$A$36&gt;35,N22+M23-V22,IF(A23&lt;'Données projet'!$A$36,$K$205^A23,IF(A23='Données projet'!$A$36,'Données projet'!$B$36,N22+M23-V22)))</f>
        <v>129.02692307692308</v>
      </c>
      <c r="O23" s="13">
        <f>N23*VLOOKUP('Données projet'!$B$9,Paramètres!$A$1:$I$89,3,0)*VLOOKUP('Données projet'!$B$9,Paramètres!$A$1:$I$89,5,0)</f>
        <v>77.158100000000005</v>
      </c>
      <c r="P23" s="13">
        <f t="shared" si="33"/>
        <v>21.440868838738705</v>
      </c>
      <c r="Q23" s="20">
        <f t="shared" si="2"/>
        <v>171.72653739413659</v>
      </c>
      <c r="R23" s="59">
        <f t="shared" si="0"/>
        <v>465.0598707274699</v>
      </c>
      <c r="S23" s="59">
        <f ca="1">AVERAGE(OFFSET($R$3,0,0,'Données projet'!$E$9+1,1))-AVERAGE(OFFSET($H$3,0,0,'Données projet'!$E$9+1,1))</f>
        <v>200.15574321350221</v>
      </c>
      <c r="T23" s="59">
        <f t="shared" si="34"/>
        <v>200.70728852570426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7.7111026779524359</v>
      </c>
      <c r="AB23" s="21">
        <f>EXP(-LN(2)/2)*AB22+(1-EXP(-LN(2)/2))/(LN(2)/2)*V23*Y23*VLOOKUP('Données projet'!$B$9,Paramètres!$A$1:$I$89,3,0)*0.475*44/12</f>
        <v>4.4326941710594969</v>
      </c>
      <c r="AC23" s="22">
        <f t="shared" si="3"/>
        <v>12.143796849011933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151.94833333333338</v>
      </c>
      <c r="AG23" s="12">
        <f>VLOOKUP(A23,'Données projet'!$A$61:$I$81,9,0)</f>
        <v>13.529935897435934</v>
      </c>
      <c r="AH23" s="12">
        <f t="array" ref="AH23">INDEX(AG:AG,MIN(IF(ISNUMBER(AG23:AG219),ROW(AG23:AG219),"")))</f>
        <v>13.529935897435934</v>
      </c>
      <c r="AI23" s="13">
        <f>IF('Données projet'!$A$62&gt;35,AI22+AH23-AQ22,IF(A23&lt;'Données projet'!$A$62,$AF$205^A23,IF(A23='Données projet'!$A$62,'Données projet'!$B$62,AI22+AH23-AQ22)))</f>
        <v>151.94833333333338</v>
      </c>
      <c r="AJ23" s="13">
        <f>AI23*VLOOKUP('Données projet'!$B$10,Paramètres!$A$1:$I$89,3,0)*VLOOKUP('Données projet'!$B$10,Paramètres!$A$1:$I$89,5,0)</f>
        <v>77.274844400000035</v>
      </c>
      <c r="AK23" s="13">
        <f t="shared" si="35"/>
        <v>21.469531360405984</v>
      </c>
      <c r="AL23" s="20">
        <f t="shared" si="4"/>
        <v>171.97978778270715</v>
      </c>
      <c r="AM23" s="59">
        <f t="shared" si="5"/>
        <v>465.31312111604046</v>
      </c>
      <c r="AN23" s="59">
        <f ca="1">AVERAGE(OFFSET($AM$3,0,0,'Données projet'!$E$10+1,1))-AVERAGE(OFFSET($H$3,0,0,'Données projet'!$E$10+1,1))</f>
        <v>45.407317338461951</v>
      </c>
      <c r="AO23" s="59">
        <f t="shared" si="36"/>
        <v>149.88701606165358</v>
      </c>
      <c r="AP23" s="15" t="str">
        <f>IF(ISNA(VLOOKUP(A23,'Données projet'!$A$61:$I$81,3,0)),0,VLOOKUP(A23,'Données projet'!$A$61:$I$81,3,0))</f>
        <v>CR</v>
      </c>
      <c r="AQ23" s="15">
        <f>IF(ISNA(VLOOKUP(A23,'Données projet'!$A$61:$I$81,4,0)),0,VLOOKUP(A23,'Données projet'!$A$61:$I$81,4,0))</f>
        <v>151.94833333333338</v>
      </c>
      <c r="AR23" s="16">
        <f>IF(ISNA(VLOOKUP(A23,'Données projet'!$A$61:$I$81,5,0)),0%,VLOOKUP(A23,'Données projet'!$A$61:$I$81,5,0)*VLOOKUP('Données projet'!$B$10,Paramètres!$A$1:$I$89,7,0))</f>
        <v>0.42</v>
      </c>
      <c r="AS23" s="16">
        <f>IF(ISNA(VLOOKUP(A23,'Données projet'!$A$61:$I$81,6,0)),0%,VLOOKUP(A23,'Données projet'!$A$61:$I$81,6,0)*VLOOKUP('Données projet'!$B$10,Paramètres!$A$1:$I$89,7,0))</f>
        <v>0.09</v>
      </c>
      <c r="AT23" s="16">
        <f>IF(ISNA(VLOOKUP(A23,'Données projet'!$A$61:$I$81,7,0)),0%,VLOOKUP(A23,'Données projet'!$A$61:$I$81,7,0))</f>
        <v>0.15</v>
      </c>
      <c r="AU23" s="21">
        <f>EXP(-LN(2)/35)*AU22+(1-EXP(-LN(2)/35))/(LN(2)/35)*AQ23*AR23*VLOOKUP('Données projet'!$B$10,Paramètres!$A$1:$I$89,3,0)*0.475*44/12</f>
        <v>35.878521658231428</v>
      </c>
      <c r="AV23" s="21">
        <f>EXP(-LN(2)/25)*AV22+(1-EXP(-LN(2)/25))/(LN(2)/25)*Calculateur!AQ23*Calculateur!AS23*VLOOKUP('Données projet'!$B$10,Paramètres!$A$1:$I$89,3,0)*0.475*44/12</f>
        <v>7.6579830530730968</v>
      </c>
      <c r="AW23" s="21">
        <f>EXP(-LN(2)/2)*AW22+(1-EXP(-LN(2)/2))/(LN(2)/2)*AQ23*AT23*VLOOKUP('Données projet'!$B$10,Paramètres!$A$1:$I$89,3,0)*0.475*44/12</f>
        <v>10.936634327001521</v>
      </c>
      <c r="AX23" s="21">
        <f t="shared" si="6"/>
        <v>54.473139038306044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4.9084615384615384</v>
      </c>
      <c r="BD23" s="12">
        <f>IF('Données projet'!$A$88&gt;35,BD22+BC23-BL22,IF(A23&lt;'Données projet'!$A$88,$BA$205^A23,IF(A23='Données projet'!$A$88,'Données projet'!$B$88,BD22+BC23-BL22)))</f>
        <v>27.885456896095882</v>
      </c>
      <c r="BE23" s="13">
        <f>BD23*VLOOKUP('Données projet'!$B$11,Paramètres!$A$1:$I$89,3,0)*VLOOKUP('Données projet'!$B$11,Paramètres!$A$1:$I$89,5,0)</f>
        <v>13.050393827372874</v>
      </c>
      <c r="BF23" s="13">
        <f t="shared" si="37"/>
        <v>4.459817563628576</v>
      </c>
      <c r="BG23" s="20">
        <f t="shared" si="7"/>
        <v>30.49695150599419</v>
      </c>
      <c r="BH23" s="59">
        <f t="shared" si="8"/>
        <v>323.83028483932753</v>
      </c>
      <c r="BI23" s="59">
        <f ca="1">AVERAGE(OFFSET($BH$3,0,0,'Données projet'!$E$11+1,1))-AVERAGE(OFFSET($H$3,0,0,'Données projet'!$E$11+1,1))</f>
        <v>183.67580045784649</v>
      </c>
      <c r="BJ23" s="59">
        <f t="shared" si="38"/>
        <v>121.08269345608767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87</v>
      </c>
      <c r="BW23" s="12">
        <f>VLOOKUP(A23,'Données projet'!$A$113:$I$133,9,0)</f>
        <v>8</v>
      </c>
      <c r="BX23" s="12">
        <f t="array" ref="BX23">INDEX(BW:BW,MIN(IF(ISNUMBER(BW23:BW219),ROW(BW23:BW219),"")))</f>
        <v>8</v>
      </c>
      <c r="BY23" s="12">
        <f>IF('Données projet'!$A$114&gt;35,BY22+BX23-CG22,IF(A23&lt;'Données projet'!$A$114,$BV$205^A23,IF(A23='Données projet'!$A$114,'Données projet'!$B$114,BY22+BX23-CG22)))</f>
        <v>87</v>
      </c>
      <c r="BZ23" s="13">
        <f>BY23*VLOOKUP('Données projet'!$B$12,Paramètres!$A$1:$I$89,3,0)*VLOOKUP('Données projet'!$B$12,Paramètres!$A$1:$I$89,5,0)</f>
        <v>76.003200000000007</v>
      </c>
      <c r="CA23" s="13">
        <f t="shared" si="39"/>
        <v>21.157049992000456</v>
      </c>
      <c r="CB23" s="20">
        <f t="shared" si="10"/>
        <v>169.22076873606747</v>
      </c>
      <c r="CC23" s="59">
        <f t="shared" si="11"/>
        <v>462.55410206940076</v>
      </c>
      <c r="CD23" s="59">
        <f ca="1">AVERAGE(OFFSET($CC$3,0,0,'Données projet'!$E$12+1,1))-AVERAGE(OFFSET($H$3,0,0,'Données projet'!$E$12+1,1))</f>
        <v>216.10252108537389</v>
      </c>
      <c r="CE23" s="59">
        <f t="shared" si="40"/>
        <v>196.91968622092054</v>
      </c>
      <c r="CF23" s="15">
        <f>IF(ISNA(VLOOKUP(A23,'Données projet'!$A$113:$I$133,3,0)),0,VLOOKUP(A23,'Données projet'!$A$113:$I$133,3,0))</f>
        <v>1</v>
      </c>
      <c r="CG23" s="15" t="str">
        <f>IF(ISNA(VLOOKUP(A23,'Données projet'!$A$113:$I$133,4,0)),0,VLOOKUP(A23,'Données projet'!$A$113:$I$133,4,0))</f>
        <v>29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2.5115384615384619</v>
      </c>
      <c r="CT23" s="12">
        <f>IF('Données projet'!$A$140&gt;35,CT22+CS23-DB22,IF(A23&lt;'Données projet'!$A$140,$CQ$205^A23,IF(A23='Données projet'!$A$140,'Données projet'!$B$140,CT22+CS23-DB22)))</f>
        <v>17.839145950605833</v>
      </c>
      <c r="CU23" s="17">
        <f>CT23*VLOOKUP('Données projet'!$B$13,Paramètres!$A$1:$I$89,3,0)*VLOOKUP('Données projet'!$B$13,Paramètres!$A$1:$I$89,5,0)</f>
        <v>16.140859256108158</v>
      </c>
      <c r="CV23" s="13">
        <f t="shared" si="41"/>
        <v>5.3811618346045424</v>
      </c>
      <c r="CW23" s="20">
        <f t="shared" si="13"/>
        <v>37.484186732991283</v>
      </c>
      <c r="CX23" s="59">
        <f t="shared" si="14"/>
        <v>330.81752006632462</v>
      </c>
      <c r="CY23" s="59">
        <f ca="1">AVERAGE(OFFSET($CX$3,0,0,'Données projet'!$E$13+1,1))-AVERAGE(OFFSET($H$3,0,0,'Données projet'!$E$13+1,1))</f>
        <v>318.01858325056168</v>
      </c>
      <c r="CZ23" s="59">
        <f t="shared" si="42"/>
        <v>119.46953274700951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9.8279999999999994</v>
      </c>
      <c r="D24" s="11">
        <f t="shared" si="32"/>
        <v>3.4713169544550615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102.66139403438996</v>
      </c>
      <c r="H24" s="67">
        <f t="shared" si="1"/>
        <v>316.49631036234257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14.926923076923075</v>
      </c>
      <c r="N24" s="13">
        <f>IF('Données projet'!$A$36&gt;35,N23+M24-V23,IF(A24&lt;'Données projet'!$A$36,$K$205^A24,IF(A24='Données projet'!$A$36,'Données projet'!$B$36,N23+M24-V23)))</f>
        <v>143.95384615384614</v>
      </c>
      <c r="O24" s="13">
        <f>N24*VLOOKUP('Données projet'!$B$9,Paramètres!$A$1:$I$89,3,0)*VLOOKUP('Données projet'!$B$9,Paramètres!$A$1:$I$89,5,0)</f>
        <v>86.084400000000002</v>
      </c>
      <c r="P24" s="13">
        <f t="shared" si="33"/>
        <v>23.618445758177199</v>
      </c>
      <c r="Q24" s="20">
        <f t="shared" si="2"/>
        <v>191.06578969549196</v>
      </c>
      <c r="R24" s="59">
        <f t="shared" si="0"/>
        <v>484.39912302882527</v>
      </c>
      <c r="S24" s="59">
        <f ca="1">AVERAGE(OFFSET($R$3,0,0,'Données projet'!$E$9+1,1))-AVERAGE(OFFSET($H$3,0,0,'Données projet'!$E$9+1,1))</f>
        <v>200.15574321350221</v>
      </c>
      <c r="T24" s="59">
        <f t="shared" si="34"/>
        <v>200.70728852570426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7.5002421697145607</v>
      </c>
      <c r="AB24" s="21">
        <f>EXP(-LN(2)/2)*AB23+(1-EXP(-LN(2)/2))/(LN(2)/2)*V24*Y24*VLOOKUP('Données projet'!$B$9,Paramètres!$A$1:$I$89,3,0)*0.475*44/12</f>
        <v>3.1343881072822524</v>
      </c>
      <c r="AC24" s="22">
        <f t="shared" si="3"/>
        <v>10.634630276996813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45.407317338461951</v>
      </c>
      <c r="AO24" s="59">
        <f t="shared" si="36"/>
        <v>149.88701606165358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35.174965732250882</v>
      </c>
      <c r="AV24" s="21">
        <f>EXP(-LN(2)/25)*AV23+(1-EXP(-LN(2)/25))/(LN(2)/25)*Calculateur!AQ24*Calculateur!AS24*VLOOKUP('Données projet'!$B$10,Paramètres!$A$1:$I$89,3,0)*0.475*44/12</f>
        <v>7.4485751037709864</v>
      </c>
      <c r="AW24" s="21">
        <f>EXP(-LN(2)/2)*AW23+(1-EXP(-LN(2)/2))/(LN(2)/2)*AQ24*AT24*VLOOKUP('Données projet'!$B$10,Paramètres!$A$1:$I$89,3,0)*0.475*44/12</f>
        <v>7.7333682959803491</v>
      </c>
      <c r="AX24" s="21">
        <f t="shared" si="6"/>
        <v>50.356909132002215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4.9084615384615384</v>
      </c>
      <c r="BD24" s="12">
        <f>IF('Données projet'!$A$88&gt;35,BD23+BC24-BL23,IF(A24&lt;'Données projet'!$A$88,$BA$205^A24,IF(A24='Données projet'!$A$88,'Données projet'!$B$88,BD23+BC24-BL23)))</f>
        <v>32.934164692174789</v>
      </c>
      <c r="BE24" s="13">
        <f>BD24*VLOOKUP('Données projet'!$B$11,Paramètres!$A$1:$I$89,3,0)*VLOOKUP('Données projet'!$B$11,Paramètres!$A$1:$I$89,5,0)</f>
        <v>15.413189075937803</v>
      </c>
      <c r="BF24" s="13">
        <f t="shared" si="37"/>
        <v>5.166231738662507</v>
      </c>
      <c r="BG24" s="20">
        <f t="shared" si="7"/>
        <v>35.842491252095542</v>
      </c>
      <c r="BH24" s="59">
        <f t="shared" si="8"/>
        <v>329.17582458542887</v>
      </c>
      <c r="BI24" s="59">
        <f ca="1">AVERAGE(OFFSET($BH$3,0,0,'Données projet'!$E$11+1,1))-AVERAGE(OFFSET($H$3,0,0,'Données projet'!$E$11+1,1))</f>
        <v>183.67580045784649</v>
      </c>
      <c r="BJ24" s="59">
        <f t="shared" si="38"/>
        <v>121.08269345608767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8</v>
      </c>
      <c r="BY24" s="12">
        <f>IF('Données projet'!$A$114&gt;35,BY23+BX24-CG23,IF(A24&lt;'Données projet'!$A$114,$BV$205^A24,IF(A24='Données projet'!$A$114,'Données projet'!$B$114,BY23+BX24-CG23)))</f>
        <v>66</v>
      </c>
      <c r="BZ24" s="13">
        <f>BY24*VLOOKUP('Données projet'!$B$12,Paramètres!$A$1:$I$89,3,0)*VLOOKUP('Données projet'!$B$12,Paramètres!$A$1:$I$89,5,0)</f>
        <v>57.657600000000002</v>
      </c>
      <c r="CA24" s="13">
        <f t="shared" si="39"/>
        <v>16.574671209026025</v>
      </c>
      <c r="CB24" s="20">
        <f t="shared" si="10"/>
        <v>129.28787235572034</v>
      </c>
      <c r="CC24" s="59">
        <f t="shared" si="11"/>
        <v>422.62120568905368</v>
      </c>
      <c r="CD24" s="59">
        <f ca="1">AVERAGE(OFFSET($CC$3,0,0,'Données projet'!$E$12+1,1))-AVERAGE(OFFSET($H$3,0,0,'Données projet'!$E$12+1,1))</f>
        <v>216.10252108537389</v>
      </c>
      <c r="CE24" s="59">
        <f t="shared" si="40"/>
        <v>196.91968622092054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2.5115384615384619</v>
      </c>
      <c r="CT24" s="12">
        <f>IF('Données projet'!$A$140&gt;35,CT23+CS24-DB23,IF(A24&lt;'Données projet'!$A$140,$CQ$205^A24,IF(A24='Données projet'!$A$140,'Données projet'!$B$140,CT23+CS24-DB23)))</f>
        <v>20.603583478748867</v>
      </c>
      <c r="CU24" s="17">
        <f>CT24*VLOOKUP('Données projet'!$B$13,Paramètres!$A$1:$I$89,3,0)*VLOOKUP('Données projet'!$B$13,Paramètres!$A$1:$I$89,5,0)</f>
        <v>18.642122331571976</v>
      </c>
      <c r="CV24" s="13">
        <f t="shared" si="41"/>
        <v>6.1116962146979272</v>
      </c>
      <c r="CW24" s="20">
        <f t="shared" si="13"/>
        <v>43.112900634753409</v>
      </c>
      <c r="CX24" s="59">
        <f t="shared" si="14"/>
        <v>336.44623396808674</v>
      </c>
      <c r="CY24" s="59">
        <f ca="1">AVERAGE(OFFSET($CX$3,0,0,'Données projet'!$E$13+1,1))-AVERAGE(OFFSET($H$3,0,0,'Données projet'!$E$13+1,1))</f>
        <v>318.01858325056168</v>
      </c>
      <c r="CZ24" s="59">
        <f t="shared" si="42"/>
        <v>119.46953274700951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10.295999999999999</v>
      </c>
      <c r="D25" s="11">
        <f t="shared" si="32"/>
        <v>3.6169789512251227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107.39843400945709</v>
      </c>
      <c r="H25" s="67">
        <f t="shared" si="1"/>
        <v>317.56510500671709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14.926923076923075</v>
      </c>
      <c r="N25" s="13">
        <f>IF('Données projet'!$A$36&gt;35,N24+M25-V24,IF(A25&lt;'Données projet'!$A$36,$K$205^A25,IF(A25='Données projet'!$A$36,'Données projet'!$B$36,N24+M25-V24)))</f>
        <v>158.8807692307692</v>
      </c>
      <c r="O25" s="13">
        <f>N25*VLOOKUP('Données projet'!$B$9,Paramètres!$A$1:$I$89,3,0)*VLOOKUP('Données projet'!$B$9,Paramètres!$A$1:$I$89,5,0)</f>
        <v>95.0107</v>
      </c>
      <c r="P25" s="13">
        <f t="shared" si="33"/>
        <v>25.769848277327686</v>
      </c>
      <c r="Q25" s="20">
        <f t="shared" si="2"/>
        <v>210.3594549163457</v>
      </c>
      <c r="R25" s="59">
        <f t="shared" si="0"/>
        <v>503.69278824967898</v>
      </c>
      <c r="S25" s="59">
        <f ca="1">AVERAGE(OFFSET($R$3,0,0,'Données projet'!$E$9+1,1))-AVERAGE(OFFSET($H$3,0,0,'Données projet'!$E$9+1,1))</f>
        <v>200.15574321350221</v>
      </c>
      <c r="T25" s="59">
        <f t="shared" si="34"/>
        <v>200.70728852570426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7.2951476531631227</v>
      </c>
      <c r="AB25" s="21">
        <f>EXP(-LN(2)/2)*AB24+(1-EXP(-LN(2)/2))/(LN(2)/2)*V25*Y25*VLOOKUP('Données projet'!$B$9,Paramètres!$A$1:$I$89,3,0)*0.475*44/12</f>
        <v>2.2163470855297485</v>
      </c>
      <c r="AC25" s="22">
        <f t="shared" si="3"/>
        <v>9.5114947386928712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45.407317338461951</v>
      </c>
      <c r="AO25" s="59">
        <f t="shared" si="36"/>
        <v>149.88701606165358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34.485206108852076</v>
      </c>
      <c r="AV25" s="21">
        <f>EXP(-LN(2)/25)*AV24+(1-EXP(-LN(2)/25))/(LN(2)/25)*Calculateur!AQ25*Calculateur!AS25*VLOOKUP('Données projet'!$B$10,Paramètres!$A$1:$I$89,3,0)*0.475*44/12</f>
        <v>7.2448934258548281</v>
      </c>
      <c r="AW25" s="21">
        <f>EXP(-LN(2)/2)*AW24+(1-EXP(-LN(2)/2))/(LN(2)/2)*AQ25*AT25*VLOOKUP('Données projet'!$B$10,Paramètres!$A$1:$I$89,3,0)*0.475*44/12</f>
        <v>5.4683171635007612</v>
      </c>
      <c r="AX25" s="21">
        <f t="shared" si="6"/>
        <v>47.198416698207666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4.9084615384615384</v>
      </c>
      <c r="BD25" s="12">
        <f>IF('Données projet'!$A$88&gt;35,BD24+BC25-BL24,IF(A25&lt;'Données projet'!$A$88,$BA$205^A25,IF(A25='Données projet'!$A$88,'Données projet'!$B$88,BD24+BC25-BL24)))</f>
        <v>38.896949331432715</v>
      </c>
      <c r="BE25" s="13">
        <f>BD25*VLOOKUP('Données projet'!$B$11,Paramètres!$A$1:$I$89,3,0)*VLOOKUP('Données projet'!$B$11,Paramètres!$A$1:$I$89,5,0)</f>
        <v>18.20377228711051</v>
      </c>
      <c r="BF25" s="13">
        <f t="shared" si="37"/>
        <v>5.9845386042761088</v>
      </c>
      <c r="BG25" s="20">
        <f t="shared" si="7"/>
        <v>42.127974802498365</v>
      </c>
      <c r="BH25" s="59">
        <f t="shared" si="8"/>
        <v>335.4613081358317</v>
      </c>
      <c r="BI25" s="59">
        <f ca="1">AVERAGE(OFFSET($BH$3,0,0,'Données projet'!$E$11+1,1))-AVERAGE(OFFSET($H$3,0,0,'Données projet'!$E$11+1,1))</f>
        <v>183.67580045784649</v>
      </c>
      <c r="BJ25" s="59">
        <f t="shared" si="38"/>
        <v>121.08269345608767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8</v>
      </c>
      <c r="BY25" s="12">
        <f>IF('Données projet'!$A$114&gt;35,BY24+BX25-CG24,IF(A25&lt;'Données projet'!$A$114,$BV$205^A25,IF(A25='Données projet'!$A$114,'Données projet'!$B$114,BY24+BX25-CG24)))</f>
        <v>74</v>
      </c>
      <c r="BZ25" s="13">
        <f>BY25*VLOOKUP('Données projet'!$B$12,Paramètres!$A$1:$I$89,3,0)*VLOOKUP('Données projet'!$B$12,Paramètres!$A$1:$I$89,5,0)</f>
        <v>64.646400000000014</v>
      </c>
      <c r="CA25" s="13">
        <f t="shared" si="39"/>
        <v>18.337876695493666</v>
      </c>
      <c r="CB25" s="20">
        <f t="shared" si="10"/>
        <v>144.53094857798482</v>
      </c>
      <c r="CC25" s="59">
        <f t="shared" si="11"/>
        <v>437.86428191131813</v>
      </c>
      <c r="CD25" s="59">
        <f ca="1">AVERAGE(OFFSET($CC$3,0,0,'Données projet'!$E$12+1,1))-AVERAGE(OFFSET($H$3,0,0,'Données projet'!$E$12+1,1))</f>
        <v>216.10252108537389</v>
      </c>
      <c r="CE25" s="59">
        <f t="shared" si="40"/>
        <v>196.91968622092054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2.5115384615384619</v>
      </c>
      <c r="CT25" s="12">
        <f>IF('Données projet'!$A$140&gt;35,CT24+CS25-DB24,IF(A25&lt;'Données projet'!$A$140,$CQ$205^A25,IF(A25='Données projet'!$A$140,'Données projet'!$B$140,CT24+CS25-DB24)))</f>
        <v>23.796411181408413</v>
      </c>
      <c r="CU25" s="17">
        <f>CT25*VLOOKUP('Données projet'!$B$13,Paramètres!$A$1:$I$89,3,0)*VLOOKUP('Données projet'!$B$13,Paramètres!$A$1:$I$89,5,0)</f>
        <v>21.530992836938331</v>
      </c>
      <c r="CV25" s="13">
        <f t="shared" si="41"/>
        <v>6.9414062926984936</v>
      </c>
      <c r="CW25" s="20">
        <f t="shared" si="13"/>
        <v>49.58942848411747</v>
      </c>
      <c r="CX25" s="59">
        <f t="shared" si="14"/>
        <v>342.92276181745081</v>
      </c>
      <c r="CY25" s="59">
        <f ca="1">AVERAGE(OFFSET($CX$3,0,0,'Données projet'!$E$13+1,1))-AVERAGE(OFFSET($H$3,0,0,'Données projet'!$E$13+1,1))</f>
        <v>318.01858325056168</v>
      </c>
      <c r="CZ25" s="59">
        <f t="shared" si="42"/>
        <v>119.46953274700951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10.763999999999999</v>
      </c>
      <c r="D26" s="11">
        <f t="shared" si="32"/>
        <v>3.76187201923933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112.12953839412818</v>
      </c>
      <c r="H26" s="67">
        <f t="shared" si="1"/>
        <v>318.6325604335085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173.80769230769229</v>
      </c>
      <c r="L26" s="12">
        <f>VLOOKUP(A26,'Données projet'!$A$35:$I$55,9,0)</f>
        <v>14.926923076923075</v>
      </c>
      <c r="M26" s="12">
        <f t="array" ref="M26">INDEX(L:L,MIN(IF(ISNUMBER(L26:L222),ROW(L26:L222),"")))</f>
        <v>14.926923076923075</v>
      </c>
      <c r="N26" s="13">
        <f>IF('Données projet'!$A$36&gt;35,N25+M26-V25,IF(A26&lt;'Données projet'!$A$36,$K$205^A26,IF(A26='Données projet'!$A$36,'Données projet'!$B$36,N25+M26-V25)))</f>
        <v>173.80769230769226</v>
      </c>
      <c r="O26" s="13">
        <f>N26*VLOOKUP('Données projet'!$B$9,Paramètres!$A$1:$I$89,3,0)*VLOOKUP('Données projet'!$B$9,Paramètres!$A$1:$I$89,5,0)</f>
        <v>103.93699999999998</v>
      </c>
      <c r="P26" s="13">
        <f t="shared" si="33"/>
        <v>27.897815230264825</v>
      </c>
      <c r="Q26" s="20">
        <f t="shared" si="2"/>
        <v>229.61230319271121</v>
      </c>
      <c r="R26" s="59">
        <f t="shared" si="0"/>
        <v>522.9456365260445</v>
      </c>
      <c r="S26" s="59">
        <f ca="1">AVERAGE(OFFSET($R$3,0,0,'Données projet'!$E$9+1,1))-AVERAGE(OFFSET($H$3,0,0,'Données projet'!$E$9+1,1))</f>
        <v>200.15574321350221</v>
      </c>
      <c r="T26" s="59">
        <f t="shared" si="34"/>
        <v>200.70728852570426</v>
      </c>
      <c r="U26" s="15">
        <f>IF(ISNA(VLOOKUP(A26,'Données projet'!$A$35:$I$55,3,0)),0,VLOOKUP(A26,'Données projet'!$A$35:$I$55,3,0))</f>
        <v>2</v>
      </c>
      <c r="V26" s="15">
        <f>IF(ISNA(VLOOKUP(A26,'Données projet'!$A$35:$I$55,4,0)),0,VLOOKUP(A26,'Données projet'!$A$35:$I$55,4,0))</f>
        <v>54.099999999999994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0.25200000000000006</v>
      </c>
      <c r="Y26" s="16">
        <f>IF(ISNA(VLOOKUP(A26,'Données projet'!$A$35:$I$55,7,0)),0%,VLOOKUP(A26,'Données projet'!$A$35:$I$55,7,0))</f>
        <v>0.44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17.868099083734933</v>
      </c>
      <c r="AB26" s="21">
        <f>EXP(-LN(2)/2)*AB25+(1-EXP(-LN(2)/2))/(LN(2)/2)*V26*Y26*VLOOKUP('Données projet'!$B$9,Paramètres!$A$1:$I$89,3,0)*0.475*44/12</f>
        <v>17.684285304612487</v>
      </c>
      <c r="AC26" s="22">
        <f t="shared" si="3"/>
        <v>35.55238438834742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45.407317338461951</v>
      </c>
      <c r="AO26" s="59">
        <f t="shared" si="36"/>
        <v>149.88701606165358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33.808972250956288</v>
      </c>
      <c r="AV26" s="21">
        <f>EXP(-LN(2)/25)*AV25+(1-EXP(-LN(2)/25))/(LN(2)/25)*Calculateur!AQ26*Calculateur!AS26*VLOOKUP('Données projet'!$B$10,Paramètres!$A$1:$I$89,3,0)*0.475*44/12</f>
        <v>7.0467814341324413</v>
      </c>
      <c r="AW26" s="21">
        <f>EXP(-LN(2)/2)*AW25+(1-EXP(-LN(2)/2))/(LN(2)/2)*AQ26*AT26*VLOOKUP('Données projet'!$B$10,Paramètres!$A$1:$I$89,3,0)*0.475*44/12</f>
        <v>3.8666841479901755</v>
      </c>
      <c r="AX26" s="21">
        <f t="shared" si="6"/>
        <v>44.722437833078907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4.9084615384615384</v>
      </c>
      <c r="BD26" s="12">
        <f>IF('Données projet'!$A$88&gt;35,BD25+BC26-BL25,IF(A26&lt;'Données projet'!$A$88,$BA$205^A26,IF(A26='Données projet'!$A$88,'Données projet'!$B$88,BD25+BC26-BL25)))</f>
        <v>45.939305928458197</v>
      </c>
      <c r="BE26" s="13">
        <f>BD26*VLOOKUP('Données projet'!$B$11,Paramètres!$A$1:$I$89,3,0)*VLOOKUP('Données projet'!$B$11,Paramètres!$A$1:$I$89,5,0)</f>
        <v>21.499595174518436</v>
      </c>
      <c r="BF26" s="13">
        <f t="shared" si="37"/>
        <v>6.9324614376170377</v>
      </c>
      <c r="BG26" s="20">
        <f t="shared" si="7"/>
        <v>49.51916526613595</v>
      </c>
      <c r="BH26" s="59">
        <f t="shared" si="8"/>
        <v>342.85249859946924</v>
      </c>
      <c r="BI26" s="59">
        <f ca="1">AVERAGE(OFFSET($BH$3,0,0,'Données projet'!$E$11+1,1))-AVERAGE(OFFSET($H$3,0,0,'Données projet'!$E$11+1,1))</f>
        <v>183.67580045784649</v>
      </c>
      <c r="BJ26" s="59">
        <f t="shared" si="38"/>
        <v>121.08269345608767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8</v>
      </c>
      <c r="BY26" s="12">
        <f>IF('Données projet'!$A$114&gt;35,BY25+BX26-CG25,IF(A26&lt;'Données projet'!$A$114,$BV$205^A26,IF(A26='Données projet'!$A$114,'Données projet'!$B$114,BY25+BX26-CG25)))</f>
        <v>82</v>
      </c>
      <c r="BZ26" s="13">
        <f>BY26*VLOOKUP('Données projet'!$B$12,Paramètres!$A$1:$I$89,3,0)*VLOOKUP('Données projet'!$B$12,Paramètres!$A$1:$I$89,5,0)</f>
        <v>71.635200000000012</v>
      </c>
      <c r="CA26" s="13">
        <f t="shared" si="39"/>
        <v>20.078988020012648</v>
      </c>
      <c r="CB26" s="20">
        <f t="shared" si="10"/>
        <v>159.73554413485536</v>
      </c>
      <c r="CC26" s="59">
        <f t="shared" si="11"/>
        <v>453.0688774681887</v>
      </c>
      <c r="CD26" s="59">
        <f ca="1">AVERAGE(OFFSET($CC$3,0,0,'Données projet'!$E$12+1,1))-AVERAGE(OFFSET($H$3,0,0,'Données projet'!$E$12+1,1))</f>
        <v>216.10252108537389</v>
      </c>
      <c r="CE26" s="59">
        <f t="shared" si="40"/>
        <v>196.91968622092054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2.5115384615384619</v>
      </c>
      <c r="CT26" s="12">
        <f>IF('Données projet'!$A$140&gt;35,CT25+CS26-DB25,IF(A26&lt;'Données projet'!$A$140,$CQ$205^A26,IF(A26='Données projet'!$A$140,'Données projet'!$B$140,CT25+CS26-DB25)))</f>
        <v>27.484014404519773</v>
      </c>
      <c r="CU26" s="17">
        <f>CT26*VLOOKUP('Données projet'!$B$13,Paramètres!$A$1:$I$89,3,0)*VLOOKUP('Données projet'!$B$13,Paramètres!$A$1:$I$89,5,0)</f>
        <v>24.867536233209488</v>
      </c>
      <c r="CV26" s="13">
        <f t="shared" si="41"/>
        <v>7.8837559374170789</v>
      </c>
      <c r="CW26" s="20">
        <f t="shared" si="13"/>
        <v>57.041833863841269</v>
      </c>
      <c r="CX26" s="59">
        <f t="shared" si="14"/>
        <v>350.37516719717456</v>
      </c>
      <c r="CY26" s="59">
        <f ca="1">AVERAGE(OFFSET($CX$3,0,0,'Données projet'!$E$13+1,1))-AVERAGE(OFFSET($H$3,0,0,'Données projet'!$E$13+1,1))</f>
        <v>318.01858325056168</v>
      </c>
      <c r="CZ26" s="59">
        <f t="shared" si="42"/>
        <v>119.46953274700951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11.231999999999999</v>
      </c>
      <c r="D27" s="11">
        <f t="shared" si="32"/>
        <v>3.9060334113059061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116.85499475394033</v>
      </c>
      <c r="H27" s="67">
        <f t="shared" si="1"/>
        <v>319.69874152469112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15.073076923076925</v>
      </c>
      <c r="N27" s="13">
        <f>IF('Données projet'!$A$36&gt;35,N26+M27-V26,IF(A27&lt;'Données projet'!$A$36,$K$205^A27,IF(A27='Données projet'!$A$36,'Données projet'!$B$36,N26+M27-V26)))</f>
        <v>134.78076923076921</v>
      </c>
      <c r="O27" s="13">
        <f>N27*VLOOKUP('Données projet'!$B$9,Paramètres!$A$1:$I$89,3,0)*VLOOKUP('Données projet'!$B$9,Paramètres!$A$1:$I$89,5,0)</f>
        <v>80.598899999999986</v>
      </c>
      <c r="P27" s="13">
        <f t="shared" si="33"/>
        <v>22.283554667877272</v>
      </c>
      <c r="Q27" s="20">
        <f t="shared" si="2"/>
        <v>179.18694187988618</v>
      </c>
      <c r="R27" s="59">
        <f t="shared" si="0"/>
        <v>472.52027521321952</v>
      </c>
      <c r="S27" s="59">
        <f ca="1">AVERAGE(OFFSET($R$3,0,0,'Données projet'!$E$9+1,1))-AVERAGE(OFFSET($H$3,0,0,'Données projet'!$E$9+1,1))</f>
        <v>200.15574321350221</v>
      </c>
      <c r="T27" s="59">
        <f t="shared" si="34"/>
        <v>200.70728852570426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17.379494974647709</v>
      </c>
      <c r="AB27" s="21">
        <f>EXP(-LN(2)/2)*AB26+(1-EXP(-LN(2)/2))/(LN(2)/2)*V27*Y27*VLOOKUP('Données projet'!$B$9,Paramètres!$A$1:$I$89,3,0)*0.475*44/12</f>
        <v>12.5046780593291</v>
      </c>
      <c r="AC27" s="22">
        <f t="shared" si="3"/>
        <v>29.884173033976808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45.407317338461951</v>
      </c>
      <c r="AO27" s="59">
        <f t="shared" si="36"/>
        <v>149.88701606165358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33.145998926551911</v>
      </c>
      <c r="AV27" s="21">
        <f>EXP(-LN(2)/25)*AV26+(1-EXP(-LN(2)/25))/(LN(2)/25)*Calculateur!AQ27*Calculateur!AS27*VLOOKUP('Données projet'!$B$10,Paramètres!$A$1:$I$89,3,0)*0.475*44/12</f>
        <v>6.8540868252419598</v>
      </c>
      <c r="AW27" s="21">
        <f>EXP(-LN(2)/2)*AW26+(1-EXP(-LN(2)/2))/(LN(2)/2)*AQ27*AT27*VLOOKUP('Données projet'!$B$10,Paramètres!$A$1:$I$89,3,0)*0.475*44/12</f>
        <v>2.7341585817503811</v>
      </c>
      <c r="AX27" s="21">
        <f t="shared" si="6"/>
        <v>42.734244333544247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4.9084615384615384</v>
      </c>
      <c r="BD27" s="12">
        <f>IF('Données projet'!$A$88&gt;35,BD26+BC27-BL26,IF(A27&lt;'Données projet'!$A$88,$BA$205^A27,IF(A27='Données projet'!$A$88,'Données projet'!$B$88,BD26+BC27-BL26)))</f>
        <v>54.256692760299323</v>
      </c>
      <c r="BE27" s="13">
        <f>BD27*VLOOKUP('Données projet'!$B$11,Paramètres!$A$1:$I$89,3,0)*VLOOKUP('Données projet'!$B$11,Paramètres!$A$1:$I$89,5,0)</f>
        <v>25.392132211820083</v>
      </c>
      <c r="BF27" s="13">
        <f t="shared" si="37"/>
        <v>8.0305307997692346</v>
      </c>
      <c r="BG27" s="20">
        <f t="shared" si="7"/>
        <v>58.211138078518069</v>
      </c>
      <c r="BH27" s="59">
        <f t="shared" si="8"/>
        <v>351.54447141185136</v>
      </c>
      <c r="BI27" s="59">
        <f ca="1">AVERAGE(OFFSET($BH$3,0,0,'Données projet'!$E$11+1,1))-AVERAGE(OFFSET($H$3,0,0,'Données projet'!$E$11+1,1))</f>
        <v>183.67580045784649</v>
      </c>
      <c r="BJ27" s="59">
        <f t="shared" si="38"/>
        <v>121.08269345608767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8</v>
      </c>
      <c r="BY27" s="12">
        <f>IF('Données projet'!$A$114&gt;35,BY26+BX27-CG26,IF(A27&lt;'Données projet'!$A$114,$BV$205^A27,IF(A27='Données projet'!$A$114,'Données projet'!$B$114,BY26+BX27-CG26)))</f>
        <v>90</v>
      </c>
      <c r="BZ27" s="13">
        <f>BY27*VLOOKUP('Données projet'!$B$12,Paramètres!$A$1:$I$89,3,0)*VLOOKUP('Données projet'!$B$12,Paramètres!$A$1:$I$89,5,0)</f>
        <v>78.624000000000009</v>
      </c>
      <c r="CA27" s="13">
        <f t="shared" si="39"/>
        <v>21.800406010684462</v>
      </c>
      <c r="CB27" s="20">
        <f t="shared" si="10"/>
        <v>174.90584046860877</v>
      </c>
      <c r="CC27" s="59">
        <f t="shared" si="11"/>
        <v>468.23917380194212</v>
      </c>
      <c r="CD27" s="59">
        <f ca="1">AVERAGE(OFFSET($CC$3,0,0,'Données projet'!$E$12+1,1))-AVERAGE(OFFSET($H$3,0,0,'Données projet'!$E$12+1,1))</f>
        <v>216.10252108537389</v>
      </c>
      <c r="CE27" s="59">
        <f t="shared" si="40"/>
        <v>196.91968622092054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2.5115384615384619</v>
      </c>
      <c r="CT27" s="12">
        <f>IF('Données projet'!$A$140&gt;35,CT26+CS27-DB26,IF(A27&lt;'Données projet'!$A$140,$CQ$205^A27,IF(A27='Données projet'!$A$140,'Données projet'!$B$140,CT26+CS27-DB26)))</f>
        <v>31.743065877849862</v>
      </c>
      <c r="CU27" s="17">
        <f>CT27*VLOOKUP('Données projet'!$B$13,Paramètres!$A$1:$I$89,3,0)*VLOOKUP('Données projet'!$B$13,Paramètres!$A$1:$I$89,5,0)</f>
        <v>28.721126006278556</v>
      </c>
      <c r="CV27" s="13">
        <f t="shared" si="41"/>
        <v>8.9540368420930783</v>
      </c>
      <c r="CW27" s="20">
        <f t="shared" si="13"/>
        <v>65.61757529424726</v>
      </c>
      <c r="CX27" s="59">
        <f t="shared" si="14"/>
        <v>358.95090862758059</v>
      </c>
      <c r="CY27" s="59">
        <f ca="1">AVERAGE(OFFSET($CX$3,0,0,'Données projet'!$E$13+1,1))-AVERAGE(OFFSET($H$3,0,0,'Données projet'!$E$13+1,1))</f>
        <v>318.01858325056168</v>
      </c>
      <c r="CZ27" s="59">
        <f t="shared" si="42"/>
        <v>119.46953274700951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</v>
      </c>
      <c r="D28" s="11">
        <f t="shared" si="32"/>
        <v>4.0494971001980291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121.57506533486197</v>
      </c>
      <c r="H28" s="67">
        <f t="shared" si="1"/>
        <v>320.76370744951157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15.073076923076925</v>
      </c>
      <c r="N28" s="13">
        <f>IF('Données projet'!$A$36&gt;35,N27+M28-V27,IF(A28&lt;'Données projet'!$A$36,$K$205^A28,IF(A28='Données projet'!$A$36,'Données projet'!$B$36,N27+M28-V27)))</f>
        <v>149.85384615384612</v>
      </c>
      <c r="O28" s="13">
        <f>N28*VLOOKUP('Données projet'!$B$9,Paramètres!$A$1:$I$89,3,0)*VLOOKUP('Données projet'!$B$9,Paramètres!$A$1:$I$89,5,0)</f>
        <v>89.6126</v>
      </c>
      <c r="P28" s="13">
        <f t="shared" si="33"/>
        <v>24.471769998555317</v>
      </c>
      <c r="Q28" s="20">
        <f t="shared" si="2"/>
        <v>198.69694441415049</v>
      </c>
      <c r="R28" s="59">
        <f t="shared" si="0"/>
        <v>492.03027774748381</v>
      </c>
      <c r="S28" s="59">
        <f ca="1">AVERAGE(OFFSET($R$3,0,0,'Données projet'!$E$9+1,1))-AVERAGE(OFFSET($H$3,0,0,'Données projet'!$E$9+1,1))</f>
        <v>200.15574321350221</v>
      </c>
      <c r="T28" s="59">
        <f t="shared" si="34"/>
        <v>200.70728852570426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16.90425177061805</v>
      </c>
      <c r="AB28" s="21">
        <f>EXP(-LN(2)/2)*AB27+(1-EXP(-LN(2)/2))/(LN(2)/2)*V28*Y28*VLOOKUP('Données projet'!$B$9,Paramètres!$A$1:$I$89,3,0)*0.475*44/12</f>
        <v>8.8421426523062436</v>
      </c>
      <c r="AC28" s="22">
        <f t="shared" si="3"/>
        <v>25.746394422924293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45.407317338461951</v>
      </c>
      <c r="AO28" s="59">
        <f t="shared" si="36"/>
        <v>149.88701606165358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32.496026104665305</v>
      </c>
      <c r="AV28" s="21">
        <f>EXP(-LN(2)/25)*AV27+(1-EXP(-LN(2)/25))/(LN(2)/25)*Calculateur!AQ28*Calculateur!AS28*VLOOKUP('Données projet'!$B$10,Paramètres!$A$1:$I$89,3,0)*0.475*44/12</f>
        <v>6.6666614605649572</v>
      </c>
      <c r="AW28" s="21">
        <f>EXP(-LN(2)/2)*AW27+(1-EXP(-LN(2)/2))/(LN(2)/2)*AQ28*AT28*VLOOKUP('Données projet'!$B$10,Paramètres!$A$1:$I$89,3,0)*0.475*44/12</f>
        <v>1.933342073995088</v>
      </c>
      <c r="AX28" s="21">
        <f t="shared" si="6"/>
        <v>41.09602963922535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4.9084615384615384</v>
      </c>
      <c r="BD28" s="12">
        <f>IF('Données projet'!$A$88&gt;35,BD27+BC28-BL27,IF(A28&lt;'Données projet'!$A$88,$BA$205^A28,IF(A28='Données projet'!$A$88,'Données projet'!$B$88,BD27+BC28-BL27)))</f>
        <v>64.079956146266369</v>
      </c>
      <c r="BE28" s="13">
        <f>BD28*VLOOKUP('Données projet'!$B$11,Paramètres!$A$1:$I$89,3,0)*VLOOKUP('Données projet'!$B$11,Paramètres!$A$1:$I$89,5,0)</f>
        <v>29.98941947645266</v>
      </c>
      <c r="BF28" s="13">
        <f t="shared" si="37"/>
        <v>9.3025291963556676</v>
      </c>
      <c r="BG28" s="20">
        <f t="shared" si="7"/>
        <v>68.433477271807831</v>
      </c>
      <c r="BH28" s="59">
        <f t="shared" si="8"/>
        <v>361.76681060514113</v>
      </c>
      <c r="BI28" s="59">
        <f ca="1">AVERAGE(OFFSET($BH$3,0,0,'Données projet'!$E$11+1,1))-AVERAGE(OFFSET($H$3,0,0,'Données projet'!$E$11+1,1))</f>
        <v>183.67580045784649</v>
      </c>
      <c r="BJ28" s="59">
        <f t="shared" si="38"/>
        <v>121.08269345608767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98</v>
      </c>
      <c r="BW28" s="12">
        <f>VLOOKUP(A28,'Données projet'!$A$113:$I$133,9,0)</f>
        <v>8</v>
      </c>
      <c r="BX28" s="12">
        <f t="array" ref="BX28">INDEX(BW:BW,MIN(IF(ISNUMBER(BW28:BW224),ROW(BW28:BW224),"")))</f>
        <v>8</v>
      </c>
      <c r="BY28" s="12">
        <f>IF('Données projet'!$A$114&gt;35,BY27+BX28-CG27,IF(A28&lt;'Données projet'!$A$114,$BV$205^A28,IF(A28='Données projet'!$A$114,'Données projet'!$B$114,BY27+BX28-CG27)))</f>
        <v>98</v>
      </c>
      <c r="BZ28" s="13">
        <f>BY28*VLOOKUP('Données projet'!$B$12,Paramètres!$A$1:$I$89,3,0)*VLOOKUP('Données projet'!$B$12,Paramètres!$A$1:$I$89,5,0)</f>
        <v>85.612800000000007</v>
      </c>
      <c r="CA28" s="13">
        <f t="shared" si="39"/>
        <v>23.504080242391282</v>
      </c>
      <c r="CB28" s="20">
        <f t="shared" si="10"/>
        <v>190.04523308883151</v>
      </c>
      <c r="CC28" s="59">
        <f t="shared" si="11"/>
        <v>483.37856642216479</v>
      </c>
      <c r="CD28" s="59">
        <f ca="1">AVERAGE(OFFSET($CC$3,0,0,'Données projet'!$E$12+1,1))-AVERAGE(OFFSET($H$3,0,0,'Données projet'!$E$12+1,1))</f>
        <v>216.10252108537389</v>
      </c>
      <c r="CE28" s="59">
        <f t="shared" si="40"/>
        <v>196.91968622092054</v>
      </c>
      <c r="CF28" s="15">
        <f>IF(ISNA(VLOOKUP(A28,'Données projet'!$A$113:$I$133,3,0)),0,VLOOKUP(A28,'Données projet'!$A$113:$I$133,3,0))</f>
        <v>2</v>
      </c>
      <c r="CG28" s="15" t="str">
        <f>IF(ISNA(VLOOKUP(A28,'Données projet'!$A$113:$I$133,4,0)),0,VLOOKUP(A28,'Données projet'!$A$113:$I$133,4,0))</f>
        <v>19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2.5115384615384619</v>
      </c>
      <c r="CT28" s="12">
        <f>IF('Données projet'!$A$140&gt;35,CT27+CS28-DB27,IF(A28&lt;'Données projet'!$A$140,$CQ$205^A28,IF(A28='Données projet'!$A$140,'Données projet'!$B$140,CT27+CS28-DB27)))</f>
        <v>36.662119896131756</v>
      </c>
      <c r="CU28" s="17">
        <f>CT28*VLOOKUP('Données projet'!$B$13,Paramètres!$A$1:$I$89,3,0)*VLOOKUP('Données projet'!$B$13,Paramètres!$A$1:$I$89,5,0)</f>
        <v>33.171886082020016</v>
      </c>
      <c r="CV28" s="13">
        <f t="shared" si="41"/>
        <v>10.16961666571169</v>
      </c>
      <c r="CW28" s="20">
        <f t="shared" si="13"/>
        <v>75.48645061896606</v>
      </c>
      <c r="CX28" s="59">
        <f t="shared" si="14"/>
        <v>368.81978395229936</v>
      </c>
      <c r="CY28" s="59">
        <f ca="1">AVERAGE(OFFSET($CX$3,0,0,'Données projet'!$E$13+1,1))-AVERAGE(OFFSET($H$3,0,0,'Données projet'!$E$13+1,1))</f>
        <v>318.01858325056168</v>
      </c>
      <c r="CZ28" s="59">
        <f t="shared" si="42"/>
        <v>119.46953274700951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29" s="11">
        <f t="shared" si="32"/>
        <v>4.1922941870296242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126.28999021566726</v>
      </c>
      <c r="H29" s="67">
        <f t="shared" si="1"/>
        <v>321.82751237574325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15.073076923076925</v>
      </c>
      <c r="N29" s="13">
        <f>IF('Données projet'!$A$36&gt;35,N28+M29-V28,IF(A29&lt;'Données projet'!$A$36,$K$205^A29,IF(A29='Données projet'!$A$36,'Données projet'!$B$36,N28+M29-V28)))</f>
        <v>164.92692307692306</v>
      </c>
      <c r="O29" s="13">
        <f>N29*VLOOKUP('Données projet'!$B$9,Paramètres!$A$1:$I$89,3,0)*VLOOKUP('Données projet'!$B$9,Paramètres!$A$1:$I$89,5,0)</f>
        <v>98.626300000000001</v>
      </c>
      <c r="P29" s="13">
        <f t="shared" si="33"/>
        <v>26.634469472597342</v>
      </c>
      <c r="Q29" s="20">
        <f t="shared" si="2"/>
        <v>218.16250683144037</v>
      </c>
      <c r="R29" s="59">
        <f t="shared" si="0"/>
        <v>511.49584016477365</v>
      </c>
      <c r="S29" s="59">
        <f ca="1">AVERAGE(OFFSET($R$3,0,0,'Données projet'!$E$9+1,1))-AVERAGE(OFFSET($H$3,0,0,'Données projet'!$E$9+1,1))</f>
        <v>200.15574321350221</v>
      </c>
      <c r="T29" s="59">
        <f t="shared" si="34"/>
        <v>200.70728852570426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16.442004116994532</v>
      </c>
      <c r="AB29" s="21">
        <f>EXP(-LN(2)/2)*AB28+(1-EXP(-LN(2)/2))/(LN(2)/2)*V29*Y29*VLOOKUP('Données projet'!$B$9,Paramètres!$A$1:$I$89,3,0)*0.475*44/12</f>
        <v>6.25233902966455</v>
      </c>
      <c r="AC29" s="22">
        <f t="shared" si="3"/>
        <v>22.694343146659083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45.407317338461951</v>
      </c>
      <c r="AO29" s="59">
        <f t="shared" si="36"/>
        <v>149.88701606165358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31.858798853371617</v>
      </c>
      <c r="AV29" s="21">
        <f>EXP(-LN(2)/25)*AV28+(1-EXP(-LN(2)/25))/(LN(2)/25)*Calculateur!AQ29*Calculateur!AS29*VLOOKUP('Données projet'!$B$10,Paramètres!$A$1:$I$89,3,0)*0.475*44/12</f>
        <v>6.4843612523413192</v>
      </c>
      <c r="AW29" s="21">
        <f>EXP(-LN(2)/2)*AW28+(1-EXP(-LN(2)/2))/(LN(2)/2)*AQ29*AT29*VLOOKUP('Données projet'!$B$10,Paramètres!$A$1:$I$89,3,0)*0.475*44/12</f>
        <v>1.3670792908751908</v>
      </c>
      <c r="AX29" s="21">
        <f t="shared" si="6"/>
        <v>39.710239396588129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4.9084615384615384</v>
      </c>
      <c r="BD29" s="12">
        <f>IF('Données projet'!$A$88&gt;35,BD28+BC29-BL28,IF(A29&lt;'Données projet'!$A$88,$BA$205^A29,IF(A29='Données projet'!$A$88,'Données projet'!$B$88,BD28+BC29-BL28)))</f>
        <v>75.681737511137769</v>
      </c>
      <c r="BE29" s="13">
        <f>BD29*VLOOKUP('Données projet'!$B$11,Paramètres!$A$1:$I$89,3,0)*VLOOKUP('Données projet'!$B$11,Paramètres!$A$1:$I$89,5,0)</f>
        <v>35.419053155212474</v>
      </c>
      <c r="BF29" s="13">
        <f t="shared" si="37"/>
        <v>10.776006170294048</v>
      </c>
      <c r="BG29" s="20">
        <f t="shared" si="7"/>
        <v>80.456394991923858</v>
      </c>
      <c r="BH29" s="59">
        <f t="shared" si="8"/>
        <v>373.78972832525716</v>
      </c>
      <c r="BI29" s="59">
        <f ca="1">AVERAGE(OFFSET($BH$3,0,0,'Données projet'!$E$11+1,1))-AVERAGE(OFFSET($H$3,0,0,'Données projet'!$E$11+1,1))</f>
        <v>183.67580045784649</v>
      </c>
      <c r="BJ29" s="59">
        <f t="shared" si="38"/>
        <v>121.08269345608767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8</v>
      </c>
      <c r="BY29" s="12">
        <f>IF('Données projet'!$A$114&gt;35,BY28+BX29-CG28,IF(A29&lt;'Données projet'!$A$114,$BV$205^A29,IF(A29='Données projet'!$A$114,'Données projet'!$B$114,BY28+BX29-CG28)))</f>
        <v>87</v>
      </c>
      <c r="BZ29" s="13">
        <f>BY29*VLOOKUP('Données projet'!$B$12,Paramètres!$A$1:$I$89,3,0)*VLOOKUP('Données projet'!$B$12,Paramètres!$A$1:$I$89,5,0)</f>
        <v>76.003200000000007</v>
      </c>
      <c r="CA29" s="13">
        <f t="shared" si="39"/>
        <v>21.157049992000456</v>
      </c>
      <c r="CB29" s="20">
        <f t="shared" si="10"/>
        <v>169.22076873606747</v>
      </c>
      <c r="CC29" s="59">
        <f t="shared" si="11"/>
        <v>462.55410206940076</v>
      </c>
      <c r="CD29" s="59">
        <f ca="1">AVERAGE(OFFSET($CC$3,0,0,'Données projet'!$E$12+1,1))-AVERAGE(OFFSET($H$3,0,0,'Données projet'!$E$12+1,1))</f>
        <v>216.10252108537389</v>
      </c>
      <c r="CE29" s="59">
        <f t="shared" si="40"/>
        <v>196.91968622092054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2.5115384615384619</v>
      </c>
      <c r="CT29" s="12">
        <f>IF('Données projet'!$A$140&gt;35,CT28+CS29-DB28,IF(A29&lt;'Données projet'!$A$140,$CQ$205^A29,IF(A29='Données projet'!$A$140,'Données projet'!$B$140,CT28+CS29-DB28)))</f>
        <v>42.3434535419672</v>
      </c>
      <c r="CU29" s="17">
        <f>CT29*VLOOKUP('Données projet'!$B$13,Paramètres!$A$1:$I$89,3,0)*VLOOKUP('Données projet'!$B$13,Paramètres!$A$1:$I$89,5,0)</f>
        <v>38.31235676477192</v>
      </c>
      <c r="CV29" s="13">
        <f t="shared" si="41"/>
        <v>11.55022086142605</v>
      </c>
      <c r="CW29" s="20">
        <f t="shared" si="13"/>
        <v>86.843989365628133</v>
      </c>
      <c r="CX29" s="59">
        <f t="shared" si="14"/>
        <v>380.17732269896146</v>
      </c>
      <c r="CY29" s="59">
        <f ca="1">AVERAGE(OFFSET($CX$3,0,0,'Données projet'!$E$13+1,1))-AVERAGE(OFFSET($H$3,0,0,'Données projet'!$E$13+1,1))</f>
        <v>318.01858325056168</v>
      </c>
      <c r="CZ29" s="59">
        <f t="shared" si="42"/>
        <v>119.46953274700951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12.635999999999999</v>
      </c>
      <c r="D30" s="11">
        <f t="shared" si="32"/>
        <v>4.3344532450369764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130.99998996168895</v>
      </c>
      <c r="H30" s="67">
        <f t="shared" si="1"/>
        <v>322.8902060684394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15.073076923076925</v>
      </c>
      <c r="N30" s="13">
        <f>IF('Données projet'!$A$36&gt;35,N29+M30-V29,IF(A30&lt;'Données projet'!$A$36,$K$205^A30,IF(A30='Données projet'!$A$36,'Données projet'!$B$36,N29+M30-V29)))</f>
        <v>180</v>
      </c>
      <c r="O30" s="13">
        <f>N30*VLOOKUP('Données projet'!$B$9,Paramètres!$A$1:$I$89,3,0)*VLOOKUP('Données projet'!$B$9,Paramètres!$A$1:$I$89,5,0)</f>
        <v>107.64</v>
      </c>
      <c r="P30" s="13">
        <f t="shared" si="33"/>
        <v>28.774250263353583</v>
      </c>
      <c r="Q30" s="20">
        <f t="shared" si="2"/>
        <v>237.58815254200749</v>
      </c>
      <c r="R30" s="59">
        <f t="shared" si="0"/>
        <v>530.92148587534075</v>
      </c>
      <c r="S30" s="59">
        <f ca="1">AVERAGE(OFFSET($R$3,0,0,'Données projet'!$E$9+1,1))-AVERAGE(OFFSET($H$3,0,0,'Données projet'!$E$9+1,1))</f>
        <v>200.15574321350221</v>
      </c>
      <c r="T30" s="59">
        <f t="shared" si="34"/>
        <v>200.70728852570426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15.992396649767899</v>
      </c>
      <c r="AB30" s="21">
        <f>EXP(-LN(2)/2)*AB29+(1-EXP(-LN(2)/2))/(LN(2)/2)*V30*Y30*VLOOKUP('Données projet'!$B$9,Paramètres!$A$1:$I$89,3,0)*0.475*44/12</f>
        <v>4.4210713261531218</v>
      </c>
      <c r="AC30" s="22">
        <f t="shared" si="3"/>
        <v>20.413467975921023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45.407317338461951</v>
      </c>
      <c r="AO30" s="59">
        <f t="shared" si="36"/>
        <v>149.88701606165358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31.234067239805555</v>
      </c>
      <c r="AV30" s="21">
        <f>EXP(-LN(2)/25)*AV29+(1-EXP(-LN(2)/25))/(LN(2)/25)*Calculateur!AQ30*Calculateur!AS30*VLOOKUP('Données projet'!$B$10,Paramètres!$A$1:$I$89,3,0)*0.475*44/12</f>
        <v>6.3070460528983077</v>
      </c>
      <c r="AW30" s="21">
        <f>EXP(-LN(2)/2)*AW29+(1-EXP(-LN(2)/2))/(LN(2)/2)*AQ30*AT30*VLOOKUP('Données projet'!$B$10,Paramètres!$A$1:$I$89,3,0)*0.475*44/12</f>
        <v>0.96667103699754409</v>
      </c>
      <c r="AX30" s="21">
        <f t="shared" si="6"/>
        <v>38.507784329701408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4.9084615384615384</v>
      </c>
      <c r="BD30" s="12">
        <f>IF('Données projet'!$A$88&gt;35,BD29+BC30-BL29,IF(A30&lt;'Données projet'!$A$88,$BA$205^A30,IF(A30='Données projet'!$A$88,'Données projet'!$B$88,BD29+BC30-BL29)))</f>
        <v>89.384040457688172</v>
      </c>
      <c r="BE30" s="13">
        <f>BD30*VLOOKUP('Données projet'!$B$11,Paramètres!$A$1:$I$89,3,0)*VLOOKUP('Données projet'!$B$11,Paramètres!$A$1:$I$89,5,0)</f>
        <v>41.831730934198063</v>
      </c>
      <c r="BF30" s="13">
        <f t="shared" si="37"/>
        <v>12.482874982828019</v>
      </c>
      <c r="BG30" s="20">
        <f t="shared" si="7"/>
        <v>94.597938638820423</v>
      </c>
      <c r="BH30" s="59">
        <f t="shared" si="8"/>
        <v>387.93127197215375</v>
      </c>
      <c r="BI30" s="59">
        <f ca="1">AVERAGE(OFFSET($BH$3,0,0,'Données projet'!$E$11+1,1))-AVERAGE(OFFSET($H$3,0,0,'Données projet'!$E$11+1,1))</f>
        <v>183.67580045784649</v>
      </c>
      <c r="BJ30" s="59">
        <f t="shared" si="38"/>
        <v>121.08269345608767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8</v>
      </c>
      <c r="BY30" s="12">
        <f>IF('Données projet'!$A$114&gt;35,BY29+BX30-CG29,IF(A30&lt;'Données projet'!$A$114,$BV$205^A30,IF(A30='Données projet'!$A$114,'Données projet'!$B$114,BY29+BX30-CG29)))</f>
        <v>95</v>
      </c>
      <c r="BZ30" s="13">
        <f>BY30*VLOOKUP('Données projet'!$B$12,Paramètres!$A$1:$I$89,3,0)*VLOOKUP('Données projet'!$B$12,Paramètres!$A$1:$I$89,5,0)</f>
        <v>82.992000000000004</v>
      </c>
      <c r="CA30" s="13">
        <f t="shared" si="39"/>
        <v>22.867173045817324</v>
      </c>
      <c r="CB30" s="20">
        <f t="shared" si="10"/>
        <v>184.37139305479852</v>
      </c>
      <c r="CC30" s="59">
        <f t="shared" si="11"/>
        <v>477.7047263881318</v>
      </c>
      <c r="CD30" s="59">
        <f ca="1">AVERAGE(OFFSET($CC$3,0,0,'Données projet'!$E$12+1,1))-AVERAGE(OFFSET($H$3,0,0,'Données projet'!$E$12+1,1))</f>
        <v>216.10252108537389</v>
      </c>
      <c r="CE30" s="59">
        <f t="shared" si="40"/>
        <v>196.91968622092054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2.5115384615384619</v>
      </c>
      <c r="CT30" s="12">
        <f>IF('Données projet'!$A$140&gt;35,CT29+CS30-DB29,IF(A30&lt;'Données projet'!$A$140,$CQ$205^A30,IF(A30='Données projet'!$A$140,'Données projet'!$B$140,CT29+CS30-DB29)))</f>
        <v>48.90519323324542</v>
      </c>
      <c r="CU30" s="17">
        <f>CT30*VLOOKUP('Données projet'!$B$13,Paramètres!$A$1:$I$89,3,0)*VLOOKUP('Données projet'!$B$13,Paramètres!$A$1:$I$89,5,0)</f>
        <v>44.249418837440452</v>
      </c>
      <c r="CV30" s="13">
        <f t="shared" si="41"/>
        <v>13.118252765369638</v>
      </c>
      <c r="CW30" s="20">
        <f t="shared" si="13"/>
        <v>99.915361374894232</v>
      </c>
      <c r="CX30" s="59">
        <f t="shared" si="14"/>
        <v>393.24869470822756</v>
      </c>
      <c r="CY30" s="59">
        <f ca="1">AVERAGE(OFFSET($CX$3,0,0,'Données projet'!$E$13+1,1))-AVERAGE(OFFSET($H$3,0,0,'Données projet'!$E$13+1,1))</f>
        <v>318.01858325056168</v>
      </c>
      <c r="CZ30" s="59">
        <f t="shared" si="42"/>
        <v>119.46953274700951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13.103999999999999</v>
      </c>
      <c r="D31" s="11">
        <f t="shared" si="32"/>
        <v>4.4760006109979793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135.70526787437038</v>
      </c>
      <c r="H31" s="67">
        <f t="shared" si="1"/>
        <v>323.95183439748814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15.073076923076925</v>
      </c>
      <c r="N31" s="13">
        <f>IF('Données projet'!$A$36&gt;35,N30+M31-V30,IF(A31&lt;'Données projet'!$A$36,$K$205^A31,IF(A31='Données projet'!$A$36,'Données projet'!$B$36,N30+M31-V30)))</f>
        <v>195.07307692307694</v>
      </c>
      <c r="O31" s="13">
        <f>N31*VLOOKUP('Données projet'!$B$9,Paramètres!$A$1:$I$89,3,0)*VLOOKUP('Données projet'!$B$9,Paramètres!$A$1:$I$89,5,0)</f>
        <v>116.65370000000001</v>
      </c>
      <c r="P31" s="13">
        <f t="shared" si="33"/>
        <v>30.893249762406356</v>
      </c>
      <c r="Q31" s="20">
        <f t="shared" si="2"/>
        <v>256.9776041695244</v>
      </c>
      <c r="R31" s="59">
        <f t="shared" si="0"/>
        <v>550.31093750285777</v>
      </c>
      <c r="S31" s="59">
        <f ca="1">AVERAGE(OFFSET($R$3,0,0,'Données projet'!$E$9+1,1))-AVERAGE(OFFSET($H$3,0,0,'Données projet'!$E$9+1,1))</f>
        <v>200.15574321350221</v>
      </c>
      <c r="T31" s="59">
        <f t="shared" si="34"/>
        <v>200.70728852570426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15.555083722376407</v>
      </c>
      <c r="AB31" s="21">
        <f>EXP(-LN(2)/2)*AB30+(1-EXP(-LN(2)/2))/(LN(2)/2)*V31*Y31*VLOOKUP('Données projet'!$B$9,Paramètres!$A$1:$I$89,3,0)*0.475*44/12</f>
        <v>3.126169514832275</v>
      </c>
      <c r="AC31" s="22">
        <f t="shared" si="3"/>
        <v>18.681253237208683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45.407317338461951</v>
      </c>
      <c r="AO31" s="59">
        <f t="shared" si="36"/>
        <v>149.88701606165358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30.621586232132863</v>
      </c>
      <c r="AV31" s="21">
        <f>EXP(-LN(2)/25)*AV30+(1-EXP(-LN(2)/25))/(LN(2)/25)*Calculateur!AQ31*Calculateur!AS31*VLOOKUP('Données projet'!$B$10,Paramètres!$A$1:$I$89,3,0)*0.475*44/12</f>
        <v>6.1345795469086664</v>
      </c>
      <c r="AW31" s="21">
        <f>EXP(-LN(2)/2)*AW30+(1-EXP(-LN(2)/2))/(LN(2)/2)*AQ31*AT31*VLOOKUP('Données projet'!$B$10,Paramètres!$A$1:$I$89,3,0)*0.475*44/12</f>
        <v>0.68353964543759549</v>
      </c>
      <c r="AX31" s="21">
        <f t="shared" si="6"/>
        <v>37.439705424479129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4.9084615384615384</v>
      </c>
      <c r="BD31" s="12">
        <f>IF('Données projet'!$A$88&gt;35,BD30+BC31-BL30,IF(A31&lt;'Données projet'!$A$88,$BA$205^A31,IF(A31='Données projet'!$A$88,'Données projet'!$B$88,BD30+BC31-BL30)))</f>
        <v>105.56716787013318</v>
      </c>
      <c r="BE31" s="13">
        <f>BD31*VLOOKUP('Données projet'!$B$11,Paramètres!$A$1:$I$89,3,0)*VLOOKUP('Données projet'!$B$11,Paramètres!$A$1:$I$89,5,0)</f>
        <v>49.405434563222322</v>
      </c>
      <c r="BF31" s="13">
        <f t="shared" si="37"/>
        <v>14.46010380603388</v>
      </c>
      <c r="BG31" s="20">
        <f t="shared" si="7"/>
        <v>111.23247932645454</v>
      </c>
      <c r="BH31" s="59">
        <f t="shared" si="8"/>
        <v>404.56581265978787</v>
      </c>
      <c r="BI31" s="59">
        <f ca="1">AVERAGE(OFFSET($BH$3,0,0,'Données projet'!$E$11+1,1))-AVERAGE(OFFSET($H$3,0,0,'Données projet'!$E$11+1,1))</f>
        <v>183.67580045784649</v>
      </c>
      <c r="BJ31" s="59">
        <f t="shared" si="38"/>
        <v>121.08269345608767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8</v>
      </c>
      <c r="BY31" s="12">
        <f>IF('Données projet'!$A$114&gt;35,BY30+BX31-CG30,IF(A31&lt;'Données projet'!$A$114,$BV$205^A31,IF(A31='Données projet'!$A$114,'Données projet'!$B$114,BY30+BX31-CG30)))</f>
        <v>103</v>
      </c>
      <c r="BZ31" s="13">
        <f>BY31*VLOOKUP('Données projet'!$B$12,Paramètres!$A$1:$I$89,3,0)*VLOOKUP('Données projet'!$B$12,Paramètres!$A$1:$I$89,5,0)</f>
        <v>89.980800000000016</v>
      </c>
      <c r="CA31" s="13">
        <f t="shared" si="39"/>
        <v>24.560594358746648</v>
      </c>
      <c r="CB31" s="20">
        <f t="shared" si="10"/>
        <v>199.49292850815041</v>
      </c>
      <c r="CC31" s="59">
        <f t="shared" si="11"/>
        <v>492.82626184148376</v>
      </c>
      <c r="CD31" s="59">
        <f ca="1">AVERAGE(OFFSET($CC$3,0,0,'Données projet'!$E$12+1,1))-AVERAGE(OFFSET($H$3,0,0,'Données projet'!$E$12+1,1))</f>
        <v>216.10252108537389</v>
      </c>
      <c r="CE31" s="59">
        <f t="shared" si="40"/>
        <v>196.91968622092054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2.5115384615384619</v>
      </c>
      <c r="CT31" s="12">
        <f>IF('Données projet'!$A$140&gt;35,CT30+CS31-DB30,IF(A31&lt;'Données projet'!$A$140,$CQ$205^A31,IF(A31='Données projet'!$A$140,'Données projet'!$B$140,CT30+CS31-DB30)))</f>
        <v>56.483770810300285</v>
      </c>
      <c r="CU31" s="17">
        <f>CT31*VLOOKUP('Données projet'!$B$13,Paramètres!$A$1:$I$89,3,0)*VLOOKUP('Données projet'!$B$13,Paramètres!$A$1:$I$89,5,0)</f>
        <v>51.106515829159697</v>
      </c>
      <c r="CV31" s="13">
        <f t="shared" si="41"/>
        <v>14.899157140003059</v>
      </c>
      <c r="CW31" s="20">
        <f t="shared" si="13"/>
        <v>114.9598804212918</v>
      </c>
      <c r="CX31" s="59">
        <f t="shared" si="14"/>
        <v>408.29321375462513</v>
      </c>
      <c r="CY31" s="59">
        <f ca="1">AVERAGE(OFFSET($CX$3,0,0,'Données projet'!$E$13+1,1))-AVERAGE(OFFSET($H$3,0,0,'Données projet'!$E$13+1,1))</f>
        <v>318.01858325056168</v>
      </c>
      <c r="CZ31" s="59">
        <f t="shared" si="42"/>
        <v>119.46953274700951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13.571999999999999</v>
      </c>
      <c r="D32" s="11">
        <f t="shared" si="32"/>
        <v>4.6169606338501863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140.40601191042251</v>
      </c>
      <c r="H32" s="67">
        <f t="shared" si="1"/>
        <v>325.01243977062239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210.14615384615385</v>
      </c>
      <c r="L32" s="12">
        <f>VLOOKUP(A32,'Données projet'!$A$35:$I$55,9,0)</f>
        <v>15.073076923076925</v>
      </c>
      <c r="M32" s="12">
        <f t="array" ref="M32">INDEX(L:L,MIN(IF(ISNUMBER(L32:L228),ROW(L32:L228),"")))</f>
        <v>15.073076923076925</v>
      </c>
      <c r="N32" s="13">
        <f>IF('Données projet'!$A$36&gt;35,N31+M32-V31,IF(A32&lt;'Données projet'!$A$36,$K$205^A32,IF(A32='Données projet'!$A$36,'Données projet'!$B$36,N31+M32-V31)))</f>
        <v>210.14615384615388</v>
      </c>
      <c r="O32" s="13">
        <f>N32*VLOOKUP('Données projet'!$B$9,Paramètres!$A$1:$I$89,3,0)*VLOOKUP('Données projet'!$B$9,Paramètres!$A$1:$I$89,5,0)</f>
        <v>125.66740000000003</v>
      </c>
      <c r="P32" s="13">
        <f t="shared" si="33"/>
        <v>32.993256286656127</v>
      </c>
      <c r="Q32" s="20">
        <f t="shared" si="2"/>
        <v>276.33397636592611</v>
      </c>
      <c r="R32" s="59">
        <f t="shared" si="0"/>
        <v>569.66730969925948</v>
      </c>
      <c r="S32" s="59">
        <f ca="1">AVERAGE(OFFSET($R$3,0,0,'Données projet'!$E$9+1,1))-AVERAGE(OFFSET($H$3,0,0,'Données projet'!$E$9+1,1))</f>
        <v>200.15574321350221</v>
      </c>
      <c r="T32" s="59">
        <f t="shared" si="34"/>
        <v>200.70728852570426</v>
      </c>
      <c r="U32" s="15">
        <f>IF(ISNA(VLOOKUP(A32,'Données projet'!$A$35:$I$55,3,0)),0,VLOOKUP(A32,'Données projet'!$A$35:$I$55,3,0))</f>
        <v>3</v>
      </c>
      <c r="V32" s="15">
        <f>IF(ISNA(VLOOKUP(A32,'Données projet'!$A$35:$I$55,4,0)),0,VLOOKUP(A32,'Données projet'!$A$35:$I$55,4,0))</f>
        <v>47.661538461538463</v>
      </c>
      <c r="W32" s="16">
        <f>IF(ISNA(VLOOKUP(A32,'Données projet'!$A$35:$I$55,5,0)),0%,VLOOKUP(A32,'Données projet'!$A$35:$I$55,5,0)*VLOOKUP('Données projet'!$B$9,Paramètres!$A$1:$I$89,7,0))</f>
        <v>0.315</v>
      </c>
      <c r="X32" s="16">
        <f>IF(ISNA(VLOOKUP(A32,'Données projet'!$A$35:$I$55,6,0)),0%,VLOOKUP(A32,'Données projet'!$A$35:$I$55,6,0)*VLOOKUP('Données projet'!$B$9,Paramètres!$A$1:$I$89,7,0))</f>
        <v>7.5600000000000001E-2</v>
      </c>
      <c r="Y32" s="16">
        <f>IF(ISNA(VLOOKUP(A32,'Données projet'!$A$35:$I$55,7,0)),0%,VLOOKUP(A32,'Données projet'!$A$35:$I$55,7,0))</f>
        <v>0.13200000000000001</v>
      </c>
      <c r="Z32" s="21">
        <f>EXP(-LN(2)/35)*Z31+(1-EXP(-LN(2)/35))/(LN(2)/35)*V32*W32*VLOOKUP('Données projet'!$B$9,Paramètres!$A$1:$I$89,3,0)*0.475*44/12</f>
        <v>11.909900987194014</v>
      </c>
      <c r="AA32" s="21">
        <f>EXP(-LN(2)/25)*AA31+(1-EXP(-LN(2)/25))/(LN(2)/25)*Calculateur!V32*Calculateur!X32*VLOOKUP('Données projet'!$B$9,Paramètres!$A$1:$I$89,3,0)*0.475*44/12</f>
        <v>17.976850860536775</v>
      </c>
      <c r="AB32" s="21">
        <f>EXP(-LN(2)/2)*AB31+(1-EXP(-LN(2)/2))/(LN(2)/2)*V32*Y32*VLOOKUP('Données projet'!$B$9,Paramètres!$A$1:$I$89,3,0)*0.475*44/12</f>
        <v>6.4702326938323633</v>
      </c>
      <c r="AC32" s="22">
        <f t="shared" si="3"/>
        <v>36.356984541563151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45.407317338461951</v>
      </c>
      <c r="AO32" s="59">
        <f t="shared" si="36"/>
        <v>149.88701606165358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30.021115603444105</v>
      </c>
      <c r="AV32" s="21">
        <f>EXP(-LN(2)/25)*AV31+(1-EXP(-LN(2)/25))/(LN(2)/25)*Calculateur!AQ32*Calculateur!AS32*VLOOKUP('Données projet'!$B$10,Paramètres!$A$1:$I$89,3,0)*0.475*44/12</f>
        <v>5.9668291465949315</v>
      </c>
      <c r="AW32" s="21">
        <f>EXP(-LN(2)/2)*AW31+(1-EXP(-LN(2)/2))/(LN(2)/2)*AQ32*AT32*VLOOKUP('Données projet'!$B$10,Paramètres!$A$1:$I$89,3,0)*0.475*44/12</f>
        <v>0.48333551849877215</v>
      </c>
      <c r="AX32" s="21">
        <f t="shared" si="6"/>
        <v>36.471280268537804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4.9084615384615384</v>
      </c>
      <c r="BD32" s="12">
        <f>IF('Données projet'!$A$88&gt;35,BD31+BC32-BL31,IF(A32&lt;'Données projet'!$A$88,$BA$205^A32,IF(A32='Données projet'!$A$88,'Données projet'!$B$88,BD31+BC32-BL31)))</f>
        <v>124.68027709483918</v>
      </c>
      <c r="BE32" s="13">
        <f>BD32*VLOOKUP('Données projet'!$B$11,Paramètres!$A$1:$I$89,3,0)*VLOOKUP('Données projet'!$B$11,Paramètres!$A$1:$I$89,5,0)</f>
        <v>58.350369680384738</v>
      </c>
      <c r="BF32" s="13">
        <f t="shared" si="37"/>
        <v>16.750516396977062</v>
      </c>
      <c r="BG32" s="20">
        <f t="shared" si="7"/>
        <v>130.80070991807179</v>
      </c>
      <c r="BH32" s="59">
        <f t="shared" si="8"/>
        <v>424.1340432514051</v>
      </c>
      <c r="BI32" s="59">
        <f ca="1">AVERAGE(OFFSET($BH$3,0,0,'Données projet'!$E$11+1,1))-AVERAGE(OFFSET($H$3,0,0,'Données projet'!$E$11+1,1))</f>
        <v>183.67580045784649</v>
      </c>
      <c r="BJ32" s="59">
        <f t="shared" si="38"/>
        <v>121.08269345608767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8</v>
      </c>
      <c r="BY32" s="12">
        <f>IF('Données projet'!$A$114&gt;35,BY31+BX32-CG31,IF(A32&lt;'Données projet'!$A$114,$BV$205^A32,IF(A32='Données projet'!$A$114,'Données projet'!$B$114,BY31+BX32-CG31)))</f>
        <v>111</v>
      </c>
      <c r="BZ32" s="13">
        <f>BY32*VLOOKUP('Données projet'!$B$12,Paramètres!$A$1:$I$89,3,0)*VLOOKUP('Données projet'!$B$12,Paramètres!$A$1:$I$89,5,0)</f>
        <v>96.969600000000014</v>
      </c>
      <c r="CA32" s="13">
        <f t="shared" si="39"/>
        <v>26.238758642904337</v>
      </c>
      <c r="CB32" s="20">
        <f t="shared" si="10"/>
        <v>214.58789130305843</v>
      </c>
      <c r="CC32" s="59">
        <f t="shared" si="11"/>
        <v>507.92122463639174</v>
      </c>
      <c r="CD32" s="59">
        <f ca="1">AVERAGE(OFFSET($CC$3,0,0,'Données projet'!$E$12+1,1))-AVERAGE(OFFSET($H$3,0,0,'Données projet'!$E$12+1,1))</f>
        <v>216.10252108537389</v>
      </c>
      <c r="CE32" s="59">
        <f t="shared" si="40"/>
        <v>196.91968622092054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2.5115384615384619</v>
      </c>
      <c r="CT32" s="12">
        <f>IF('Données projet'!$A$140&gt;35,CT31+CS32-DB31,IF(A32&lt;'Données projet'!$A$140,$CQ$205^A32,IF(A32='Données projet'!$A$140,'Données projet'!$B$140,CT31+CS32-DB31)))</f>
        <v>65.236760229825805</v>
      </c>
      <c r="CU32" s="17">
        <f>CT32*VLOOKUP('Données projet'!$B$13,Paramètres!$A$1:$I$89,3,0)*VLOOKUP('Données projet'!$B$13,Paramètres!$A$1:$I$89,5,0)</f>
        <v>59.026220655946382</v>
      </c>
      <c r="CV32" s="13">
        <f t="shared" si="41"/>
        <v>16.921833071284709</v>
      </c>
      <c r="CW32" s="20">
        <f t="shared" si="13"/>
        <v>132.27619357492748</v>
      </c>
      <c r="CX32" s="59">
        <f t="shared" si="14"/>
        <v>425.60952690826082</v>
      </c>
      <c r="CY32" s="59">
        <f ca="1">AVERAGE(OFFSET($CX$3,0,0,'Données projet'!$E$13+1,1))-AVERAGE(OFFSET($H$3,0,0,'Données projet'!$E$13+1,1))</f>
        <v>318.01858325056168</v>
      </c>
      <c r="CZ32" s="59">
        <f t="shared" si="42"/>
        <v>119.46953274700951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14.04</v>
      </c>
      <c r="D33" s="11">
        <f t="shared" si="32"/>
        <v>4.75735588805329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145.10239632883244</v>
      </c>
      <c r="H33" s="67">
        <f t="shared" si="1"/>
        <v>326.07206150502611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14.298901098901101</v>
      </c>
      <c r="N33" s="13">
        <f>IF('Données projet'!$A$36&gt;35,N32+M33-V32,IF(A33&lt;'Données projet'!$A$36,$K$205^A33,IF(A33='Données projet'!$A$36,'Données projet'!$B$36,N32+M33-V32)))</f>
        <v>176.78351648351651</v>
      </c>
      <c r="O33" s="13">
        <f>N33*VLOOKUP('Données projet'!$B$9,Paramètres!$A$1:$I$89,3,0)*VLOOKUP('Données projet'!$B$9,Paramètres!$A$1:$I$89,5,0)</f>
        <v>105.71654285714287</v>
      </c>
      <c r="P33" s="13">
        <f t="shared" si="33"/>
        <v>28.319447591123378</v>
      </c>
      <c r="Q33" s="20">
        <f t="shared" si="2"/>
        <v>233.44601669739703</v>
      </c>
      <c r="R33" s="59">
        <f t="shared" si="0"/>
        <v>526.77935003073037</v>
      </c>
      <c r="S33" s="59">
        <f ca="1">AVERAGE(OFFSET($R$3,0,0,'Données projet'!$E$9+1,1))-AVERAGE(OFFSET($H$3,0,0,'Données projet'!$E$9+1,1))</f>
        <v>200.15574321350221</v>
      </c>
      <c r="T33" s="59">
        <f t="shared" si="34"/>
        <v>200.70728852570426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11.676355093157449</v>
      </c>
      <c r="AA33" s="21">
        <f>EXP(-LN(2)/25)*AA32+(1-EXP(-LN(2)/25))/(LN(2)/25)*Calculateur!V33*Calculateur!X33*VLOOKUP('Données projet'!$B$9,Paramètres!$A$1:$I$89,3,0)*0.475*44/12</f>
        <v>17.485272928393897</v>
      </c>
      <c r="AB33" s="21">
        <f>EXP(-LN(2)/2)*AB32+(1-EXP(-LN(2)/2))/(LN(2)/2)*V33*Y33*VLOOKUP('Données projet'!$B$9,Paramètres!$A$1:$I$89,3,0)*0.475*44/12</f>
        <v>4.5751454136637673</v>
      </c>
      <c r="AC33" s="22">
        <f t="shared" si="3"/>
        <v>33.736773435215113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45.407317338461951</v>
      </c>
      <c r="AO33" s="59">
        <f t="shared" si="36"/>
        <v>149.88701606165358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29.432419837533015</v>
      </c>
      <c r="AV33" s="21">
        <f>EXP(-LN(2)/25)*AV32+(1-EXP(-LN(2)/25))/(LN(2)/25)*Calculateur!AQ33*Calculateur!AS33*VLOOKUP('Données projet'!$B$10,Paramètres!$A$1:$I$89,3,0)*0.475*44/12</f>
        <v>5.8036658897993858</v>
      </c>
      <c r="AW33" s="21">
        <f>EXP(-LN(2)/2)*AW32+(1-EXP(-LN(2)/2))/(LN(2)/2)*AQ33*AT33*VLOOKUP('Données projet'!$B$10,Paramètres!$A$1:$I$89,3,0)*0.475*44/12</f>
        <v>0.3417698227187978</v>
      </c>
      <c r="AX33" s="21">
        <f t="shared" si="6"/>
        <v>35.577855550051197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147.25384615384615</v>
      </c>
      <c r="BB33" s="12">
        <f>VLOOKUP(A33,'Données projet'!$A$87:$I$107,9,0)</f>
        <v>4.9084615384615384</v>
      </c>
      <c r="BC33" s="12">
        <f t="array" ref="BC33">INDEX(BB:BB,MIN(IF(ISNUMBER(BB33:BB229),ROW(BB33:BB229),"")))</f>
        <v>4.9084615384615384</v>
      </c>
      <c r="BD33" s="12">
        <f>IF('Données projet'!$A$88&gt;35,BD32+BC33-BL32,IF(A33&lt;'Données projet'!$A$88,$BA$205^A33,IF(A33='Données projet'!$A$88,'Données projet'!$B$88,BD32+BC33-BL32)))</f>
        <v>147.25384615384615</v>
      </c>
      <c r="BE33" s="13">
        <f>BD33*VLOOKUP('Données projet'!$B$11,Paramètres!$A$1:$I$89,3,0)*VLOOKUP('Données projet'!$B$11,Paramètres!$A$1:$I$89,5,0)</f>
        <v>68.9148</v>
      </c>
      <c r="BF33" s="13">
        <f t="shared" si="37"/>
        <v>19.403719594897876</v>
      </c>
      <c r="BG33" s="20">
        <f t="shared" si="7"/>
        <v>153.82142162778047</v>
      </c>
      <c r="BH33" s="59">
        <f t="shared" si="8"/>
        <v>447.15475496111378</v>
      </c>
      <c r="BI33" s="59">
        <f ca="1">AVERAGE(OFFSET($BH$3,0,0,'Données projet'!$E$11+1,1))-AVERAGE(OFFSET($H$3,0,0,'Données projet'!$E$11+1,1))</f>
        <v>183.67580045784649</v>
      </c>
      <c r="BJ33" s="59">
        <f t="shared" si="38"/>
        <v>121.08269345608767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119</v>
      </c>
      <c r="BW33" s="12">
        <f>VLOOKUP(A33,'Données projet'!$A$113:$I$133,9,0)</f>
        <v>8</v>
      </c>
      <c r="BX33" s="12">
        <f t="array" ref="BX33">INDEX(BW:BW,MIN(IF(ISNUMBER(BW33:BW229),ROW(BW33:BW229),"")))</f>
        <v>8</v>
      </c>
      <c r="BY33" s="12">
        <f>IF('Données projet'!$A$114&gt;35,BY32+BX33-CG32,IF(A33&lt;'Données projet'!$A$114,$BV$205^A33,IF(A33='Données projet'!$A$114,'Données projet'!$B$114,BY32+BX33-CG32)))</f>
        <v>119</v>
      </c>
      <c r="BZ33" s="13">
        <f>BY33*VLOOKUP('Données projet'!$B$12,Paramètres!$A$1:$I$89,3,0)*VLOOKUP('Données projet'!$B$12,Paramètres!$A$1:$I$89,5,0)</f>
        <v>103.9584</v>
      </c>
      <c r="CA33" s="13">
        <f t="shared" si="39"/>
        <v>27.902890560352166</v>
      </c>
      <c r="CB33" s="20">
        <f t="shared" si="10"/>
        <v>229.65841439261331</v>
      </c>
      <c r="CC33" s="59">
        <f t="shared" si="11"/>
        <v>522.99174772594665</v>
      </c>
      <c r="CD33" s="59">
        <f ca="1">AVERAGE(OFFSET($CC$3,0,0,'Données projet'!$E$12+1,1))-AVERAGE(OFFSET($H$3,0,0,'Données projet'!$E$12+1,1))</f>
        <v>216.10252108537389</v>
      </c>
      <c r="CE33" s="59">
        <f t="shared" si="40"/>
        <v>196.91968622092054</v>
      </c>
      <c r="CF33" s="15">
        <f>IF(ISNA(VLOOKUP(A33,'Données projet'!$A$113:$I$133,3,0)),0,VLOOKUP(A33,'Données projet'!$A$113:$I$133,3,0))</f>
        <v>3</v>
      </c>
      <c r="CG33" s="15" t="str">
        <f>IF(ISNA(VLOOKUP(A33,'Données projet'!$A$113:$I$133,4,0)),0,VLOOKUP(A33,'Données projet'!$A$113:$I$133,4,0))</f>
        <v>20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75.346153846153854</v>
      </c>
      <c r="CR33" s="12">
        <f>VLOOKUP(A33,'Données projet'!$A$139:$I$159,9,0)</f>
        <v>2.5115384615384619</v>
      </c>
      <c r="CS33" s="12">
        <f t="array" ref="CS33">INDEX(CR:CR,MIN(IF(ISNUMBER(CR33:CR229),ROW(CR33:CR229),"")))</f>
        <v>2.5115384615384619</v>
      </c>
      <c r="CT33" s="12">
        <f>IF('Données projet'!$A$140&gt;35,CT32+CS33-DB32,IF(A33&lt;'Données projet'!$A$140,$CQ$205^A33,IF(A33='Données projet'!$A$140,'Données projet'!$B$140,CT32+CS33-DB32)))</f>
        <v>75.346153846153854</v>
      </c>
      <c r="CU33" s="17">
        <f>CT33*VLOOKUP('Données projet'!$B$13,Paramètres!$A$1:$I$89,3,0)*VLOOKUP('Données projet'!$B$13,Paramètres!$A$1:$I$89,5,0)</f>
        <v>68.173200000000008</v>
      </c>
      <c r="CV33" s="13">
        <f t="shared" si="41"/>
        <v>19.219102919829069</v>
      </c>
      <c r="CW33" s="20">
        <f t="shared" si="13"/>
        <v>152.20826091870231</v>
      </c>
      <c r="CX33" s="59">
        <f t="shared" si="14"/>
        <v>445.54159425203562</v>
      </c>
      <c r="CY33" s="59">
        <f ca="1">AVERAGE(OFFSET($CX$3,0,0,'Données projet'!$E$13+1,1))-AVERAGE(OFFSET($H$3,0,0,'Données projet'!$E$13+1,1))</f>
        <v>318.01858325056168</v>
      </c>
      <c r="CZ33" s="59">
        <f t="shared" si="42"/>
        <v>119.46953274700951</v>
      </c>
      <c r="DA33" s="15" t="str">
        <f>IF(ISNA(VLOOKUP(A33,'Données projet'!$A$139:$I$159,3,0)),0,VLOOKUP(A33,'Données projet'!$A$139:$I$159,3,0))</f>
        <v>na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14.507999999999999</v>
      </c>
      <c r="D34" s="11">
        <f t="shared" si="32"/>
        <v>4.8972073577041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149.79458311210183</v>
      </c>
      <c r="H34" s="67">
        <f t="shared" si="1"/>
        <v>327.13073614800129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14.298901098901101</v>
      </c>
      <c r="N34" s="13">
        <f>IF('Données projet'!$A$36&gt;35,N33+M34-V33,IF(A34&lt;'Données projet'!$A$36,$K$205^A34,IF(A34='Données projet'!$A$36,'Données projet'!$B$36,N33+M34-V33)))</f>
        <v>191.08241758241761</v>
      </c>
      <c r="O34" s="13">
        <f>N34*VLOOKUP('Données projet'!$B$9,Paramètres!$A$1:$I$89,3,0)*VLOOKUP('Données projet'!$B$9,Paramètres!$A$1:$I$89,5,0)</f>
        <v>114.26728571428573</v>
      </c>
      <c r="P34" s="13">
        <f t="shared" si="33"/>
        <v>30.334152496808123</v>
      </c>
      <c r="Q34" s="20">
        <f t="shared" si="2"/>
        <v>251.84750488432181</v>
      </c>
      <c r="R34" s="59">
        <f t="shared" si="0"/>
        <v>545.18083821765515</v>
      </c>
      <c r="S34" s="59">
        <f ca="1">AVERAGE(OFFSET($R$3,0,0,'Données projet'!$E$9+1,1))-AVERAGE(OFFSET($H$3,0,0,'Données projet'!$E$9+1,1))</f>
        <v>200.15574321350221</v>
      </c>
      <c r="T34" s="59">
        <f t="shared" si="34"/>
        <v>200.70728852570426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11.447388891654011</v>
      </c>
      <c r="AA34" s="21">
        <f>EXP(-LN(2)/25)*AA33+(1-EXP(-LN(2)/25))/(LN(2)/25)*Calculateur!V34*Calculateur!X34*VLOOKUP('Données projet'!$B$9,Paramètres!$A$1:$I$89,3,0)*0.475*44/12</f>
        <v>17.007137220656425</v>
      </c>
      <c r="AB34" s="21">
        <f>EXP(-LN(2)/2)*AB33+(1-EXP(-LN(2)/2))/(LN(2)/2)*V34*Y34*VLOOKUP('Données projet'!$B$9,Paramètres!$A$1:$I$89,3,0)*0.475*44/12</f>
        <v>3.2351163469161821</v>
      </c>
      <c r="AC34" s="22">
        <f t="shared" si="3"/>
        <v>31.689642459226619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45.407317338461951</v>
      </c>
      <c r="AO34" s="59">
        <f t="shared" si="36"/>
        <v>149.88701606165358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28.855268036522482</v>
      </c>
      <c r="AV34" s="21">
        <f>EXP(-LN(2)/25)*AV33+(1-EXP(-LN(2)/25))/(LN(2)/25)*Calculateur!AQ34*Calculateur!AS34*VLOOKUP('Données projet'!$B$10,Paramètres!$A$1:$I$89,3,0)*0.475*44/12</f>
        <v>5.6449643408412973</v>
      </c>
      <c r="AW34" s="21">
        <f>EXP(-LN(2)/2)*AW33+(1-EXP(-LN(2)/2))/(LN(2)/2)*AQ34*AT34*VLOOKUP('Données projet'!$B$10,Paramètres!$A$1:$I$89,3,0)*0.475*44/12</f>
        <v>0.2416677592493861</v>
      </c>
      <c r="AX34" s="21">
        <f t="shared" si="6"/>
        <v>34.741900136613168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11.443589743589744</v>
      </c>
      <c r="BD34" s="12">
        <f>IF('Données projet'!$A$88&gt;35,BD33+BC34-BL33,IF(A34&lt;'Données projet'!$A$88,$BA$205^A34,IF(A34='Données projet'!$A$88,'Données projet'!$B$88,BD33+BC34-BL33)))</f>
        <v>158.69743589743589</v>
      </c>
      <c r="BE34" s="13">
        <f>BD34*VLOOKUP('Données projet'!$B$11,Paramètres!$A$1:$I$89,3,0)*VLOOKUP('Données projet'!$B$11,Paramètres!$A$1:$I$89,5,0)</f>
        <v>74.270399999999995</v>
      </c>
      <c r="BF34" s="13">
        <f t="shared" si="37"/>
        <v>20.730265914492005</v>
      </c>
      <c r="BG34" s="20">
        <f t="shared" si="7"/>
        <v>165.4594931344069</v>
      </c>
      <c r="BH34" s="59">
        <f t="shared" si="8"/>
        <v>458.79282646774021</v>
      </c>
      <c r="BI34" s="59">
        <f ca="1">AVERAGE(OFFSET($BH$3,0,0,'Données projet'!$E$11+1,1))-AVERAGE(OFFSET($H$3,0,0,'Données projet'!$E$11+1,1))</f>
        <v>183.67580045784649</v>
      </c>
      <c r="BJ34" s="59">
        <f t="shared" si="38"/>
        <v>121.08269345608767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7.2</v>
      </c>
      <c r="BY34" s="12">
        <f>IF('Données projet'!$A$114&gt;35,BY33+BX34-CG33,IF(A34&lt;'Données projet'!$A$114,$BV$205^A34,IF(A34='Données projet'!$A$114,'Données projet'!$B$114,BY33+BX34-CG33)))</f>
        <v>106.2</v>
      </c>
      <c r="BZ34" s="13">
        <f>BY34*VLOOKUP('Données projet'!$B$12,Paramètres!$A$1:$I$89,3,0)*VLOOKUP('Données projet'!$B$12,Paramètres!$A$1:$I$89,5,0)</f>
        <v>92.776320000000013</v>
      </c>
      <c r="CA34" s="13">
        <f t="shared" si="39"/>
        <v>25.233617967655977</v>
      </c>
      <c r="CB34" s="20">
        <f t="shared" si="10"/>
        <v>205.53397529366751</v>
      </c>
      <c r="CC34" s="59">
        <f t="shared" si="11"/>
        <v>498.86730862700085</v>
      </c>
      <c r="CD34" s="59">
        <f ca="1">AVERAGE(OFFSET($CC$3,0,0,'Données projet'!$E$12+1,1))-AVERAGE(OFFSET($H$3,0,0,'Données projet'!$E$12+1,1))</f>
        <v>216.10252108537389</v>
      </c>
      <c r="CE34" s="59">
        <f t="shared" si="40"/>
        <v>196.91968622092054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5.4791666666666652</v>
      </c>
      <c r="CT34" s="12">
        <f>IF('Données projet'!$A$140&gt;35,CT33+CS34-DB33,IF(A34&lt;'Données projet'!$A$140,$CQ$205^A34,IF(A34='Données projet'!$A$140,'Données projet'!$B$140,CT33+CS34-DB33)))</f>
        <v>80.825320512820525</v>
      </c>
      <c r="CU34" s="17">
        <f>CT34*VLOOKUP('Données projet'!$B$13,Paramètres!$A$1:$I$89,3,0)*VLOOKUP('Données projet'!$B$13,Paramètres!$A$1:$I$89,5,0)</f>
        <v>73.130750000000006</v>
      </c>
      <c r="CV34" s="13">
        <f t="shared" si="41"/>
        <v>20.448942280216116</v>
      </c>
      <c r="CW34" s="20">
        <f t="shared" si="13"/>
        <v>162.98463072137639</v>
      </c>
      <c r="CX34" s="59">
        <f t="shared" si="14"/>
        <v>456.31796405470971</v>
      </c>
      <c r="CY34" s="59">
        <f ca="1">AVERAGE(OFFSET($CX$3,0,0,'Données projet'!$E$13+1,1))-AVERAGE(OFFSET($H$3,0,0,'Données projet'!$E$13+1,1))</f>
        <v>318.01858325056168</v>
      </c>
      <c r="CZ34" s="59">
        <f t="shared" si="42"/>
        <v>119.46953274700951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14.975999999999999</v>
      </c>
      <c r="D35" s="11">
        <f t="shared" si="32"/>
        <v>5.0365345962274297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154.48272319894858</v>
      </c>
      <c r="H35" s="67">
        <f t="shared" si="1"/>
        <v>328.18849775509608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14.298901098901101</v>
      </c>
      <c r="N35" s="13">
        <f>IF('Données projet'!$A$36&gt;35,N34+M35-V34,IF(A35&lt;'Données projet'!$A$36,$K$205^A35,IF(A35='Données projet'!$A$36,'Données projet'!$B$36,N34+M35-V34)))</f>
        <v>205.3813186813187</v>
      </c>
      <c r="O35" s="13">
        <f>N35*VLOOKUP('Données projet'!$B$9,Paramètres!$A$1:$I$89,3,0)*VLOOKUP('Données projet'!$B$9,Paramètres!$A$1:$I$89,5,0)</f>
        <v>122.81802857142858</v>
      </c>
      <c r="P35" s="13">
        <f t="shared" si="33"/>
        <v>32.331367630744694</v>
      </c>
      <c r="Q35" s="20">
        <f t="shared" ref="Q35:Q66" si="53">(O35+P35)*0.475*44/12</f>
        <v>270.21853171878513</v>
      </c>
      <c r="R35" s="59">
        <f t="shared" si="0"/>
        <v>563.5518650521185</v>
      </c>
      <c r="S35" s="59">
        <f ca="1">AVERAGE(OFFSET($R$3,0,0,'Données projet'!$E$9+1,1))-AVERAGE(OFFSET($H$3,0,0,'Données projet'!$E$9+1,1))</f>
        <v>200.15574321350221</v>
      </c>
      <c r="T35" s="59">
        <f t="shared" si="34"/>
        <v>200.70728852570426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11.222912577706463</v>
      </c>
      <c r="AA35" s="21">
        <f>EXP(-LN(2)/25)*AA34+(1-EXP(-LN(2)/25))/(LN(2)/25)*Calculateur!V35*Calculateur!X35*VLOOKUP('Données projet'!$B$9,Paramètres!$A$1:$I$89,3,0)*0.475*44/12</f>
        <v>16.542076158991097</v>
      </c>
      <c r="AB35" s="21">
        <f>EXP(-LN(2)/2)*AB34+(1-EXP(-LN(2)/2))/(LN(2)/2)*V35*Y35*VLOOKUP('Données projet'!$B$9,Paramètres!$A$1:$I$89,3,0)*0.475*44/12</f>
        <v>2.2875727068318841</v>
      </c>
      <c r="AC35" s="22">
        <f t="shared" si="3"/>
        <v>30.052561443529445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45.407317338461951</v>
      </c>
      <c r="AO35" s="59">
        <f t="shared" si="36"/>
        <v>149.88701606165358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28.289433830301924</v>
      </c>
      <c r="AV35" s="21">
        <f>EXP(-LN(2)/25)*AV34+(1-EXP(-LN(2)/25))/(LN(2)/25)*Calculateur!AQ35*Calculateur!AS35*VLOOKUP('Données projet'!$B$10,Paramètres!$A$1:$I$89,3,0)*0.475*44/12</f>
        <v>5.4906024940852189</v>
      </c>
      <c r="AW35" s="21">
        <f>EXP(-LN(2)/2)*AW34+(1-EXP(-LN(2)/2))/(LN(2)/2)*AQ35*AT35*VLOOKUP('Données projet'!$B$10,Paramètres!$A$1:$I$89,3,0)*0.475*44/12</f>
        <v>0.17088491135939893</v>
      </c>
      <c r="AX35" s="21">
        <f t="shared" si="6"/>
        <v>33.950921235746542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11.443589743589744</v>
      </c>
      <c r="BD35" s="12">
        <f>IF('Données projet'!$A$88&gt;35,BD34+BC35-BL34,IF(A35&lt;'Données projet'!$A$88,$BA$205^A35,IF(A35='Données projet'!$A$88,'Données projet'!$B$88,BD34+BC35-BL34)))</f>
        <v>170.14102564102564</v>
      </c>
      <c r="BE35" s="13">
        <f>BD35*VLOOKUP('Données projet'!$B$11,Paramètres!$A$1:$I$89,3,0)*VLOOKUP('Données projet'!$B$11,Paramètres!$A$1:$I$89,5,0)</f>
        <v>79.626000000000005</v>
      </c>
      <c r="BF35" s="13">
        <f t="shared" si="37"/>
        <v>22.045714260156384</v>
      </c>
      <c r="BG35" s="20">
        <f t="shared" si="7"/>
        <v>177.0782356697724</v>
      </c>
      <c r="BH35" s="59">
        <f t="shared" si="8"/>
        <v>470.41156900310568</v>
      </c>
      <c r="BI35" s="59">
        <f ca="1">AVERAGE(OFFSET($BH$3,0,0,'Données projet'!$E$11+1,1))-AVERAGE(OFFSET($H$3,0,0,'Données projet'!$E$11+1,1))</f>
        <v>183.67580045784649</v>
      </c>
      <c r="BJ35" s="59">
        <f t="shared" si="38"/>
        <v>121.08269345608767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7.2</v>
      </c>
      <c r="BY35" s="12">
        <f>IF('Données projet'!$A$114&gt;35,BY34+BX35-CG34,IF(A35&lt;'Données projet'!$A$114,$BV$205^A35,IF(A35='Données projet'!$A$114,'Données projet'!$B$114,BY34+BX35-CG34)))</f>
        <v>113.4</v>
      </c>
      <c r="BZ35" s="13">
        <f>BY35*VLOOKUP('Données projet'!$B$12,Paramètres!$A$1:$I$89,3,0)*VLOOKUP('Données projet'!$B$12,Paramètres!$A$1:$I$89,5,0)</f>
        <v>99.066240000000022</v>
      </c>
      <c r="CA35" s="13">
        <f t="shared" si="39"/>
        <v>26.739420789378705</v>
      </c>
      <c r="CB35" s="20">
        <f t="shared" si="10"/>
        <v>219.11152587483457</v>
      </c>
      <c r="CC35" s="59">
        <f t="shared" si="11"/>
        <v>512.44485920816783</v>
      </c>
      <c r="CD35" s="59">
        <f ca="1">AVERAGE(OFFSET($CC$3,0,0,'Données projet'!$E$12+1,1))-AVERAGE(OFFSET($H$3,0,0,'Données projet'!$E$12+1,1))</f>
        <v>216.10252108537389</v>
      </c>
      <c r="CE35" s="59">
        <f t="shared" si="40"/>
        <v>196.91968622092054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5.4791666666666652</v>
      </c>
      <c r="CT35" s="12">
        <f>IF('Données projet'!$A$140&gt;35,CT34+CS35-DB34,IF(A35&lt;'Données projet'!$A$140,$CQ$205^A35,IF(A35='Données projet'!$A$140,'Données projet'!$B$140,CT34+CS35-DB34)))</f>
        <v>86.304487179487197</v>
      </c>
      <c r="CU35" s="17">
        <f>CT35*VLOOKUP('Données projet'!$B$13,Paramètres!$A$1:$I$89,3,0)*VLOOKUP('Données projet'!$B$13,Paramètres!$A$1:$I$89,5,0)</f>
        <v>78.088300000000004</v>
      </c>
      <c r="CV35" s="13">
        <f t="shared" si="41"/>
        <v>21.669107614619822</v>
      </c>
      <c r="CW35" s="20">
        <f t="shared" si="13"/>
        <v>173.74415159546285</v>
      </c>
      <c r="CX35" s="59">
        <f t="shared" si="14"/>
        <v>467.07748492879614</v>
      </c>
      <c r="CY35" s="59">
        <f ca="1">AVERAGE(OFFSET($CX$3,0,0,'Données projet'!$E$13+1,1))-AVERAGE(OFFSET($H$3,0,0,'Données projet'!$E$13+1,1))</f>
        <v>318.01858325056168</v>
      </c>
      <c r="CZ35" s="59">
        <f t="shared" si="42"/>
        <v>119.46953274700951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15.443999999999999</v>
      </c>
      <c r="D36" s="11">
        <f t="shared" si="32"/>
        <v>5.1753558655448444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159.16695755859178</v>
      </c>
      <c r="H36" s="67">
        <f t="shared" si="1"/>
        <v>329.2453781324906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14.298901098901101</v>
      </c>
      <c r="N36" s="13">
        <f>IF('Données projet'!$A$36&gt;35,N35+M36-V35,IF(A36&lt;'Données projet'!$A$36,$K$205^A36,IF(A36='Données projet'!$A$36,'Données projet'!$B$36,N35+M36-V35)))</f>
        <v>219.6802197802198</v>
      </c>
      <c r="O36" s="13">
        <f>N36*VLOOKUP('Données projet'!$B$9,Paramètres!$A$1:$I$89,3,0)*VLOOKUP('Données projet'!$B$9,Paramètres!$A$1:$I$89,5,0)</f>
        <v>131.36877142857145</v>
      </c>
      <c r="P36" s="13">
        <f t="shared" si="33"/>
        <v>34.312449162076589</v>
      </c>
      <c r="Q36" s="20">
        <f t="shared" si="53"/>
        <v>288.56145919537863</v>
      </c>
      <c r="R36" s="59">
        <f t="shared" si="0"/>
        <v>581.89479252871195</v>
      </c>
      <c r="S36" s="59">
        <f ca="1">AVERAGE(OFFSET($R$3,0,0,'Données projet'!$E$9+1,1))-AVERAGE(OFFSET($H$3,0,0,'Données projet'!$E$9+1,1))</f>
        <v>200.15574321350221</v>
      </c>
      <c r="T36" s="59">
        <f t="shared" si="34"/>
        <v>200.70728852570426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11.002838107358395</v>
      </c>
      <c r="AA36" s="21">
        <f>EXP(-LN(2)/25)*AA35+(1-EXP(-LN(2)/25))/(LN(2)/25)*Calculateur!V36*Calculateur!X36*VLOOKUP('Données projet'!$B$9,Paramètres!$A$1:$I$89,3,0)*0.475*44/12</f>
        <v>16.089732216513507</v>
      </c>
      <c r="AB36" s="21">
        <f>EXP(-LN(2)/2)*AB35+(1-EXP(-LN(2)/2))/(LN(2)/2)*V36*Y36*VLOOKUP('Données projet'!$B$9,Paramètres!$A$1:$I$89,3,0)*0.475*44/12</f>
        <v>1.6175581734580915</v>
      </c>
      <c r="AC36" s="22">
        <f t="shared" si="3"/>
        <v>28.710128497329997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45.407317338461951</v>
      </c>
      <c r="AO36" s="59">
        <f t="shared" si="36"/>
        <v>149.88701606165358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27.734695287740564</v>
      </c>
      <c r="AV36" s="21">
        <f>EXP(-LN(2)/25)*AV35+(1-EXP(-LN(2)/25))/(LN(2)/25)*Calculateur!AQ36*Calculateur!AS36*VLOOKUP('Données projet'!$B$10,Paramètres!$A$1:$I$89,3,0)*0.475*44/12</f>
        <v>5.3404616801462224</v>
      </c>
      <c r="AW36" s="21">
        <f>EXP(-LN(2)/2)*AW35+(1-EXP(-LN(2)/2))/(LN(2)/2)*AQ36*AT36*VLOOKUP('Données projet'!$B$10,Paramètres!$A$1:$I$89,3,0)*0.475*44/12</f>
        <v>0.12083387962469308</v>
      </c>
      <c r="AX36" s="21">
        <f t="shared" si="6"/>
        <v>33.195990847511474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11.443589743589744</v>
      </c>
      <c r="BD36" s="12">
        <f>IF('Données projet'!$A$88&gt;35,BD35+BC36-BL35,IF(A36&lt;'Données projet'!$A$88,$BA$205^A36,IF(A36='Données projet'!$A$88,'Données projet'!$B$88,BD35+BC36-BL35)))</f>
        <v>181.58461538461538</v>
      </c>
      <c r="BE36" s="13">
        <f>BD36*VLOOKUP('Données projet'!$B$11,Paramètres!$A$1:$I$89,3,0)*VLOOKUP('Données projet'!$B$11,Paramètres!$A$1:$I$89,5,0)</f>
        <v>84.981599999999986</v>
      </c>
      <c r="BF36" s="13">
        <f t="shared" si="37"/>
        <v>23.350896003452508</v>
      </c>
      <c r="BG36" s="20">
        <f t="shared" si="7"/>
        <v>188.6790972060131</v>
      </c>
      <c r="BH36" s="59">
        <f t="shared" si="8"/>
        <v>482.01243053934638</v>
      </c>
      <c r="BI36" s="59">
        <f ca="1">AVERAGE(OFFSET($BH$3,0,0,'Données projet'!$E$11+1,1))-AVERAGE(OFFSET($H$3,0,0,'Données projet'!$E$11+1,1))</f>
        <v>183.67580045784649</v>
      </c>
      <c r="BJ36" s="59">
        <f t="shared" si="38"/>
        <v>121.08269345608767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7.2</v>
      </c>
      <c r="BY36" s="12">
        <f>IF('Données projet'!$A$114&gt;35,BY35+BX36-CG35,IF(A36&lt;'Données projet'!$A$114,$BV$205^A36,IF(A36='Données projet'!$A$114,'Données projet'!$B$114,BY35+BX36-CG35)))</f>
        <v>120.60000000000001</v>
      </c>
      <c r="BZ36" s="13">
        <f>BY36*VLOOKUP('Données projet'!$B$12,Paramètres!$A$1:$I$89,3,0)*VLOOKUP('Données projet'!$B$12,Paramètres!$A$1:$I$89,5,0)</f>
        <v>105.35616000000003</v>
      </c>
      <c r="CA36" s="13">
        <f t="shared" si="39"/>
        <v>28.234128165723941</v>
      </c>
      <c r="CB36" s="20">
        <f t="shared" si="10"/>
        <v>232.66975188863589</v>
      </c>
      <c r="CC36" s="59">
        <f t="shared" si="11"/>
        <v>526.00308522196917</v>
      </c>
      <c r="CD36" s="59">
        <f ca="1">AVERAGE(OFFSET($CC$3,0,0,'Données projet'!$E$12+1,1))-AVERAGE(OFFSET($H$3,0,0,'Données projet'!$E$12+1,1))</f>
        <v>216.10252108537389</v>
      </c>
      <c r="CE36" s="59">
        <f t="shared" si="40"/>
        <v>196.91968622092054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5.4791666666666652</v>
      </c>
      <c r="CT36" s="12">
        <f>IF('Données projet'!$A$140&gt;35,CT35+CS36-DB35,IF(A36&lt;'Données projet'!$A$140,$CQ$205^A36,IF(A36='Données projet'!$A$140,'Données projet'!$B$140,CT35+CS36-DB35)))</f>
        <v>91.783653846153868</v>
      </c>
      <c r="CU36" s="17">
        <f>CT36*VLOOKUP('Données projet'!$B$13,Paramètres!$A$1:$I$89,3,0)*VLOOKUP('Données projet'!$B$13,Paramètres!$A$1:$I$89,5,0)</f>
        <v>83.045850000000016</v>
      </c>
      <c r="CV36" s="13">
        <f t="shared" si="41"/>
        <v>22.880283002768671</v>
      </c>
      <c r="CW36" s="20">
        <f t="shared" si="13"/>
        <v>184.48801497982217</v>
      </c>
      <c r="CX36" s="59">
        <f t="shared" si="14"/>
        <v>477.82134831315545</v>
      </c>
      <c r="CY36" s="59">
        <f ca="1">AVERAGE(OFFSET($CX$3,0,0,'Données projet'!$E$13+1,1))-AVERAGE(OFFSET($H$3,0,0,'Données projet'!$E$13+1,1))</f>
        <v>318.01858325056168</v>
      </c>
      <c r="CZ36" s="59">
        <f t="shared" si="42"/>
        <v>119.46953274700951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15.911999999999999</v>
      </c>
      <c r="D37" s="11">
        <f t="shared" si="32"/>
        <v>5.3136882579005116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163.84741813116185</v>
      </c>
      <c r="H37" s="67">
        <f t="shared" si="1"/>
        <v>330.3014070491767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14.298901098901101</v>
      </c>
      <c r="N37" s="13">
        <f>IF('Données projet'!$A$36&gt;35,N36+M37-V36,IF(A37&lt;'Données projet'!$A$36,$K$205^A37,IF(A37='Données projet'!$A$36,'Données projet'!$B$36,N36+M37-V36)))</f>
        <v>233.9791208791209</v>
      </c>
      <c r="O37" s="13">
        <f>N37*VLOOKUP('Données projet'!$B$9,Paramètres!$A$1:$I$89,3,0)*VLOOKUP('Données projet'!$B$9,Paramètres!$A$1:$I$89,5,0)</f>
        <v>139.91951428571431</v>
      </c>
      <c r="P37" s="13">
        <f t="shared" si="33"/>
        <v>36.278566731027588</v>
      </c>
      <c r="Q37" s="20">
        <f t="shared" si="53"/>
        <v>306.87832443749215</v>
      </c>
      <c r="R37" s="59">
        <f t="shared" si="0"/>
        <v>600.21165777082547</v>
      </c>
      <c r="S37" s="59">
        <f ca="1">AVERAGE(OFFSET($R$3,0,0,'Données projet'!$E$9+1,1))-AVERAGE(OFFSET($H$3,0,0,'Données projet'!$E$9+1,1))</f>
        <v>200.15574321350221</v>
      </c>
      <c r="T37" s="59">
        <f t="shared" si="34"/>
        <v>200.70728852570426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10.787079163141678</v>
      </c>
      <c r="AA37" s="21">
        <f>EXP(-LN(2)/25)*AA36+(1-EXP(-LN(2)/25))/(LN(2)/25)*Calculateur!V37*Calculateur!X37*VLOOKUP('Données projet'!$B$9,Paramètres!$A$1:$I$89,3,0)*0.475*44/12</f>
        <v>15.649757642930702</v>
      </c>
      <c r="AB37" s="21">
        <f>EXP(-LN(2)/2)*AB36+(1-EXP(-LN(2)/2))/(LN(2)/2)*V37*Y37*VLOOKUP('Données projet'!$B$9,Paramètres!$A$1:$I$89,3,0)*0.475*44/12</f>
        <v>1.1437863534159423</v>
      </c>
      <c r="AC37" s="22">
        <f t="shared" si="3"/>
        <v>27.580623159488319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45.407317338461951</v>
      </c>
      <c r="AO37" s="59">
        <f t="shared" si="36"/>
        <v>149.88701606165358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27.190834829641734</v>
      </c>
      <c r="AV37" s="21">
        <f>EXP(-LN(2)/25)*AV36+(1-EXP(-LN(2)/25))/(LN(2)/25)*Calculateur!AQ37*Calculateur!AS37*VLOOKUP('Données projet'!$B$10,Paramètres!$A$1:$I$89,3,0)*0.475*44/12</f>
        <v>5.1944264746599496</v>
      </c>
      <c r="AW37" s="21">
        <f>EXP(-LN(2)/2)*AW36+(1-EXP(-LN(2)/2))/(LN(2)/2)*AQ37*AT37*VLOOKUP('Données projet'!$B$10,Paramètres!$A$1:$I$89,3,0)*0.475*44/12</f>
        <v>8.5442455679699478E-2</v>
      </c>
      <c r="AX37" s="21">
        <f t="shared" si="6"/>
        <v>32.470703759981383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11.443589743589744</v>
      </c>
      <c r="BD37" s="12">
        <f>IF('Données projet'!$A$88&gt;35,BD36+BC37-BL36,IF(A37&lt;'Données projet'!$A$88,$BA$205^A37,IF(A37='Données projet'!$A$88,'Données projet'!$B$88,BD36+BC37-BL36)))</f>
        <v>193.02820512820512</v>
      </c>
      <c r="BE37" s="13">
        <f>BD37*VLOOKUP('Données projet'!$B$11,Paramètres!$A$1:$I$89,3,0)*VLOOKUP('Données projet'!$B$11,Paramètres!$A$1:$I$89,5,0)</f>
        <v>90.337199999999996</v>
      </c>
      <c r="BF37" s="13">
        <f t="shared" si="37"/>
        <v>24.646531805527069</v>
      </c>
      <c r="BG37" s="20">
        <f t="shared" si="7"/>
        <v>200.2633328946263</v>
      </c>
      <c r="BH37" s="59">
        <f t="shared" si="8"/>
        <v>493.59666622795964</v>
      </c>
      <c r="BI37" s="59">
        <f ca="1">AVERAGE(OFFSET($BH$3,0,0,'Données projet'!$E$11+1,1))-AVERAGE(OFFSET($H$3,0,0,'Données projet'!$E$11+1,1))</f>
        <v>183.67580045784649</v>
      </c>
      <c r="BJ37" s="59">
        <f t="shared" si="38"/>
        <v>121.08269345608767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7.2</v>
      </c>
      <c r="BY37" s="12">
        <f>IF('Données projet'!$A$114&gt;35,BY36+BX37-CG36,IF(A37&lt;'Données projet'!$A$114,$BV$205^A37,IF(A37='Données projet'!$A$114,'Données projet'!$B$114,BY36+BX37-CG36)))</f>
        <v>127.80000000000001</v>
      </c>
      <c r="BZ37" s="13">
        <f>BY37*VLOOKUP('Données projet'!$B$12,Paramètres!$A$1:$I$89,3,0)*VLOOKUP('Données projet'!$B$12,Paramètres!$A$1:$I$89,5,0)</f>
        <v>111.64608000000003</v>
      </c>
      <c r="CA37" s="13">
        <f t="shared" si="39"/>
        <v>29.718477955114288</v>
      </c>
      <c r="CB37" s="20">
        <f t="shared" si="10"/>
        <v>246.20993843849078</v>
      </c>
      <c r="CC37" s="59">
        <f t="shared" si="11"/>
        <v>539.54327177182404</v>
      </c>
      <c r="CD37" s="59">
        <f ca="1">AVERAGE(OFFSET($CC$3,0,0,'Données projet'!$E$12+1,1))-AVERAGE(OFFSET($H$3,0,0,'Données projet'!$E$12+1,1))</f>
        <v>216.10252108537389</v>
      </c>
      <c r="CE37" s="59">
        <f t="shared" si="40"/>
        <v>196.91968622092054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5.4791666666666652</v>
      </c>
      <c r="CT37" s="12">
        <f>IF('Données projet'!$A$140&gt;35,CT36+CS37-DB36,IF(A37&lt;'Données projet'!$A$140,$CQ$205^A37,IF(A37='Données projet'!$A$140,'Données projet'!$B$140,CT36+CS37-DB36)))</f>
        <v>97.262820512820539</v>
      </c>
      <c r="CU37" s="17">
        <f>CT37*VLOOKUP('Données projet'!$B$13,Paramètres!$A$1:$I$89,3,0)*VLOOKUP('Données projet'!$B$13,Paramètres!$A$1:$I$89,5,0)</f>
        <v>88.003400000000013</v>
      </c>
      <c r="CV37" s="13">
        <f t="shared" si="41"/>
        <v>24.083066235714515</v>
      </c>
      <c r="CW37" s="20">
        <f t="shared" si="13"/>
        <v>195.21726202720279</v>
      </c>
      <c r="CX37" s="59">
        <f t="shared" si="14"/>
        <v>488.55059536053614</v>
      </c>
      <c r="CY37" s="59">
        <f ca="1">AVERAGE(OFFSET($CX$3,0,0,'Données projet'!$E$13+1,1))-AVERAGE(OFFSET($H$3,0,0,'Données projet'!$E$13+1,1))</f>
        <v>318.01858325056168</v>
      </c>
      <c r="CZ37" s="59">
        <f t="shared" si="42"/>
        <v>119.46953274700951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16.38</v>
      </c>
      <c r="D38" s="11">
        <f t="shared" si="32"/>
        <v>5.4515478029518825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168.5242286543654</v>
      </c>
      <c r="H38" s="67">
        <f t="shared" si="1"/>
        <v>331.35661242347453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14.298901098901101</v>
      </c>
      <c r="N38" s="13">
        <f>IF('Données projet'!$A$36&gt;35,N37+M38-V37,IF(A38&lt;'Données projet'!$A$36,$K$205^A38,IF(A38='Données projet'!$A$36,'Données projet'!$B$36,N37+M38-V37)))</f>
        <v>248.278021978022</v>
      </c>
      <c r="O38" s="13">
        <f>N38*VLOOKUP('Données projet'!$B$9,Paramètres!$A$1:$I$89,3,0)*VLOOKUP('Données projet'!$B$9,Paramètres!$A$1:$I$89,5,0)</f>
        <v>148.47025714285718</v>
      </c>
      <c r="P38" s="13">
        <f t="shared" si="33"/>
        <v>38.230738941903269</v>
      </c>
      <c r="Q38" s="20">
        <f t="shared" si="53"/>
        <v>325.17090151429107</v>
      </c>
      <c r="R38" s="59">
        <f t="shared" si="0"/>
        <v>618.50423484762439</v>
      </c>
      <c r="S38" s="59">
        <f ca="1">AVERAGE(OFFSET($R$3,0,0,'Données projet'!$E$9+1,1))-AVERAGE(OFFSET($H$3,0,0,'Données projet'!$E$9+1,1))</f>
        <v>200.15574321350221</v>
      </c>
      <c r="T38" s="59">
        <f t="shared" si="34"/>
        <v>200.70728852570426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10.575551120221091</v>
      </c>
      <c r="AA38" s="21">
        <f>EXP(-LN(2)/25)*AA37+(1-EXP(-LN(2)/25))/(LN(2)/25)*Calculateur!V38*Calculateur!X38*VLOOKUP('Données projet'!$B$9,Paramètres!$A$1:$I$89,3,0)*0.475*44/12</f>
        <v>15.221814197199775</v>
      </c>
      <c r="AB38" s="21">
        <f>EXP(-LN(2)/2)*AB37+(1-EXP(-LN(2)/2))/(LN(2)/2)*V38*Y38*VLOOKUP('Données projet'!$B$9,Paramètres!$A$1:$I$89,3,0)*0.475*44/12</f>
        <v>0.80877908672904586</v>
      </c>
      <c r="AC38" s="22">
        <f t="shared" si="3"/>
        <v>26.606144404149912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45.407317338461951</v>
      </c>
      <c r="AO38" s="59">
        <f t="shared" si="36"/>
        <v>149.88701606165358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26.657639143404094</v>
      </c>
      <c r="AV38" s="21">
        <f>EXP(-LN(2)/25)*AV37+(1-EXP(-LN(2)/25))/(LN(2)/25)*Calculateur!AQ38*Calculateur!AS38*VLOOKUP('Données projet'!$B$10,Paramètres!$A$1:$I$89,3,0)*0.475*44/12</f>
        <v>5.0523846095473566</v>
      </c>
      <c r="AW38" s="21">
        <f>EXP(-LN(2)/2)*AW37+(1-EXP(-LN(2)/2))/(LN(2)/2)*AQ38*AT38*VLOOKUP('Données projet'!$B$10,Paramètres!$A$1:$I$89,3,0)*0.475*44/12</f>
        <v>6.0416939812346547E-2</v>
      </c>
      <c r="AX38" s="21">
        <f t="shared" si="6"/>
        <v>31.770440692763795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11.443589743589744</v>
      </c>
      <c r="BD38" s="12">
        <f>IF('Données projet'!$A$88&gt;35,BD37+BC38-BL37,IF(A38&lt;'Données projet'!$A$88,$BA$205^A38,IF(A38='Données projet'!$A$88,'Données projet'!$B$88,BD37+BC38-BL37)))</f>
        <v>204.47179487179486</v>
      </c>
      <c r="BE38" s="13">
        <f>BD38*VLOOKUP('Données projet'!$B$11,Paramètres!$A$1:$I$89,3,0)*VLOOKUP('Données projet'!$B$11,Paramètres!$A$1:$I$89,5,0)</f>
        <v>95.692799999999991</v>
      </c>
      <c r="BF38" s="13">
        <f t="shared" si="37"/>
        <v>25.93325205212474</v>
      </c>
      <c r="BG38" s="20">
        <f t="shared" si="7"/>
        <v>211.83204065745056</v>
      </c>
      <c r="BH38" s="59">
        <f t="shared" si="8"/>
        <v>505.16537399078391</v>
      </c>
      <c r="BI38" s="59">
        <f ca="1">AVERAGE(OFFSET($BH$3,0,0,'Données projet'!$E$11+1,1))-AVERAGE(OFFSET($H$3,0,0,'Données projet'!$E$11+1,1))</f>
        <v>183.67580045784649</v>
      </c>
      <c r="BJ38" s="59">
        <f t="shared" si="38"/>
        <v>121.08269345608767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135</v>
      </c>
      <c r="BW38" s="12">
        <f>VLOOKUP(A38,'Données projet'!$A$113:$I$133,9,0)</f>
        <v>7.2</v>
      </c>
      <c r="BX38" s="12">
        <f t="array" ref="BX38">INDEX(BW:BW,MIN(IF(ISNUMBER(BW38:BW234),ROW(BW38:BW234),"")))</f>
        <v>7.2</v>
      </c>
      <c r="BY38" s="12">
        <f>IF('Données projet'!$A$114&gt;35,BY37+BX38-CG37,IF(A38&lt;'Données projet'!$A$114,$BV$205^A38,IF(A38='Données projet'!$A$114,'Données projet'!$B$114,BY37+BX38-CG37)))</f>
        <v>135</v>
      </c>
      <c r="BZ38" s="13">
        <f>BY38*VLOOKUP('Données projet'!$B$12,Paramètres!$A$1:$I$89,3,0)*VLOOKUP('Données projet'!$B$12,Paramètres!$A$1:$I$89,5,0)</f>
        <v>117.93600000000002</v>
      </c>
      <c r="CA38" s="13">
        <f t="shared" si="39"/>
        <v>31.1931201812605</v>
      </c>
      <c r="CB38" s="20">
        <f t="shared" si="10"/>
        <v>259.73321764902875</v>
      </c>
      <c r="CC38" s="59">
        <f t="shared" si="11"/>
        <v>553.06655098236206</v>
      </c>
      <c r="CD38" s="59">
        <f ca="1">AVERAGE(OFFSET($CC$3,0,0,'Données projet'!$E$12+1,1))-AVERAGE(OFFSET($H$3,0,0,'Données projet'!$E$12+1,1))</f>
        <v>216.10252108537389</v>
      </c>
      <c r="CE38" s="59">
        <f t="shared" si="40"/>
        <v>196.91968622092054</v>
      </c>
      <c r="CF38" s="15">
        <f>IF(ISNA(VLOOKUP(A38,'Données projet'!$A$113:$I$133,3,0)),0,VLOOKUP(A38,'Données projet'!$A$113:$I$133,3,0))</f>
        <v>4</v>
      </c>
      <c r="CG38" s="15" t="str">
        <f>IF(ISNA(VLOOKUP(A38,'Données projet'!$A$113:$I$133,4,0)),0,VLOOKUP(A38,'Données projet'!$A$113:$I$133,4,0))</f>
        <v>20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5.4791666666666652</v>
      </c>
      <c r="CT38" s="12">
        <f>IF('Données projet'!$A$140&gt;35,CT37+CS38-DB37,IF(A38&lt;'Données projet'!$A$140,$CQ$205^A38,IF(A38='Données projet'!$A$140,'Données projet'!$B$140,CT37+CS38-DB37)))</f>
        <v>102.74198717948721</v>
      </c>
      <c r="CU38" s="17">
        <f>CT38*VLOOKUP('Données projet'!$B$13,Paramètres!$A$1:$I$89,3,0)*VLOOKUP('Données projet'!$B$13,Paramètres!$A$1:$I$89,5,0)</f>
        <v>92.960950000000025</v>
      </c>
      <c r="CV38" s="13">
        <f t="shared" si="41"/>
        <v>25.277983948995907</v>
      </c>
      <c r="CW38" s="20">
        <f t="shared" si="13"/>
        <v>205.93280996116789</v>
      </c>
      <c r="CX38" s="59">
        <f t="shared" si="14"/>
        <v>499.26614329450121</v>
      </c>
      <c r="CY38" s="59">
        <f ca="1">AVERAGE(OFFSET($CX$3,0,0,'Données projet'!$E$13+1,1))-AVERAGE(OFFSET($H$3,0,0,'Données projet'!$E$13+1,1))</f>
        <v>318.01858325056168</v>
      </c>
      <c r="CZ38" s="59">
        <f t="shared" si="42"/>
        <v>119.46953274700951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16.847999999999999</v>
      </c>
      <c r="D39" s="11">
        <f t="shared" si="32"/>
        <v>5.5889495622773833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173.19750539301842</v>
      </c>
      <c r="H39" s="67">
        <f t="shared" si="1"/>
        <v>332.4110204876331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262.57692307692309</v>
      </c>
      <c r="L39" s="12">
        <f>VLOOKUP(A39,'Données projet'!$A$35:$I$55,9,0)</f>
        <v>14.298901098901101</v>
      </c>
      <c r="M39" s="12">
        <f t="array" ref="M39">INDEX(L:L,MIN(IF(ISNUMBER(L39:L235),ROW(L39:L235),"")))</f>
        <v>14.298901098901101</v>
      </c>
      <c r="N39" s="13">
        <f>IF('Données projet'!$A$36&gt;35,N38+M39-V38,IF(A39&lt;'Données projet'!$A$36,$K$205^A39,IF(A39='Données projet'!$A$36,'Données projet'!$B$36,N38+M39-V38)))</f>
        <v>262.57692307692309</v>
      </c>
      <c r="O39" s="13">
        <f>N39*VLOOKUP('Données projet'!$B$9,Paramètres!$A$1:$I$89,3,0)*VLOOKUP('Données projet'!$B$9,Paramètres!$A$1:$I$89,5,0)</f>
        <v>157.02100000000002</v>
      </c>
      <c r="P39" s="13">
        <f t="shared" si="33"/>
        <v>40.169860444278903</v>
      </c>
      <c r="Q39" s="20">
        <f t="shared" si="53"/>
        <v>343.44074860711908</v>
      </c>
      <c r="R39" s="59">
        <f t="shared" si="0"/>
        <v>636.77408194045233</v>
      </c>
      <c r="S39" s="59">
        <f ca="1">AVERAGE(OFFSET($R$3,0,0,'Données projet'!$E$9+1,1))-AVERAGE(OFFSET($H$3,0,0,'Données projet'!$E$9+1,1))</f>
        <v>200.15574321350221</v>
      </c>
      <c r="T39" s="59">
        <f t="shared" si="34"/>
        <v>200.70728852570426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64.553846153846152</v>
      </c>
      <c r="W39" s="16">
        <f>IF(ISNA(VLOOKUP(A39,'Données projet'!$A$35:$I$55,5,0)),0%,VLOOKUP(A39,'Données projet'!$A$35:$I$55,5,0)*VLOOKUP('Données projet'!$B$9,Paramètres!$A$1:$I$89,7,0))</f>
        <v>0.315</v>
      </c>
      <c r="X39" s="16">
        <f>IF(ISNA(VLOOKUP(A39,'Données projet'!$A$35:$I$55,6,0)),0%,VLOOKUP(A39,'Données projet'!$A$35:$I$55,6,0)*VLOOKUP('Données projet'!$B$9,Paramètres!$A$1:$I$89,7,0))</f>
        <v>7.5600000000000001E-2</v>
      </c>
      <c r="Y39" s="16">
        <f>IF(ISNA(VLOOKUP(A39,'Données projet'!$A$35:$I$55,7,0)),0%,VLOOKUP(A39,'Données projet'!$A$35:$I$55,7,0))</f>
        <v>0.13200000000000001</v>
      </c>
      <c r="Z39" s="21">
        <f>EXP(-LN(2)/35)*Z38+(1-EXP(-LN(2)/35))/(LN(2)/35)*V39*W39*VLOOKUP('Données projet'!$B$9,Paramètres!$A$1:$I$89,3,0)*0.475*44/12</f>
        <v>26.499205403863257</v>
      </c>
      <c r="AA39" s="21">
        <f>EXP(-LN(2)/25)*AA38+(1-EXP(-LN(2)/25))/(LN(2)/25)*Calculateur!V39*Calculateur!X39*VLOOKUP('Données projet'!$B$9,Paramètres!$A$1:$I$89,3,0)*0.475*44/12</f>
        <v>18.661777774342958</v>
      </c>
      <c r="AB39" s="21">
        <f>EXP(-LN(2)/2)*AB38+(1-EXP(-LN(2)/2))/(LN(2)/2)*V39*Y39*VLOOKUP('Données projet'!$B$9,Paramètres!$A$1:$I$89,3,0)*0.475*44/12</f>
        <v>6.3413214339872948</v>
      </c>
      <c r="AC39" s="22">
        <f t="shared" si="3"/>
        <v>51.502304612193512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45.407317338461951</v>
      </c>
      <c r="AO39" s="59">
        <f t="shared" si="36"/>
        <v>149.88701606165358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26.134899099356318</v>
      </c>
      <c r="AV39" s="21">
        <f>EXP(-LN(2)/25)*AV38+(1-EXP(-LN(2)/25))/(LN(2)/25)*Calculateur!AQ39*Calculateur!AS39*VLOOKUP('Données projet'!$B$10,Paramètres!$A$1:$I$89,3,0)*0.475*44/12</f>
        <v>4.9142268867059249</v>
      </c>
      <c r="AW39" s="21">
        <f>EXP(-LN(2)/2)*AW38+(1-EXP(-LN(2)/2))/(LN(2)/2)*AQ39*AT39*VLOOKUP('Données projet'!$B$10,Paramètres!$A$1:$I$89,3,0)*0.475*44/12</f>
        <v>4.2721227839849746E-2</v>
      </c>
      <c r="AX39" s="21">
        <f t="shared" si="6"/>
        <v>31.091847213902092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11.443589743589744</v>
      </c>
      <c r="BD39" s="12">
        <f>IF('Données projet'!$A$88&gt;35,BD38+BC39-BL38,IF(A39&lt;'Données projet'!$A$88,$BA$205^A39,IF(A39='Données projet'!$A$88,'Données projet'!$B$88,BD38+BC39-BL38)))</f>
        <v>215.9153846153846</v>
      </c>
      <c r="BE39" s="13">
        <f>BD39*VLOOKUP('Données projet'!$B$11,Paramètres!$A$1:$I$89,3,0)*VLOOKUP('Données projet'!$B$11,Paramètres!$A$1:$I$89,5,0)</f>
        <v>101.04839999999999</v>
      </c>
      <c r="BF39" s="13">
        <f t="shared" si="37"/>
        <v>27.21161258263702</v>
      </c>
      <c r="BG39" s="20">
        <f t="shared" si="7"/>
        <v>223.38618858142613</v>
      </c>
      <c r="BH39" s="59">
        <f t="shared" si="8"/>
        <v>516.71952191475941</v>
      </c>
      <c r="BI39" s="59">
        <f ca="1">AVERAGE(OFFSET($BH$3,0,0,'Données projet'!$E$11+1,1))-AVERAGE(OFFSET($H$3,0,0,'Données projet'!$E$11+1,1))</f>
        <v>183.67580045784649</v>
      </c>
      <c r="BJ39" s="59">
        <f t="shared" si="38"/>
        <v>121.08269345608767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</v>
      </c>
      <c r="BY39" s="12">
        <f>IF('Données projet'!$A$114&gt;35,BY38+BX39-CG38,IF(A39&lt;'Données projet'!$A$114,$BV$205^A39,IF(A39='Données projet'!$A$114,'Données projet'!$B$114,BY38+BX39-CG38)))</f>
        <v>122</v>
      </c>
      <c r="BZ39" s="13">
        <f>BY39*VLOOKUP('Données projet'!$B$12,Paramètres!$A$1:$I$89,3,0)*VLOOKUP('Données projet'!$B$12,Paramètres!$A$1:$I$89,5,0)</f>
        <v>106.57920000000001</v>
      </c>
      <c r="CA39" s="13">
        <f t="shared" si="39"/>
        <v>28.523541515222938</v>
      </c>
      <c r="CB39" s="20">
        <f t="shared" si="10"/>
        <v>235.30394147234665</v>
      </c>
      <c r="CC39" s="59">
        <f t="shared" si="11"/>
        <v>528.63727480567991</v>
      </c>
      <c r="CD39" s="59">
        <f ca="1">AVERAGE(OFFSET($CC$3,0,0,'Données projet'!$E$12+1,1))-AVERAGE(OFFSET($H$3,0,0,'Données projet'!$E$12+1,1))</f>
        <v>216.10252108537389</v>
      </c>
      <c r="CE39" s="59">
        <f t="shared" si="40"/>
        <v>196.91968622092054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5.4791666666666652</v>
      </c>
      <c r="CT39" s="12">
        <f>IF('Données projet'!$A$140&gt;35,CT38+CS39-DB38,IF(A39&lt;'Données projet'!$A$140,$CQ$205^A39,IF(A39='Données projet'!$A$140,'Données projet'!$B$140,CT38+CS39-DB38)))</f>
        <v>108.22115384615388</v>
      </c>
      <c r="CU39" s="17">
        <f>CT39*VLOOKUP('Données projet'!$B$13,Paramètres!$A$1:$I$89,3,0)*VLOOKUP('Données projet'!$B$13,Paramètres!$A$1:$I$89,5,0)</f>
        <v>97.918500000000037</v>
      </c>
      <c r="CV39" s="13">
        <f t="shared" si="41"/>
        <v>26.465503435437213</v>
      </c>
      <c r="CW39" s="20">
        <f t="shared" si="13"/>
        <v>216.6354726500532</v>
      </c>
      <c r="CX39" s="59">
        <f t="shared" si="14"/>
        <v>509.96880598338652</v>
      </c>
      <c r="CY39" s="59">
        <f ca="1">AVERAGE(OFFSET($CX$3,0,0,'Données projet'!$E$13+1,1))-AVERAGE(OFFSET($H$3,0,0,'Données projet'!$E$13+1,1))</f>
        <v>318.01858325056168</v>
      </c>
      <c r="CZ39" s="59">
        <f t="shared" si="42"/>
        <v>119.46953274700951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40" s="11">
        <f t="shared" si="32"/>
        <v>5.7259077130880893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177.86735778524135</v>
      </c>
      <c r="H40" s="67">
        <f t="shared" si="1"/>
        <v>333.46465593362842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13.14134615384615</v>
      </c>
      <c r="N40" s="13">
        <f>IF('Données projet'!$A$36&gt;35,N39+M40-V39,IF(A40&lt;'Données projet'!$A$36,$K$205^A40,IF(A40='Données projet'!$A$36,'Données projet'!$B$36,N39+M40-V39)))</f>
        <v>211.16442307692307</v>
      </c>
      <c r="O40" s="13">
        <f>N40*VLOOKUP('Données projet'!$B$9,Paramètres!$A$1:$I$89,3,0)*VLOOKUP('Données projet'!$B$9,Paramètres!$A$1:$I$89,5,0)</f>
        <v>126.27632500000001</v>
      </c>
      <c r="P40" s="13">
        <f t="shared" si="33"/>
        <v>33.134477451871625</v>
      </c>
      <c r="Q40" s="20">
        <f t="shared" si="53"/>
        <v>277.64048093700978</v>
      </c>
      <c r="R40" s="59">
        <f t="shared" si="0"/>
        <v>570.97381427034315</v>
      </c>
      <c r="S40" s="59">
        <f ca="1">AVERAGE(OFFSET($R$3,0,0,'Données projet'!$E$9+1,1))-AVERAGE(OFFSET($H$3,0,0,'Données projet'!$E$9+1,1))</f>
        <v>200.15574321350221</v>
      </c>
      <c r="T40" s="59">
        <f t="shared" si="34"/>
        <v>200.70728852570426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25.979572148812839</v>
      </c>
      <c r="AA40" s="21">
        <f>EXP(-LN(2)/25)*AA39+(1-EXP(-LN(2)/25))/(LN(2)/25)*Calculateur!V40*Calculateur!X40*VLOOKUP('Données projet'!$B$9,Paramètres!$A$1:$I$89,3,0)*0.475*44/12</f>
        <v>18.151470479723308</v>
      </c>
      <c r="AB40" s="21">
        <f>EXP(-LN(2)/2)*AB39+(1-EXP(-LN(2)/2))/(LN(2)/2)*V40*Y40*VLOOKUP('Données projet'!$B$9,Paramètres!$A$1:$I$89,3,0)*0.475*44/12</f>
        <v>4.483991387656018</v>
      </c>
      <c r="AC40" s="22">
        <f t="shared" si="3"/>
        <v>48.615034016192169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45.407317338461951</v>
      </c>
      <c r="AO40" s="59">
        <f t="shared" si="36"/>
        <v>149.88701606165358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25.622409668732377</v>
      </c>
      <c r="AV40" s="21">
        <f>EXP(-LN(2)/25)*AV39+(1-EXP(-LN(2)/25))/(LN(2)/25)*Calculateur!AQ40*Calculateur!AS40*VLOOKUP('Données projet'!$B$10,Paramètres!$A$1:$I$89,3,0)*0.475*44/12</f>
        <v>4.7798470940609912</v>
      </c>
      <c r="AW40" s="21">
        <f>EXP(-LN(2)/2)*AW39+(1-EXP(-LN(2)/2))/(LN(2)/2)*AQ40*AT40*VLOOKUP('Données projet'!$B$10,Paramètres!$A$1:$I$89,3,0)*0.475*44/12</f>
        <v>3.0208469906173277E-2</v>
      </c>
      <c r="AX40" s="21">
        <f t="shared" si="6"/>
        <v>30.432465232699542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11.443589743589744</v>
      </c>
      <c r="BD40" s="12">
        <f>IF('Données projet'!$A$88&gt;35,BD39+BC40-BL39,IF(A40&lt;'Données projet'!$A$88,$BA$205^A40,IF(A40='Données projet'!$A$88,'Données projet'!$B$88,BD39+BC40-BL39)))</f>
        <v>227.35897435897434</v>
      </c>
      <c r="BE40" s="13">
        <f>BD40*VLOOKUP('Données projet'!$B$11,Paramètres!$A$1:$I$89,3,0)*VLOOKUP('Données projet'!$B$11,Paramètres!$A$1:$I$89,5,0)</f>
        <v>106.40399999999998</v>
      </c>
      <c r="BF40" s="13">
        <f t="shared" si="37"/>
        <v>28.482106989387589</v>
      </c>
      <c r="BG40" s="20">
        <f t="shared" si="7"/>
        <v>234.92663633985001</v>
      </c>
      <c r="BH40" s="59">
        <f t="shared" si="8"/>
        <v>528.25996967318338</v>
      </c>
      <c r="BI40" s="59">
        <f ca="1">AVERAGE(OFFSET($BH$3,0,0,'Données projet'!$E$11+1,1))-AVERAGE(OFFSET($H$3,0,0,'Données projet'!$E$11+1,1))</f>
        <v>183.67580045784649</v>
      </c>
      <c r="BJ40" s="59">
        <f t="shared" si="38"/>
        <v>121.08269345608767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</v>
      </c>
      <c r="BY40" s="12">
        <f>IF('Données projet'!$A$114&gt;35,BY39+BX40-CG39,IF(A40&lt;'Données projet'!$A$114,$BV$205^A40,IF(A40='Données projet'!$A$114,'Données projet'!$B$114,BY39+BX40-CG39)))</f>
        <v>129</v>
      </c>
      <c r="BZ40" s="13">
        <f>BY40*VLOOKUP('Données projet'!$B$12,Paramètres!$A$1:$I$89,3,0)*VLOOKUP('Données projet'!$B$12,Paramètres!$A$1:$I$89,5,0)</f>
        <v>112.69440000000002</v>
      </c>
      <c r="CA40" s="13">
        <f t="shared" si="39"/>
        <v>29.964909381330632</v>
      </c>
      <c r="CB40" s="20">
        <f t="shared" si="10"/>
        <v>248.46496383915087</v>
      </c>
      <c r="CC40" s="59">
        <f t="shared" si="11"/>
        <v>541.79829717248413</v>
      </c>
      <c r="CD40" s="59">
        <f ca="1">AVERAGE(OFFSET($CC$3,0,0,'Données projet'!$E$12+1,1))-AVERAGE(OFFSET($H$3,0,0,'Données projet'!$E$12+1,1))</f>
        <v>216.10252108537389</v>
      </c>
      <c r="CE40" s="59">
        <f t="shared" si="40"/>
        <v>196.91968622092054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5.4791666666666652</v>
      </c>
      <c r="CT40" s="12">
        <f>IF('Données projet'!$A$140&gt;35,CT39+CS40-DB39,IF(A40&lt;'Données projet'!$A$140,$CQ$205^A40,IF(A40='Données projet'!$A$140,'Données projet'!$B$140,CT39+CS40-DB39)))</f>
        <v>113.70032051282055</v>
      </c>
      <c r="CU40" s="17">
        <f>CT40*VLOOKUP('Données projet'!$B$13,Paramètres!$A$1:$I$89,3,0)*VLOOKUP('Données projet'!$B$13,Paramètres!$A$1:$I$89,5,0)</f>
        <v>102.87605000000002</v>
      </c>
      <c r="CV40" s="13">
        <f t="shared" si="41"/>
        <v>27.646041997606424</v>
      </c>
      <c r="CW40" s="20">
        <f t="shared" si="13"/>
        <v>227.32597689583122</v>
      </c>
      <c r="CX40" s="59">
        <f t="shared" si="14"/>
        <v>520.65931022916448</v>
      </c>
      <c r="CY40" s="59">
        <f ca="1">AVERAGE(OFFSET($CX$3,0,0,'Données projet'!$E$13+1,1))-AVERAGE(OFFSET($H$3,0,0,'Données projet'!$E$13+1,1))</f>
        <v>318.01858325056168</v>
      </c>
      <c r="CZ40" s="59">
        <f t="shared" si="42"/>
        <v>119.46953274700951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17.783999999999999</v>
      </c>
      <c r="D41" s="11">
        <f t="shared" si="32"/>
        <v>5.862435622634961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182.5338890168313</v>
      </c>
      <c r="H41" s="67">
        <f t="shared" si="1"/>
        <v>334.51754204275585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13.14134615384615</v>
      </c>
      <c r="N41" s="13">
        <f>IF('Données projet'!$A$36&gt;35,N40+M41-V40,IF(A41&lt;'Données projet'!$A$36,$K$205^A41,IF(A41='Données projet'!$A$36,'Données projet'!$B$36,N40+M41-V40)))</f>
        <v>224.30576923076922</v>
      </c>
      <c r="O41" s="13">
        <f>N41*VLOOKUP('Données projet'!$B$9,Paramètres!$A$1:$I$89,3,0)*VLOOKUP('Données projet'!$B$9,Paramètres!$A$1:$I$89,5,0)</f>
        <v>134.13485</v>
      </c>
      <c r="P41" s="13">
        <f t="shared" si="33"/>
        <v>34.950053695803156</v>
      </c>
      <c r="Q41" s="20">
        <f t="shared" si="53"/>
        <v>294.48954060352384</v>
      </c>
      <c r="R41" s="59">
        <f t="shared" si="0"/>
        <v>587.82287393685715</v>
      </c>
      <c r="S41" s="59">
        <f ca="1">AVERAGE(OFFSET($R$3,0,0,'Données projet'!$E$9+1,1))-AVERAGE(OFFSET($H$3,0,0,'Données projet'!$E$9+1,1))</f>
        <v>200.15574321350221</v>
      </c>
      <c r="T41" s="59">
        <f t="shared" si="34"/>
        <v>200.70728852570426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25.47012858494897</v>
      </c>
      <c r="AA41" s="21">
        <f>EXP(-LN(2)/25)*AA40+(1-EXP(-LN(2)/25))/(LN(2)/25)*Calculateur!V41*Calculateur!X41*VLOOKUP('Données projet'!$B$9,Paramètres!$A$1:$I$89,3,0)*0.475*44/12</f>
        <v>17.655117564910928</v>
      </c>
      <c r="AB41" s="21">
        <f>EXP(-LN(2)/2)*AB40+(1-EXP(-LN(2)/2))/(LN(2)/2)*V41*Y41*VLOOKUP('Données projet'!$B$9,Paramètres!$A$1:$I$89,3,0)*0.475*44/12</f>
        <v>3.1706607169936478</v>
      </c>
      <c r="AC41" s="22">
        <f t="shared" si="3"/>
        <v>46.295906866853542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45.407317338461951</v>
      </c>
      <c r="AO41" s="59">
        <f t="shared" si="36"/>
        <v>149.88701606165358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25.119969843255284</v>
      </c>
      <c r="AV41" s="21">
        <f>EXP(-LN(2)/25)*AV40+(1-EXP(-LN(2)/25))/(LN(2)/25)*Calculateur!AQ41*Calculateur!AS41*VLOOKUP('Données projet'!$B$10,Paramètres!$A$1:$I$89,3,0)*0.475*44/12</f>
        <v>4.6491419239126595</v>
      </c>
      <c r="AW41" s="21">
        <f>EXP(-LN(2)/2)*AW40+(1-EXP(-LN(2)/2))/(LN(2)/2)*AQ41*AT41*VLOOKUP('Données projet'!$B$10,Paramètres!$A$1:$I$89,3,0)*0.475*44/12</f>
        <v>2.1360613919924876E-2</v>
      </c>
      <c r="AX41" s="21">
        <f t="shared" si="6"/>
        <v>29.790472381087866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11.443589743589744</v>
      </c>
      <c r="BD41" s="12">
        <f>IF('Données projet'!$A$88&gt;35,BD40+BC41-BL40,IF(A41&lt;'Données projet'!$A$88,$BA$205^A41,IF(A41='Données projet'!$A$88,'Données projet'!$B$88,BD40+BC41-BL40)))</f>
        <v>238.80256410256408</v>
      </c>
      <c r="BE41" s="13">
        <f>BD41*VLOOKUP('Données projet'!$B$11,Paramètres!$A$1:$I$89,3,0)*VLOOKUP('Données projet'!$B$11,Paramètres!$A$1:$I$89,5,0)</f>
        <v>111.75959999999998</v>
      </c>
      <c r="BF41" s="13">
        <f t="shared" si="37"/>
        <v>29.745176370290782</v>
      </c>
      <c r="BG41" s="20">
        <f t="shared" si="7"/>
        <v>246.45415217825635</v>
      </c>
      <c r="BH41" s="59">
        <f t="shared" si="8"/>
        <v>539.78748551158969</v>
      </c>
      <c r="BI41" s="59">
        <f ca="1">AVERAGE(OFFSET($BH$3,0,0,'Données projet'!$E$11+1,1))-AVERAGE(OFFSET($H$3,0,0,'Données projet'!$E$11+1,1))</f>
        <v>183.67580045784649</v>
      </c>
      <c r="BJ41" s="59">
        <f t="shared" si="38"/>
        <v>121.08269345608767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</v>
      </c>
      <c r="BY41" s="12">
        <f>IF('Données projet'!$A$114&gt;35,BY40+BX41-CG40,IF(A41&lt;'Données projet'!$A$114,$BV$205^A41,IF(A41='Données projet'!$A$114,'Données projet'!$B$114,BY40+BX41-CG40)))</f>
        <v>136</v>
      </c>
      <c r="BZ41" s="13">
        <f>BY41*VLOOKUP('Données projet'!$B$12,Paramètres!$A$1:$I$89,3,0)*VLOOKUP('Données projet'!$B$12,Paramètres!$A$1:$I$89,5,0)</f>
        <v>118.80960000000002</v>
      </c>
      <c r="CA41" s="13">
        <f t="shared" si="39"/>
        <v>31.39719715333722</v>
      </c>
      <c r="CB41" s="20">
        <f t="shared" si="10"/>
        <v>261.61017170872901</v>
      </c>
      <c r="CC41" s="59">
        <f t="shared" si="11"/>
        <v>554.94350504206227</v>
      </c>
      <c r="CD41" s="59">
        <f ca="1">AVERAGE(OFFSET($CC$3,0,0,'Données projet'!$E$12+1,1))-AVERAGE(OFFSET($H$3,0,0,'Données projet'!$E$12+1,1))</f>
        <v>216.10252108537389</v>
      </c>
      <c r="CE41" s="59">
        <f t="shared" si="40"/>
        <v>196.91968622092054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5.4791666666666652</v>
      </c>
      <c r="CT41" s="12">
        <f>IF('Données projet'!$A$140&gt;35,CT40+CS41-DB40,IF(A41&lt;'Données projet'!$A$140,$CQ$205^A41,IF(A41='Données projet'!$A$140,'Données projet'!$B$140,CT40+CS41-DB40)))</f>
        <v>119.17948717948723</v>
      </c>
      <c r="CU41" s="17">
        <f>CT41*VLOOKUP('Données projet'!$B$13,Paramètres!$A$1:$I$89,3,0)*VLOOKUP('Données projet'!$B$13,Paramètres!$A$1:$I$89,5,0)</f>
        <v>107.83360000000003</v>
      </c>
      <c r="CV41" s="13">
        <f t="shared" si="41"/>
        <v>28.819974446397296</v>
      </c>
      <c r="CW41" s="20">
        <f t="shared" si="13"/>
        <v>238.00497549414197</v>
      </c>
      <c r="CX41" s="59">
        <f t="shared" si="14"/>
        <v>531.33830882747532</v>
      </c>
      <c r="CY41" s="59">
        <f ca="1">AVERAGE(OFFSET($CX$3,0,0,'Données projet'!$E$13+1,1))-AVERAGE(OFFSET($H$3,0,0,'Données projet'!$E$13+1,1))</f>
        <v>318.01858325056168</v>
      </c>
      <c r="CZ41" s="59">
        <f t="shared" si="42"/>
        <v>119.46953274700951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18.251999999999999</v>
      </c>
      <c r="D42" s="11">
        <f t="shared" si="32"/>
        <v>5.9985459145634135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187.19719653347192</v>
      </c>
      <c r="H42" s="67">
        <f t="shared" si="1"/>
        <v>335.56970080119794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13.14134615384615</v>
      </c>
      <c r="N42" s="13">
        <f>IF('Données projet'!$A$36&gt;35,N41+M42-V41,IF(A42&lt;'Données projet'!$A$36,$K$205^A42,IF(A42='Données projet'!$A$36,'Données projet'!$B$36,N41+M42-V41)))</f>
        <v>237.44711538461536</v>
      </c>
      <c r="O42" s="13">
        <f>N42*VLOOKUP('Données projet'!$B$9,Paramètres!$A$1:$I$89,3,0)*VLOOKUP('Données projet'!$B$9,Paramètres!$A$1:$I$89,5,0)</f>
        <v>141.99337499999999</v>
      </c>
      <c r="P42" s="13">
        <f t="shared" si="33"/>
        <v>36.753283288028733</v>
      </c>
      <c r="Q42" s="20">
        <f t="shared" si="53"/>
        <v>311.31709651831665</v>
      </c>
      <c r="R42" s="59">
        <f t="shared" si="0"/>
        <v>604.65042985164996</v>
      </c>
      <c r="S42" s="59">
        <f ca="1">AVERAGE(OFFSET($R$3,0,0,'Données projet'!$E$9+1,1))-AVERAGE(OFFSET($H$3,0,0,'Données projet'!$E$9+1,1))</f>
        <v>200.15574321350221</v>
      </c>
      <c r="T42" s="59">
        <f t="shared" si="34"/>
        <v>200.70728852570426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24.970674898642578</v>
      </c>
      <c r="AA42" s="21">
        <f>EXP(-LN(2)/25)*AA41+(1-EXP(-LN(2)/25))/(LN(2)/25)*Calculateur!V42*Calculateur!X42*VLOOKUP('Données projet'!$B$9,Paramètres!$A$1:$I$89,3,0)*0.475*44/12</f>
        <v>17.172337446656158</v>
      </c>
      <c r="AB42" s="21">
        <f>EXP(-LN(2)/2)*AB41+(1-EXP(-LN(2)/2))/(LN(2)/2)*V42*Y42*VLOOKUP('Données projet'!$B$9,Paramètres!$A$1:$I$89,3,0)*0.475*44/12</f>
        <v>2.2419956938280095</v>
      </c>
      <c r="AC42" s="22">
        <f t="shared" si="3"/>
        <v>44.385008039126745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45.407317338461951</v>
      </c>
      <c r="AO42" s="59">
        <f t="shared" si="36"/>
        <v>149.88701606165358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24.627382556297764</v>
      </c>
      <c r="AV42" s="21">
        <f>EXP(-LN(2)/25)*AV41+(1-EXP(-LN(2)/25))/(LN(2)/25)*Calculateur!AQ42*Calculateur!AS42*VLOOKUP('Données projet'!$B$10,Paramètres!$A$1:$I$89,3,0)*0.475*44/12</f>
        <v>4.5220108935155201</v>
      </c>
      <c r="AW42" s="21">
        <f>EXP(-LN(2)/2)*AW41+(1-EXP(-LN(2)/2))/(LN(2)/2)*AQ42*AT42*VLOOKUP('Données projet'!$B$10,Paramètres!$A$1:$I$89,3,0)*0.475*44/12</f>
        <v>1.5104234953086642E-2</v>
      </c>
      <c r="AX42" s="21">
        <f t="shared" si="6"/>
        <v>29.164497684766371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11.443589743589744</v>
      </c>
      <c r="BD42" s="12">
        <f>IF('Données projet'!$A$88&gt;35,BD41+BC42-BL41,IF(A42&lt;'Données projet'!$A$88,$BA$205^A42,IF(A42='Données projet'!$A$88,'Données projet'!$B$88,BD41+BC42-BL41)))</f>
        <v>250.24615384615382</v>
      </c>
      <c r="BE42" s="13">
        <f>BD42*VLOOKUP('Données projet'!$B$11,Paramètres!$A$1:$I$89,3,0)*VLOOKUP('Données projet'!$B$11,Paramètres!$A$1:$I$89,5,0)</f>
        <v>117.11519999999997</v>
      </c>
      <c r="BF42" s="13">
        <f t="shared" si="37"/>
        <v>31.001217159106822</v>
      </c>
      <c r="BG42" s="20">
        <f t="shared" si="7"/>
        <v>257.96942655211097</v>
      </c>
      <c r="BH42" s="59">
        <f t="shared" si="8"/>
        <v>551.30275988544429</v>
      </c>
      <c r="BI42" s="59">
        <f ca="1">AVERAGE(OFFSET($BH$3,0,0,'Données projet'!$E$11+1,1))-AVERAGE(OFFSET($H$3,0,0,'Données projet'!$E$11+1,1))</f>
        <v>183.67580045784649</v>
      </c>
      <c r="BJ42" s="59">
        <f t="shared" si="38"/>
        <v>121.08269345608767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</v>
      </c>
      <c r="BY42" s="12">
        <f>IF('Données projet'!$A$114&gt;35,BY41+BX42-CG41,IF(A42&lt;'Données projet'!$A$114,$BV$205^A42,IF(A42='Données projet'!$A$114,'Données projet'!$B$114,BY41+BX42-CG41)))</f>
        <v>143</v>
      </c>
      <c r="BZ42" s="13">
        <f>BY42*VLOOKUP('Données projet'!$B$12,Paramètres!$A$1:$I$89,3,0)*VLOOKUP('Données projet'!$B$12,Paramètres!$A$1:$I$89,5,0)</f>
        <v>124.92480000000002</v>
      </c>
      <c r="CA42" s="13">
        <f t="shared" si="39"/>
        <v>32.820925500842712</v>
      </c>
      <c r="CB42" s="20">
        <f t="shared" si="10"/>
        <v>274.74047191396772</v>
      </c>
      <c r="CC42" s="59">
        <f t="shared" si="11"/>
        <v>568.07380524730104</v>
      </c>
      <c r="CD42" s="59">
        <f ca="1">AVERAGE(OFFSET($CC$3,0,0,'Données projet'!$E$12+1,1))-AVERAGE(OFFSET($H$3,0,0,'Données projet'!$E$12+1,1))</f>
        <v>216.10252108537389</v>
      </c>
      <c r="CE42" s="59">
        <f t="shared" si="40"/>
        <v>196.91968622092054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5.4791666666666652</v>
      </c>
      <c r="CT42" s="12">
        <f>IF('Données projet'!$A$140&gt;35,CT41+CS42-DB41,IF(A42&lt;'Données projet'!$A$140,$CQ$205^A42,IF(A42='Données projet'!$A$140,'Données projet'!$B$140,CT41+CS42-DB41)))</f>
        <v>124.6586538461539</v>
      </c>
      <c r="CU42" s="17">
        <f>CT42*VLOOKUP('Données projet'!$B$13,Paramètres!$A$1:$I$89,3,0)*VLOOKUP('Données projet'!$B$13,Paramètres!$A$1:$I$89,5,0)</f>
        <v>112.79115000000004</v>
      </c>
      <c r="CV42" s="13">
        <f t="shared" si="41"/>
        <v>29.987639181649424</v>
      </c>
      <c r="CW42" s="20">
        <f t="shared" si="13"/>
        <v>248.67305782470615</v>
      </c>
      <c r="CX42" s="59">
        <f t="shared" si="14"/>
        <v>542.00639115803949</v>
      </c>
      <c r="CY42" s="59">
        <f ca="1">AVERAGE(OFFSET($CX$3,0,0,'Données projet'!$E$13+1,1))-AVERAGE(OFFSET($H$3,0,0,'Données projet'!$E$13+1,1))</f>
        <v>318.01858325056168</v>
      </c>
      <c r="CZ42" s="59">
        <f t="shared" si="42"/>
        <v>119.46953274700951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18.72</v>
      </c>
      <c r="D43" s="11">
        <f t="shared" si="32"/>
        <v>6.1342505282708037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191.85737249893251</v>
      </c>
      <c r="H43" s="67">
        <f t="shared" si="1"/>
        <v>336.62115300340497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13.14134615384615</v>
      </c>
      <c r="N43" s="13">
        <f>IF('Données projet'!$A$36&gt;35,N42+M43-V42,IF(A43&lt;'Données projet'!$A$36,$K$205^A43,IF(A43='Données projet'!$A$36,'Données projet'!$B$36,N42+M43-V42)))</f>
        <v>250.5884615384615</v>
      </c>
      <c r="O43" s="13">
        <f>N43*VLOOKUP('Données projet'!$B$9,Paramètres!$A$1:$I$89,3,0)*VLOOKUP('Données projet'!$B$9,Paramètres!$A$1:$I$89,5,0)</f>
        <v>149.8519</v>
      </c>
      <c r="P43" s="13">
        <f t="shared" si="33"/>
        <v>38.544927429723309</v>
      </c>
      <c r="Q43" s="20">
        <f t="shared" si="53"/>
        <v>328.12447444010144</v>
      </c>
      <c r="R43" s="59">
        <f t="shared" si="0"/>
        <v>621.45780777343475</v>
      </c>
      <c r="S43" s="59">
        <f ca="1">AVERAGE(OFFSET($R$3,0,0,'Données projet'!$E$9+1,1))-AVERAGE(OFFSET($H$3,0,0,'Données projet'!$E$9+1,1))</f>
        <v>200.15574321350221</v>
      </c>
      <c r="T43" s="59">
        <f t="shared" si="34"/>
        <v>200.70728852570426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24.481015194487988</v>
      </c>
      <c r="AA43" s="21">
        <f>EXP(-LN(2)/25)*AA42+(1-EXP(-LN(2)/25))/(LN(2)/25)*Calculateur!V43*Calculateur!X43*VLOOKUP('Données projet'!$B$9,Paramètres!$A$1:$I$89,3,0)*0.475*44/12</f>
        <v>16.702758976123366</v>
      </c>
      <c r="AB43" s="21">
        <f>EXP(-LN(2)/2)*AB42+(1-EXP(-LN(2)/2))/(LN(2)/2)*V43*Y43*VLOOKUP('Données projet'!$B$9,Paramètres!$A$1:$I$89,3,0)*0.475*44/12</f>
        <v>1.5853303584968241</v>
      </c>
      <c r="AC43" s="22">
        <f t="shared" si="3"/>
        <v>42.769104529108183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45.407317338461951</v>
      </c>
      <c r="AO43" s="59">
        <f t="shared" si="36"/>
        <v>149.88701606165358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24.144454605588901</v>
      </c>
      <c r="AV43" s="21">
        <f>EXP(-LN(2)/25)*AV42+(1-EXP(-LN(2)/25))/(LN(2)/25)*Calculateur!AQ43*Calculateur!AS43*VLOOKUP('Données projet'!$B$10,Paramètres!$A$1:$I$89,3,0)*0.475*44/12</f>
        <v>4.3983562678301205</v>
      </c>
      <c r="AW43" s="21">
        <f>EXP(-LN(2)/2)*AW42+(1-EXP(-LN(2)/2))/(LN(2)/2)*AQ43*AT43*VLOOKUP('Données projet'!$B$10,Paramètres!$A$1:$I$89,3,0)*0.475*44/12</f>
        <v>1.068030695996244E-2</v>
      </c>
      <c r="AX43" s="21">
        <f t="shared" si="6"/>
        <v>28.553491180378984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11.443589743589744</v>
      </c>
      <c r="BD43" s="12">
        <f>IF('Données projet'!$A$88&gt;35,BD42+BC43-BL42,IF(A43&lt;'Données projet'!$A$88,$BA$205^A43,IF(A43='Données projet'!$A$88,'Données projet'!$B$88,BD42+BC43-BL42)))</f>
        <v>261.68974358974356</v>
      </c>
      <c r="BE43" s="13">
        <f>BD43*VLOOKUP('Données projet'!$B$11,Paramètres!$A$1:$I$89,3,0)*VLOOKUP('Données projet'!$B$11,Paramètres!$A$1:$I$89,5,0)</f>
        <v>122.47079999999997</v>
      </c>
      <c r="BF43" s="13">
        <f t="shared" si="37"/>
        <v>32.25058748290914</v>
      </c>
      <c r="BG43" s="20">
        <f t="shared" si="7"/>
        <v>269.47308319939998</v>
      </c>
      <c r="BH43" s="59">
        <f t="shared" si="8"/>
        <v>562.80641653273324</v>
      </c>
      <c r="BI43" s="59">
        <f ca="1">AVERAGE(OFFSET($BH$3,0,0,'Données projet'!$E$11+1,1))-AVERAGE(OFFSET($H$3,0,0,'Données projet'!$E$11+1,1))</f>
        <v>183.67580045784649</v>
      </c>
      <c r="BJ43" s="59">
        <f t="shared" si="38"/>
        <v>121.08269345608767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150</v>
      </c>
      <c r="BW43" s="12">
        <f>VLOOKUP(A43,'Données projet'!$A$113:$I$133,9,0)</f>
        <v>7</v>
      </c>
      <c r="BX43" s="12">
        <f t="array" ref="BX43">INDEX(BW:BW,MIN(IF(ISNUMBER(BW43:BW239),ROW(BW43:BW239),"")))</f>
        <v>7</v>
      </c>
      <c r="BY43" s="12">
        <f>IF('Données projet'!$A$114&gt;35,BY42+BX43-CG42,IF(A43&lt;'Données projet'!$A$114,$BV$205^A43,IF(A43='Données projet'!$A$114,'Données projet'!$B$114,BY42+BX43-CG42)))</f>
        <v>150</v>
      </c>
      <c r="BZ43" s="13">
        <f>BY43*VLOOKUP('Données projet'!$B$12,Paramètres!$A$1:$I$89,3,0)*VLOOKUP('Données projet'!$B$12,Paramètres!$A$1:$I$89,5,0)</f>
        <v>131.04000000000002</v>
      </c>
      <c r="CA43" s="13">
        <f t="shared" si="39"/>
        <v>34.236561238949918</v>
      </c>
      <c r="CB43" s="20">
        <f t="shared" si="10"/>
        <v>287.85667749117118</v>
      </c>
      <c r="CC43" s="59">
        <f t="shared" si="11"/>
        <v>581.1900108245045</v>
      </c>
      <c r="CD43" s="59">
        <f ca="1">AVERAGE(OFFSET($CC$3,0,0,'Données projet'!$E$12+1,1))-AVERAGE(OFFSET($H$3,0,0,'Données projet'!$E$12+1,1))</f>
        <v>216.10252108537389</v>
      </c>
      <c r="CE43" s="59">
        <f t="shared" si="40"/>
        <v>196.91968622092054</v>
      </c>
      <c r="CF43" s="15">
        <f>IF(ISNA(VLOOKUP(A43,'Données projet'!$A$113:$I$133,3,0)),0,VLOOKUP(A43,'Données projet'!$A$113:$I$133,3,0))</f>
        <v>5</v>
      </c>
      <c r="CG43" s="15" t="str">
        <f>IF(ISNA(VLOOKUP(A43,'Données projet'!$A$113:$I$133,4,0)),0,VLOOKUP(A43,'Données projet'!$A$113:$I$133,4,0))</f>
        <v>20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0.215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4.1363266982029687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4.1363266982029687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5.4791666666666652</v>
      </c>
      <c r="CT43" s="12">
        <f>IF('Données projet'!$A$140&gt;35,CT42+CS43-DB42,IF(A43&lt;'Données projet'!$A$140,$CQ$205^A43,IF(A43='Données projet'!$A$140,'Données projet'!$B$140,CT42+CS43-DB42)))</f>
        <v>130.13782051282055</v>
      </c>
      <c r="CU43" s="17">
        <f>CT43*VLOOKUP('Données projet'!$B$13,Paramètres!$A$1:$I$89,3,0)*VLOOKUP('Données projet'!$B$13,Paramètres!$A$1:$I$89,5,0)</f>
        <v>117.74870000000004</v>
      </c>
      <c r="CV43" s="13">
        <f t="shared" si="41"/>
        <v>31.149343173536209</v>
      </c>
      <c r="CW43" s="20">
        <f t="shared" si="13"/>
        <v>259.33075852724227</v>
      </c>
      <c r="CX43" s="59">
        <f t="shared" si="14"/>
        <v>552.66409186057558</v>
      </c>
      <c r="CY43" s="59">
        <f ca="1">AVERAGE(OFFSET($CX$3,0,0,'Données projet'!$E$13+1,1))-AVERAGE(OFFSET($H$3,0,0,'Données projet'!$E$13+1,1))</f>
        <v>318.01858325056168</v>
      </c>
      <c r="CZ43" s="59">
        <f t="shared" si="42"/>
        <v>119.46953274700951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19.187999999999999</v>
      </c>
      <c r="D44" s="11">
        <f t="shared" si="32"/>
        <v>6.2695607721610704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196.51450420615564</v>
      </c>
      <c r="H44" s="67">
        <f t="shared" si="1"/>
        <v>337.6719183448472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13.14134615384615</v>
      </c>
      <c r="N44" s="13">
        <f>IF('Données projet'!$A$36&gt;35,N43+M44-V43,IF(A44&lt;'Données projet'!$A$36,$K$205^A44,IF(A44='Données projet'!$A$36,'Données projet'!$B$36,N43+M44-V43)))</f>
        <v>263.72980769230765</v>
      </c>
      <c r="O44" s="13">
        <f>N44*VLOOKUP('Données projet'!$B$9,Paramètres!$A$1:$I$89,3,0)*VLOOKUP('Données projet'!$B$9,Paramètres!$A$1:$I$89,5,0)</f>
        <v>157.71042499999999</v>
      </c>
      <c r="P44" s="13">
        <f t="shared" si="33"/>
        <v>40.325662975074472</v>
      </c>
      <c r="Q44" s="20">
        <f t="shared" si="53"/>
        <v>344.91285322325461</v>
      </c>
      <c r="R44" s="59">
        <f t="shared" si="0"/>
        <v>638.24618655658787</v>
      </c>
      <c r="S44" s="59">
        <f ca="1">AVERAGE(OFFSET($R$3,0,0,'Données projet'!$E$9+1,1))-AVERAGE(OFFSET($H$3,0,0,'Données projet'!$E$9+1,1))</f>
        <v>200.15574321350221</v>
      </c>
      <c r="T44" s="59">
        <f t="shared" si="34"/>
        <v>200.70728852570426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24.000957418468939</v>
      </c>
      <c r="AA44" s="21">
        <f>EXP(-LN(2)/25)*AA43+(1-EXP(-LN(2)/25))/(LN(2)/25)*Calculateur!V44*Calculateur!X44*VLOOKUP('Données projet'!$B$9,Paramètres!$A$1:$I$89,3,0)*0.475*44/12</f>
        <v>16.246021153561355</v>
      </c>
      <c r="AB44" s="21">
        <f>EXP(-LN(2)/2)*AB43+(1-EXP(-LN(2)/2))/(LN(2)/2)*V44*Y44*VLOOKUP('Données projet'!$B$9,Paramètres!$A$1:$I$89,3,0)*0.475*44/12</f>
        <v>1.1209978469140049</v>
      </c>
      <c r="AC44" s="22">
        <f t="shared" si="3"/>
        <v>41.367976418944302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45.407317338461951</v>
      </c>
      <c r="AO44" s="59">
        <f t="shared" si="36"/>
        <v>149.88701606165358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23.670996577436476</v>
      </c>
      <c r="AV44" s="21">
        <f>EXP(-LN(2)/25)*AV43+(1-EXP(-LN(2)/25))/(LN(2)/25)*Calculateur!AQ44*Calculateur!AS44*VLOOKUP('Données projet'!$B$10,Paramètres!$A$1:$I$89,3,0)*0.475*44/12</f>
        <v>4.2780829843868027</v>
      </c>
      <c r="AW44" s="21">
        <f>EXP(-LN(2)/2)*AW43+(1-EXP(-LN(2)/2))/(LN(2)/2)*AQ44*AT44*VLOOKUP('Données projet'!$B$10,Paramètres!$A$1:$I$89,3,0)*0.475*44/12</f>
        <v>7.5521174765433218E-3</v>
      </c>
      <c r="AX44" s="21">
        <f t="shared" si="6"/>
        <v>27.956631679299822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11.443589743589744</v>
      </c>
      <c r="BD44" s="12">
        <f>IF('Données projet'!$A$88&gt;35,BD43+BC44-BL43,IF(A44&lt;'Données projet'!$A$88,$BA$205^A44,IF(A44='Données projet'!$A$88,'Données projet'!$B$88,BD43+BC44-BL43)))</f>
        <v>273.13333333333333</v>
      </c>
      <c r="BE44" s="13">
        <f>BD44*VLOOKUP('Données projet'!$B$11,Paramètres!$A$1:$I$89,3,0)*VLOOKUP('Données projet'!$B$11,Paramètres!$A$1:$I$89,5,0)</f>
        <v>127.82639999999999</v>
      </c>
      <c r="BF44" s="13">
        <f t="shared" si="37"/>
        <v>33.493612376128482</v>
      </c>
      <c r="BG44" s="20">
        <f t="shared" si="7"/>
        <v>280.96568822175709</v>
      </c>
      <c r="BH44" s="59">
        <f t="shared" si="8"/>
        <v>574.29902155509035</v>
      </c>
      <c r="BI44" s="59">
        <f ca="1">AVERAGE(OFFSET($BH$3,0,0,'Données projet'!$E$11+1,1))-AVERAGE(OFFSET($H$3,0,0,'Données projet'!$E$11+1,1))</f>
        <v>183.67580045784649</v>
      </c>
      <c r="BJ44" s="59">
        <f t="shared" si="38"/>
        <v>121.08269345608767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6.4</v>
      </c>
      <c r="BY44" s="12">
        <f>IF('Données projet'!$A$114&gt;35,BY43+BX44-CG43,IF(A44&lt;'Données projet'!$A$114,$BV$205^A44,IF(A44='Données projet'!$A$114,'Données projet'!$B$114,BY43+BX44-CG43)))</f>
        <v>136.4</v>
      </c>
      <c r="BZ44" s="13">
        <f>BY44*VLOOKUP('Données projet'!$B$12,Paramètres!$A$1:$I$89,3,0)*VLOOKUP('Données projet'!$B$12,Paramètres!$A$1:$I$89,5,0)</f>
        <v>119.15904000000003</v>
      </c>
      <c r="CA44" s="13">
        <f t="shared" si="39"/>
        <v>31.478778976043767</v>
      </c>
      <c r="CB44" s="20">
        <f t="shared" si="10"/>
        <v>262.36086804994295</v>
      </c>
      <c r="CC44" s="59">
        <f t="shared" si="11"/>
        <v>555.69420138327632</v>
      </c>
      <c r="CD44" s="59">
        <f ca="1">AVERAGE(OFFSET($CC$3,0,0,'Données projet'!$E$12+1,1))-AVERAGE(OFFSET($H$3,0,0,'Données projet'!$E$12+1,1))</f>
        <v>216.10252108537389</v>
      </c>
      <c r="CE44" s="59">
        <f t="shared" si="40"/>
        <v>196.91968622092054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4.0232186271206416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4.0232186271206416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5.4791666666666652</v>
      </c>
      <c r="CT44" s="12">
        <f>IF('Données projet'!$A$140&gt;35,CT43+CS44-DB43,IF(A44&lt;'Données projet'!$A$140,$CQ$205^A44,IF(A44='Données projet'!$A$140,'Données projet'!$B$140,CT43+CS44-DB43)))</f>
        <v>135.61698717948721</v>
      </c>
      <c r="CU44" s="17">
        <f>CT44*VLOOKUP('Données projet'!$B$13,Paramètres!$A$1:$I$89,3,0)*VLOOKUP('Données projet'!$B$13,Paramètres!$A$1:$I$89,5,0)</f>
        <v>122.70625000000004</v>
      </c>
      <c r="CV44" s="13">
        <f t="shared" si="41"/>
        <v>32.305366081384335</v>
      </c>
      <c r="CW44" s="20">
        <f t="shared" si="13"/>
        <v>269.97856467507779</v>
      </c>
      <c r="CX44" s="59">
        <f t="shared" si="14"/>
        <v>563.31189800841116</v>
      </c>
      <c r="CY44" s="59">
        <f ca="1">AVERAGE(OFFSET($CX$3,0,0,'Données projet'!$E$13+1,1))-AVERAGE(OFFSET($H$3,0,0,'Données projet'!$E$13+1,1))</f>
        <v>318.01858325056168</v>
      </c>
      <c r="CZ44" s="59">
        <f t="shared" si="42"/>
        <v>119.46953274700951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19.655999999999999</v>
      </c>
      <c r="D45" s="11">
        <f t="shared" si="32"/>
        <v>6.4044873715575275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201.16867444711076</v>
      </c>
      <c r="H45" s="67">
        <f t="shared" si="1"/>
        <v>338.72201550546265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13.14134615384615</v>
      </c>
      <c r="N45" s="13">
        <f>IF('Données projet'!$A$36&gt;35,N44+M45-V44,IF(A45&lt;'Données projet'!$A$36,$K$205^A45,IF(A45='Données projet'!$A$36,'Données projet'!$B$36,N44+M45-V44)))</f>
        <v>276.87115384615379</v>
      </c>
      <c r="O45" s="13">
        <f>N45*VLOOKUP('Données projet'!$B$9,Paramètres!$A$1:$I$89,3,0)*VLOOKUP('Données projet'!$B$9,Paramètres!$A$1:$I$89,5,0)</f>
        <v>165.56894999999997</v>
      </c>
      <c r="P45" s="13">
        <f t="shared" si="33"/>
        <v>42.096095514085818</v>
      </c>
      <c r="Q45" s="20">
        <f t="shared" si="53"/>
        <v>361.6832876036994</v>
      </c>
      <c r="R45" s="59">
        <f t="shared" si="0"/>
        <v>655.01662093703271</v>
      </c>
      <c r="S45" s="59">
        <f ca="1">AVERAGE(OFFSET($R$3,0,0,'Données projet'!$E$9+1,1))-AVERAGE(OFFSET($H$3,0,0,'Données projet'!$E$9+1,1))</f>
        <v>200.15574321350221</v>
      </c>
      <c r="T45" s="59">
        <f t="shared" si="34"/>
        <v>200.70728852570426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23.530313282631294</v>
      </c>
      <c r="AA45" s="21">
        <f>EXP(-LN(2)/25)*AA44+(1-EXP(-LN(2)/25))/(LN(2)/25)*Calculateur!V45*Calculateur!X45*VLOOKUP('Données projet'!$B$9,Paramètres!$A$1:$I$89,3,0)*0.475*44/12</f>
        <v>15.801772850776098</v>
      </c>
      <c r="AB45" s="21">
        <f>EXP(-LN(2)/2)*AB44+(1-EXP(-LN(2)/2))/(LN(2)/2)*V45*Y45*VLOOKUP('Données projet'!$B$9,Paramètres!$A$1:$I$89,3,0)*0.475*44/12</f>
        <v>0.79266517924841229</v>
      </c>
      <c r="AC45" s="22">
        <f t="shared" si="3"/>
        <v>40.124751312655803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45.407317338461951</v>
      </c>
      <c r="AO45" s="59">
        <f t="shared" si="36"/>
        <v>149.88701606165358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23.206822772435238</v>
      </c>
      <c r="AV45" s="21">
        <f>EXP(-LN(2)/25)*AV44+(1-EXP(-LN(2)/25))/(LN(2)/25)*Calculateur!AQ45*Calculateur!AS45*VLOOKUP('Données projet'!$B$10,Paramètres!$A$1:$I$89,3,0)*0.475*44/12</f>
        <v>4.1610985802041389</v>
      </c>
      <c r="AW45" s="21">
        <f>EXP(-LN(2)/2)*AW44+(1-EXP(-LN(2)/2))/(LN(2)/2)*AQ45*AT45*VLOOKUP('Données projet'!$B$10,Paramètres!$A$1:$I$89,3,0)*0.475*44/12</f>
        <v>5.3401534799812208E-3</v>
      </c>
      <c r="AX45" s="21">
        <f t="shared" si="6"/>
        <v>27.373261506119359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11.443589743589744</v>
      </c>
      <c r="BD45" s="12">
        <f>IF('Données projet'!$A$88&gt;35,BD44+BC45-BL44,IF(A45&lt;'Données projet'!$A$88,$BA$205^A45,IF(A45='Données projet'!$A$88,'Données projet'!$B$88,BD44+BC45-BL44)))</f>
        <v>284.57692307692309</v>
      </c>
      <c r="BE45" s="13">
        <f>BD45*VLOOKUP('Données projet'!$B$11,Paramètres!$A$1:$I$89,3,0)*VLOOKUP('Données projet'!$B$11,Paramètres!$A$1:$I$89,5,0)</f>
        <v>133.18200000000002</v>
      </c>
      <c r="BF45" s="13">
        <f t="shared" si="37"/>
        <v>34.730588096149795</v>
      </c>
      <c r="BG45" s="20">
        <f t="shared" si="7"/>
        <v>292.44775760079426</v>
      </c>
      <c r="BH45" s="59">
        <f t="shared" si="8"/>
        <v>585.78109093412763</v>
      </c>
      <c r="BI45" s="59">
        <f ca="1">AVERAGE(OFFSET($BH$3,0,0,'Données projet'!$E$11+1,1))-AVERAGE(OFFSET($H$3,0,0,'Données projet'!$E$11+1,1))</f>
        <v>183.67580045784649</v>
      </c>
      <c r="BJ45" s="59">
        <f t="shared" si="38"/>
        <v>121.08269345608767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6.4</v>
      </c>
      <c r="BY45" s="12">
        <f>IF('Données projet'!$A$114&gt;35,BY44+BX45-CG44,IF(A45&lt;'Données projet'!$A$114,$BV$205^A45,IF(A45='Données projet'!$A$114,'Données projet'!$B$114,BY44+BX45-CG44)))</f>
        <v>142.80000000000001</v>
      </c>
      <c r="BZ45" s="13">
        <f>BY45*VLOOKUP('Données projet'!$B$12,Paramètres!$A$1:$I$89,3,0)*VLOOKUP('Données projet'!$B$12,Paramètres!$A$1:$I$89,5,0)</f>
        <v>124.75008000000003</v>
      </c>
      <c r="CA45" s="13">
        <f t="shared" si="39"/>
        <v>32.780361960132396</v>
      </c>
      <c r="CB45" s="20">
        <f t="shared" si="10"/>
        <v>274.36551974723062</v>
      </c>
      <c r="CC45" s="59">
        <f t="shared" si="11"/>
        <v>567.69885308056394</v>
      </c>
      <c r="CD45" s="59">
        <f ca="1">AVERAGE(OFFSET($CC$3,0,0,'Données projet'!$E$12+1,1))-AVERAGE(OFFSET($H$3,0,0,'Données projet'!$E$12+1,1))</f>
        <v>216.10252108537389</v>
      </c>
      <c r="CE45" s="59">
        <f t="shared" si="40"/>
        <v>196.91968622092054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3.9132035021901554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3.9132035021901554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141.09615384615384</v>
      </c>
      <c r="CR45" s="12">
        <f>VLOOKUP(A45,'Données projet'!$A$139:$I$159,9,0)</f>
        <v>5.4791666666666652</v>
      </c>
      <c r="CS45" s="12">
        <f t="array" ref="CS45">INDEX(CR:CR,MIN(IF(ISNUMBER(CR45:CR241),ROW(CR45:CR241),"")))</f>
        <v>5.4791666666666652</v>
      </c>
      <c r="CT45" s="12">
        <f>IF('Données projet'!$A$140&gt;35,CT44+CS45-DB44,IF(A45&lt;'Données projet'!$A$140,$CQ$205^A45,IF(A45='Données projet'!$A$140,'Données projet'!$B$140,CT44+CS45-DB44)))</f>
        <v>141.09615384615387</v>
      </c>
      <c r="CU45" s="17">
        <f>CT45*VLOOKUP('Données projet'!$B$13,Paramètres!$A$1:$I$89,3,0)*VLOOKUP('Données projet'!$B$13,Paramètres!$A$1:$I$89,5,0)</f>
        <v>127.66380000000002</v>
      </c>
      <c r="CV45" s="13">
        <f t="shared" si="41"/>
        <v>33.455963688122218</v>
      </c>
      <c r="CW45" s="20">
        <f t="shared" si="13"/>
        <v>280.61692175681293</v>
      </c>
      <c r="CX45" s="59">
        <f t="shared" si="14"/>
        <v>573.95025509014624</v>
      </c>
      <c r="CY45" s="59">
        <f ca="1">AVERAGE(OFFSET($CX$3,0,0,'Données projet'!$E$13+1,1))-AVERAGE(OFFSET($H$3,0,0,'Données projet'!$E$13+1,1))</f>
        <v>318.01858325056168</v>
      </c>
      <c r="CZ45" s="59">
        <f t="shared" si="42"/>
        <v>119.46953274700951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38.685897435897438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46" s="11">
        <f t="shared" si="32"/>
        <v>6.539040511923969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205.81996184643063</v>
      </c>
      <c r="H46" s="67">
        <f t="shared" si="1"/>
        <v>339.77146222493423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13.14134615384615</v>
      </c>
      <c r="N46" s="13">
        <f>IF('Données projet'!$A$36&gt;35,N45+M46-V45,IF(A46&lt;'Données projet'!$A$36,$K$205^A46,IF(A46='Données projet'!$A$36,'Données projet'!$B$36,N45+M46-V45)))</f>
        <v>290.01249999999993</v>
      </c>
      <c r="O46" s="13">
        <f>N46*VLOOKUP('Données projet'!$B$9,Paramètres!$A$1:$I$89,3,0)*VLOOKUP('Données projet'!$B$9,Paramètres!$A$1:$I$89,5,0)</f>
        <v>173.42747499999999</v>
      </c>
      <c r="P46" s="13">
        <f t="shared" si="33"/>
        <v>43.856769901180428</v>
      </c>
      <c r="Q46" s="20">
        <f t="shared" si="53"/>
        <v>378.43672653622252</v>
      </c>
      <c r="R46" s="59">
        <f t="shared" si="0"/>
        <v>671.77005986955578</v>
      </c>
      <c r="S46" s="59">
        <f ca="1">AVERAGE(OFFSET($R$3,0,0,'Données projet'!$E$9+1,1))-AVERAGE(OFFSET($H$3,0,0,'Données projet'!$E$9+1,1))</f>
        <v>200.15574321350221</v>
      </c>
      <c r="T46" s="59">
        <f t="shared" si="34"/>
        <v>200.70728852570426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23.068898191232847</v>
      </c>
      <c r="AA46" s="21">
        <f>EXP(-LN(2)/25)*AA45+(1-EXP(-LN(2)/25))/(LN(2)/25)*Calculateur!V46*Calculateur!X46*VLOOKUP('Données projet'!$B$9,Paramètres!$A$1:$I$89,3,0)*0.475*44/12</f>
        <v>15.369672541192507</v>
      </c>
      <c r="AB46" s="21">
        <f>EXP(-LN(2)/2)*AB45+(1-EXP(-LN(2)/2))/(LN(2)/2)*V46*Y46*VLOOKUP('Données projet'!$B$9,Paramètres!$A$1:$I$89,3,0)*0.475*44/12</f>
        <v>0.56049892345700258</v>
      </c>
      <c r="AC46" s="22">
        <f t="shared" si="3"/>
        <v>38.999069655882359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45.407317338461951</v>
      </c>
      <c r="AO46" s="59">
        <f t="shared" si="36"/>
        <v>149.88701606165358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22.751751132632009</v>
      </c>
      <c r="AV46" s="21">
        <f>EXP(-LN(2)/25)*AV45+(1-EXP(-LN(2)/25))/(LN(2)/25)*Calculateur!AQ46*Calculateur!AS46*VLOOKUP('Données projet'!$B$10,Paramètres!$A$1:$I$89,3,0)*0.475*44/12</f>
        <v>4.0473131207057929</v>
      </c>
      <c r="AW46" s="21">
        <f>EXP(-LN(2)/2)*AW45+(1-EXP(-LN(2)/2))/(LN(2)/2)*AQ46*AT46*VLOOKUP('Données projet'!$B$10,Paramètres!$A$1:$I$89,3,0)*0.475*44/12</f>
        <v>3.7760587382716618E-3</v>
      </c>
      <c r="AX46" s="21">
        <f t="shared" si="6"/>
        <v>26.802840312076075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11.443589743589744</v>
      </c>
      <c r="BD46" s="12">
        <f>IF('Données projet'!$A$88&gt;35,BD45+BC46-BL45,IF(A46&lt;'Données projet'!$A$88,$BA$205^A46,IF(A46='Données projet'!$A$88,'Données projet'!$B$88,BD45+BC46-BL45)))</f>
        <v>296.02051282051286</v>
      </c>
      <c r="BE46" s="13">
        <f>BD46*VLOOKUP('Données projet'!$B$11,Paramètres!$A$1:$I$89,3,0)*VLOOKUP('Données projet'!$B$11,Paramètres!$A$1:$I$89,5,0)</f>
        <v>138.53760000000003</v>
      </c>
      <c r="BF46" s="13">
        <f t="shared" si="37"/>
        <v>35.9617857252005</v>
      </c>
      <c r="BG46" s="20">
        <f t="shared" si="7"/>
        <v>303.91976347139087</v>
      </c>
      <c r="BH46" s="59">
        <f t="shared" si="8"/>
        <v>597.25309680472424</v>
      </c>
      <c r="BI46" s="59">
        <f ca="1">AVERAGE(OFFSET($BH$3,0,0,'Données projet'!$E$11+1,1))-AVERAGE(OFFSET($H$3,0,0,'Données projet'!$E$11+1,1))</f>
        <v>183.67580045784649</v>
      </c>
      <c r="BJ46" s="59">
        <f t="shared" si="38"/>
        <v>121.08269345608767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6.4</v>
      </c>
      <c r="BY46" s="12">
        <f>IF('Données projet'!$A$114&gt;35,BY45+BX46-CG45,IF(A46&lt;'Données projet'!$A$114,$BV$205^A46,IF(A46='Données projet'!$A$114,'Données projet'!$B$114,BY45+BX46-CG45)))</f>
        <v>149.20000000000002</v>
      </c>
      <c r="BZ46" s="13">
        <f>BY46*VLOOKUP('Données projet'!$B$12,Paramètres!$A$1:$I$89,3,0)*VLOOKUP('Données projet'!$B$12,Paramètres!$A$1:$I$89,5,0)</f>
        <v>130.34112000000005</v>
      </c>
      <c r="CA46" s="13">
        <f t="shared" si="39"/>
        <v>34.075170122989917</v>
      </c>
      <c r="CB46" s="20">
        <f t="shared" si="10"/>
        <v>286.35837196420749</v>
      </c>
      <c r="CC46" s="59">
        <f t="shared" si="11"/>
        <v>579.69170529754081</v>
      </c>
      <c r="CD46" s="59">
        <f ca="1">AVERAGE(OFFSET($CC$3,0,0,'Données projet'!$E$12+1,1))-AVERAGE(OFFSET($H$3,0,0,'Données projet'!$E$12+1,1))</f>
        <v>216.10252108537389</v>
      </c>
      <c r="CE46" s="59">
        <f t="shared" si="40"/>
        <v>196.91968622092054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3.8061967466363371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3.8061967466363371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7.143429487179489</v>
      </c>
      <c r="CT46" s="12">
        <f>IF('Données projet'!$A$140&gt;35,CT45+CS46-DB45,IF(A46&lt;'Données projet'!$A$140,$CQ$205^A46,IF(A46='Données projet'!$A$140,'Données projet'!$B$140,CT45+CS46-DB45)))</f>
        <v>109.55368589743594</v>
      </c>
      <c r="CU46" s="17">
        <f>CT46*VLOOKUP('Données projet'!$B$13,Paramètres!$A$1:$I$89,3,0)*VLOOKUP('Données projet'!$B$13,Paramètres!$A$1:$I$89,5,0)</f>
        <v>99.124175000000037</v>
      </c>
      <c r="CV46" s="13">
        <f t="shared" si="41"/>
        <v>26.753237614333433</v>
      </c>
      <c r="CW46" s="20">
        <f t="shared" si="13"/>
        <v>219.2364936366308</v>
      </c>
      <c r="CX46" s="59">
        <f t="shared" si="14"/>
        <v>512.56982696996408</v>
      </c>
      <c r="CY46" s="59">
        <f ca="1">AVERAGE(OFFSET($CX$3,0,0,'Données projet'!$E$13+1,1))-AVERAGE(OFFSET($H$3,0,0,'Données projet'!$E$13+1,1))</f>
        <v>318.01858325056168</v>
      </c>
      <c r="CZ46" s="59">
        <f t="shared" si="42"/>
        <v>119.46953274700951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20.591999999999999</v>
      </c>
      <c r="D47" s="11">
        <f t="shared" si="32"/>
        <v>6.6732298779519512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210.46844116313787</v>
      </c>
      <c r="H47" s="67">
        <f t="shared" si="1"/>
        <v>340.8202753707663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303.15384615384613</v>
      </c>
      <c r="L47" s="12">
        <f>VLOOKUP(A47,'Données projet'!$A$35:$I$55,9,0)</f>
        <v>13.14134615384615</v>
      </c>
      <c r="M47" s="12">
        <f t="array" ref="M47">INDEX(L:L,MIN(IF(ISNUMBER(L47:L243),ROW(L47:L243),"")))</f>
        <v>13.14134615384615</v>
      </c>
      <c r="N47" s="13">
        <f>IF('Données projet'!$A$36&gt;35,N46+M47-V46,IF(A47&lt;'Données projet'!$A$36,$K$205^A47,IF(A47='Données projet'!$A$36,'Données projet'!$B$36,N46+M47-V46)))</f>
        <v>303.15384615384608</v>
      </c>
      <c r="O47" s="13">
        <f>N47*VLOOKUP('Données projet'!$B$9,Paramètres!$A$1:$I$89,3,0)*VLOOKUP('Données projet'!$B$9,Paramètres!$A$1:$I$89,5,0)</f>
        <v>181.28599999999997</v>
      </c>
      <c r="P47" s="13">
        <f t="shared" si="33"/>
        <v>45.608178821536583</v>
      </c>
      <c r="Q47" s="20">
        <f t="shared" si="53"/>
        <v>395.17402811417611</v>
      </c>
      <c r="R47" s="59">
        <f t="shared" si="0"/>
        <v>688.50736144750942</v>
      </c>
      <c r="S47" s="59">
        <f ca="1">AVERAGE(OFFSET($R$3,0,0,'Données projet'!$E$9+1,1))-AVERAGE(OFFSET($H$3,0,0,'Données projet'!$E$9+1,1))</f>
        <v>200.15574321350221</v>
      </c>
      <c r="T47" s="59">
        <f t="shared" si="34"/>
        <v>200.70728852570426</v>
      </c>
      <c r="U47" s="15">
        <f>IF(ISNA(VLOOKUP(A47,'Données projet'!$A$35:$I$55,3,0)),0,VLOOKUP(A47,'Données projet'!$A$35:$I$55,3,0))</f>
        <v>5</v>
      </c>
      <c r="V47" s="15">
        <f>IF(ISNA(VLOOKUP(A47,'Données projet'!$A$35:$I$55,4,0)),0,VLOOKUP(A47,'Données projet'!$A$35:$I$55,4,0))</f>
        <v>64.476923076923072</v>
      </c>
      <c r="W47" s="16">
        <f>IF(ISNA(VLOOKUP(A47,'Données projet'!$A$35:$I$55,5,0)),0%,VLOOKUP(A47,'Données projet'!$A$35:$I$55,5,0)*VLOOKUP('Données projet'!$B$9,Paramètres!$A$1:$I$89,7,0))</f>
        <v>0.315</v>
      </c>
      <c r="X47" s="16">
        <f>IF(ISNA(VLOOKUP(A47,'Données projet'!$A$35:$I$55,6,0)),0%,VLOOKUP(A47,'Données projet'!$A$35:$I$55,6,0)*VLOOKUP('Données projet'!$B$9,Paramètres!$A$1:$I$89,7,0))</f>
        <v>7.5600000000000001E-2</v>
      </c>
      <c r="Y47" s="16">
        <f>IF(ISNA(VLOOKUP(A47,'Données projet'!$A$35:$I$55,7,0)),0%,VLOOKUP(A47,'Données projet'!$A$35:$I$55,7,0))</f>
        <v>0.13200000000000001</v>
      </c>
      <c r="Z47" s="21">
        <f>EXP(-LN(2)/35)*Z46+(1-EXP(-LN(2)/35))/(LN(2)/35)*V47*W47*VLOOKUP('Données projet'!$B$9,Paramètres!$A$1:$I$89,3,0)*0.475*44/12</f>
        <v>38.728343640042439</v>
      </c>
      <c r="AA47" s="21">
        <f>EXP(-LN(2)/25)*AA46+(1-EXP(-LN(2)/25))/(LN(2)/25)*Calculateur!V47*Calculateur!X47*VLOOKUP('Données projet'!$B$9,Paramètres!$A$1:$I$89,3,0)*0.475*44/12</f>
        <v>18.800997827758014</v>
      </c>
      <c r="AB47" s="21">
        <f>EXP(-LN(2)/2)*AB46+(1-EXP(-LN(2)/2))/(LN(2)/2)*V47*Y47*VLOOKUP('Données projet'!$B$9,Paramètres!$A$1:$I$89,3,0)*0.475*44/12</f>
        <v>6.1588859323929501</v>
      </c>
      <c r="AC47" s="22">
        <f t="shared" si="3"/>
        <v>63.688227400193398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45.407317338461951</v>
      </c>
      <c r="AO47" s="59">
        <f t="shared" si="36"/>
        <v>149.88701606165358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22.305603170119028</v>
      </c>
      <c r="AV47" s="21">
        <f>EXP(-LN(2)/25)*AV46+(1-EXP(-LN(2)/25))/(LN(2)/25)*Calculateur!AQ47*Calculateur!AS47*VLOOKUP('Données projet'!$B$10,Paramètres!$A$1:$I$89,3,0)*0.475*44/12</f>
        <v>3.9366391305811463</v>
      </c>
      <c r="AW47" s="21">
        <f>EXP(-LN(2)/2)*AW46+(1-EXP(-LN(2)/2))/(LN(2)/2)*AQ47*AT47*VLOOKUP('Données projet'!$B$10,Paramètres!$A$1:$I$89,3,0)*0.475*44/12</f>
        <v>2.6700767399906108E-3</v>
      </c>
      <c r="AX47" s="21">
        <f t="shared" si="6"/>
        <v>26.244912377440166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11.443589743589744</v>
      </c>
      <c r="BD47" s="12">
        <f>IF('Données projet'!$A$88&gt;35,BD46+BC47-BL46,IF(A47&lt;'Données projet'!$A$88,$BA$205^A47,IF(A47='Données projet'!$A$88,'Données projet'!$B$88,BD46+BC47-BL46)))</f>
        <v>307.46410256410263</v>
      </c>
      <c r="BE47" s="13">
        <f>BD47*VLOOKUP('Données projet'!$B$11,Paramètres!$A$1:$I$89,3,0)*VLOOKUP('Données projet'!$B$11,Paramètres!$A$1:$I$89,5,0)</f>
        <v>143.89320000000004</v>
      </c>
      <c r="BF47" s="13">
        <f t="shared" si="37"/>
        <v>37.187454199603145</v>
      </c>
      <c r="BG47" s="20">
        <f t="shared" si="7"/>
        <v>315.38213939764222</v>
      </c>
      <c r="BH47" s="59">
        <f t="shared" si="8"/>
        <v>608.71547273097553</v>
      </c>
      <c r="BI47" s="59">
        <f ca="1">AVERAGE(OFFSET($BH$3,0,0,'Données projet'!$E$11+1,1))-AVERAGE(OFFSET($H$3,0,0,'Données projet'!$E$11+1,1))</f>
        <v>183.67580045784649</v>
      </c>
      <c r="BJ47" s="59">
        <f t="shared" si="38"/>
        <v>121.08269345608767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6.4</v>
      </c>
      <c r="BY47" s="12">
        <f>IF('Données projet'!$A$114&gt;35,BY46+BX47-CG46,IF(A47&lt;'Données projet'!$A$114,$BV$205^A47,IF(A47='Données projet'!$A$114,'Données projet'!$B$114,BY46+BX47-CG46)))</f>
        <v>155.60000000000002</v>
      </c>
      <c r="BZ47" s="13">
        <f>BY47*VLOOKUP('Données projet'!$B$12,Paramètres!$A$1:$I$89,3,0)*VLOOKUP('Données projet'!$B$12,Paramètres!$A$1:$I$89,5,0)</f>
        <v>135.93216000000004</v>
      </c>
      <c r="CA47" s="13">
        <f t="shared" si="39"/>
        <v>35.36352729450968</v>
      </c>
      <c r="CB47" s="20">
        <f t="shared" si="10"/>
        <v>298.33998870460442</v>
      </c>
      <c r="CC47" s="59">
        <f t="shared" si="11"/>
        <v>591.67332203793774</v>
      </c>
      <c r="CD47" s="59">
        <f ca="1">AVERAGE(OFFSET($CC$3,0,0,'Données projet'!$E$12+1,1))-AVERAGE(OFFSET($H$3,0,0,'Données projet'!$E$12+1,1))</f>
        <v>216.10252108537389</v>
      </c>
      <c r="CE47" s="59">
        <f t="shared" si="40"/>
        <v>196.91968622092054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3.7021160964403785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3.7021160964403785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7.143429487179489</v>
      </c>
      <c r="CT47" s="12">
        <f>IF('Données projet'!$A$140&gt;35,CT46+CS47-DB46,IF(A47&lt;'Données projet'!$A$140,$CQ$205^A47,IF(A47='Données projet'!$A$140,'Données projet'!$B$140,CT46+CS47-DB46)))</f>
        <v>116.69711538461543</v>
      </c>
      <c r="CU47" s="17">
        <f>CT47*VLOOKUP('Données projet'!$B$13,Paramètres!$A$1:$I$89,3,0)*VLOOKUP('Données projet'!$B$13,Paramètres!$A$1:$I$89,5,0)</f>
        <v>105.58755000000002</v>
      </c>
      <c r="CV47" s="13">
        <f t="shared" si="41"/>
        <v>28.288912863611589</v>
      </c>
      <c r="CW47" s="20">
        <f t="shared" si="13"/>
        <v>233.16817282079023</v>
      </c>
      <c r="CX47" s="59">
        <f t="shared" si="14"/>
        <v>526.50150615412349</v>
      </c>
      <c r="CY47" s="59">
        <f ca="1">AVERAGE(OFFSET($CX$3,0,0,'Données projet'!$E$13+1,1))-AVERAGE(OFFSET($H$3,0,0,'Données projet'!$E$13+1,1))</f>
        <v>318.01858325056168</v>
      </c>
      <c r="CZ47" s="59">
        <f t="shared" si="42"/>
        <v>119.46953274700951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</v>
      </c>
      <c r="D48" s="11">
        <f t="shared" si="32"/>
        <v>6.8070646889944983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215.11418356416803</v>
      </c>
      <c r="H48" s="67">
        <f t="shared" si="1"/>
        <v>341.86847099999875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11.642307692307696</v>
      </c>
      <c r="N48" s="13">
        <f>IF('Données projet'!$A$36&gt;35,N47+M48-V47,IF(A48&lt;'Données projet'!$A$36,$K$205^A48,IF(A48='Données projet'!$A$36,'Données projet'!$B$36,N47+M48-V47)))</f>
        <v>250.31923076923067</v>
      </c>
      <c r="O48" s="13">
        <f>N48*VLOOKUP('Données projet'!$B$9,Paramètres!$A$1:$I$89,3,0)*VLOOKUP('Données projet'!$B$9,Paramètres!$A$1:$I$89,5,0)</f>
        <v>149.69089999999994</v>
      </c>
      <c r="P48" s="13">
        <f t="shared" si="33"/>
        <v>38.508333105793902</v>
      </c>
      <c r="Q48" s="20">
        <f t="shared" si="53"/>
        <v>327.7803309925909</v>
      </c>
      <c r="R48" s="59">
        <f t="shared" si="0"/>
        <v>621.11366432592422</v>
      </c>
      <c r="S48" s="59">
        <f ca="1">AVERAGE(OFFSET($R$3,0,0,'Données projet'!$E$9+1,1))-AVERAGE(OFFSET($H$3,0,0,'Données projet'!$E$9+1,1))</f>
        <v>200.15574321350221</v>
      </c>
      <c r="T48" s="59">
        <f t="shared" si="34"/>
        <v>200.70728852570426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37.968904443218349</v>
      </c>
      <c r="AA48" s="21">
        <f>EXP(-LN(2)/25)*AA47+(1-EXP(-LN(2)/25))/(LN(2)/25)*Calculateur!V48*Calculateur!X48*VLOOKUP('Données projet'!$B$9,Paramètres!$A$1:$I$89,3,0)*0.475*44/12</f>
        <v>18.286883553456466</v>
      </c>
      <c r="AB48" s="21">
        <f>EXP(-LN(2)/2)*AB47+(1-EXP(-LN(2)/2))/(LN(2)/2)*V48*Y48*VLOOKUP('Données projet'!$B$9,Paramètres!$A$1:$I$89,3,0)*0.475*44/12</f>
        <v>4.354990007349488</v>
      </c>
      <c r="AC48" s="22">
        <f t="shared" si="3"/>
        <v>60.610778004024297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45.407317338461951</v>
      </c>
      <c r="AO48" s="59">
        <f t="shared" si="36"/>
        <v>149.88701606165358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21.868203897027538</v>
      </c>
      <c r="AV48" s="21">
        <f>EXP(-LN(2)/25)*AV47+(1-EXP(-LN(2)/25))/(LN(2)/25)*Calculateur!AQ48*Calculateur!AS48*VLOOKUP('Données projet'!$B$10,Paramètres!$A$1:$I$89,3,0)*0.475*44/12</f>
        <v>3.8289915265365502</v>
      </c>
      <c r="AW48" s="21">
        <f>EXP(-LN(2)/2)*AW47+(1-EXP(-LN(2)/2))/(LN(2)/2)*AQ48*AT48*VLOOKUP('Données projet'!$B$10,Paramètres!$A$1:$I$89,3,0)*0.475*44/12</f>
        <v>1.8880293691358311E-3</v>
      </c>
      <c r="AX48" s="21">
        <f t="shared" si="6"/>
        <v>25.699083452933227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11.443589743589744</v>
      </c>
      <c r="BD48" s="12">
        <f>IF('Données projet'!$A$88&gt;35,BD47+BC48-BL47,IF(A48&lt;'Données projet'!$A$88,$BA$205^A48,IF(A48='Données projet'!$A$88,'Données projet'!$B$88,BD47+BC48-BL47)))</f>
        <v>318.9076923076924</v>
      </c>
      <c r="BE48" s="13">
        <f>BD48*VLOOKUP('Données projet'!$B$11,Paramètres!$A$1:$I$89,3,0)*VLOOKUP('Données projet'!$B$11,Paramètres!$A$1:$I$89,5,0)</f>
        <v>149.24880000000005</v>
      </c>
      <c r="BF48" s="13">
        <f t="shared" si="37"/>
        <v>38.40782287536252</v>
      </c>
      <c r="BG48" s="20">
        <f t="shared" si="7"/>
        <v>326.83528484125645</v>
      </c>
      <c r="BH48" s="59">
        <f t="shared" si="8"/>
        <v>620.16861817458971</v>
      </c>
      <c r="BI48" s="59">
        <f ca="1">AVERAGE(OFFSET($BH$3,0,0,'Données projet'!$E$11+1,1))-AVERAGE(OFFSET($H$3,0,0,'Données projet'!$E$11+1,1))</f>
        <v>183.67580045784649</v>
      </c>
      <c r="BJ48" s="59">
        <f t="shared" si="38"/>
        <v>121.08269345608767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162</v>
      </c>
      <c r="BW48" s="12">
        <f>VLOOKUP(A48,'Données projet'!$A$113:$I$133,9,0)</f>
        <v>6.4</v>
      </c>
      <c r="BX48" s="12">
        <f t="array" ref="BX48">INDEX(BW:BW,MIN(IF(ISNUMBER(BW48:BW244),ROW(BW48:BW244),"")))</f>
        <v>6.4</v>
      </c>
      <c r="BY48" s="12">
        <f>IF('Données projet'!$A$114&gt;35,BY47+BX48-CG47,IF(A48&lt;'Données projet'!$A$114,$BV$205^A48,IF(A48='Données projet'!$A$114,'Données projet'!$B$114,BY47+BX48-CG47)))</f>
        <v>162.00000000000003</v>
      </c>
      <c r="BZ48" s="13">
        <f>BY48*VLOOKUP('Données projet'!$B$12,Paramètres!$A$1:$I$89,3,0)*VLOOKUP('Données projet'!$B$12,Paramètres!$A$1:$I$89,5,0)</f>
        <v>141.52320000000006</v>
      </c>
      <c r="CA48" s="13">
        <f t="shared" si="39"/>
        <v>36.645729158274158</v>
      </c>
      <c r="CB48" s="20">
        <f t="shared" si="10"/>
        <v>310.31088495066086</v>
      </c>
      <c r="CC48" s="59">
        <f t="shared" si="11"/>
        <v>603.64421828399418</v>
      </c>
      <c r="CD48" s="59">
        <f ca="1">AVERAGE(OFFSET($CC$3,0,0,'Données projet'!$E$12+1,1))-AVERAGE(OFFSET($H$3,0,0,'Données projet'!$E$12+1,1))</f>
        <v>216.10252108537389</v>
      </c>
      <c r="CE48" s="59">
        <f t="shared" si="40"/>
        <v>196.91968622092054</v>
      </c>
      <c r="CF48" s="15">
        <f>IF(ISNA(VLOOKUP(A48,'Données projet'!$A$113:$I$133,3,0)),0,VLOOKUP(A48,'Données projet'!$A$113:$I$133,3,0))</f>
        <v>6</v>
      </c>
      <c r="CG48" s="15" t="str">
        <f>IF(ISNA(VLOOKUP(A48,'Données projet'!$A$113:$I$133,4,0)),0,VLOOKUP(A48,'Données projet'!$A$113:$I$133,4,0))</f>
        <v>19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0.215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7.530391900390212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7.530391900390212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7.143429487179489</v>
      </c>
      <c r="CT48" s="12">
        <f>IF('Données projet'!$A$140&gt;35,CT47+CS48-DB47,IF(A48&lt;'Données projet'!$A$140,$CQ$205^A48,IF(A48='Données projet'!$A$140,'Données projet'!$B$140,CT47+CS48-DB47)))</f>
        <v>123.84054487179492</v>
      </c>
      <c r="CU48" s="17">
        <f>CT48*VLOOKUP('Données projet'!$B$13,Paramètres!$A$1:$I$89,3,0)*VLOOKUP('Données projet'!$B$13,Paramètres!$A$1:$I$89,5,0)</f>
        <v>112.05092500000003</v>
      </c>
      <c r="CV48" s="13">
        <f t="shared" si="41"/>
        <v>29.813677753924459</v>
      </c>
      <c r="CW48" s="20">
        <f t="shared" si="13"/>
        <v>247.08084979641851</v>
      </c>
      <c r="CX48" s="59">
        <f t="shared" si="14"/>
        <v>540.41418312975179</v>
      </c>
      <c r="CY48" s="59">
        <f ca="1">AVERAGE(OFFSET($CX$3,0,0,'Données projet'!$E$13+1,1))-AVERAGE(OFFSET($H$3,0,0,'Données projet'!$E$13+1,1))</f>
        <v>318.01858325056168</v>
      </c>
      <c r="CZ48" s="59">
        <f t="shared" si="42"/>
        <v>119.46953274700951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49" s="11">
        <f t="shared" si="32"/>
        <v>6.9405537312613585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219.75725687289471</v>
      </c>
      <c r="H49" s="67">
        <f t="shared" si="1"/>
        <v>342.91606441528018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11.642307692307696</v>
      </c>
      <c r="N49" s="13">
        <f>IF('Données projet'!$A$36&gt;35,N48+M49-V48,IF(A49&lt;'Données projet'!$A$36,$K$205^A49,IF(A49='Données projet'!$A$36,'Données projet'!$B$36,N48+M49-V48)))</f>
        <v>261.96153846153834</v>
      </c>
      <c r="O49" s="13">
        <f>N49*VLOOKUP('Données projet'!$B$9,Paramètres!$A$1:$I$89,3,0)*VLOOKUP('Données projet'!$B$9,Paramètres!$A$1:$I$89,5,0)</f>
        <v>156.65299999999993</v>
      </c>
      <c r="P49" s="13">
        <f t="shared" si="33"/>
        <v>40.0866638793565</v>
      </c>
      <c r="Q49" s="20">
        <f t="shared" si="53"/>
        <v>342.65491458987913</v>
      </c>
      <c r="R49" s="59">
        <f t="shared" si="0"/>
        <v>635.98824792321238</v>
      </c>
      <c r="S49" s="59">
        <f ca="1">AVERAGE(OFFSET($R$3,0,0,'Données projet'!$E$9+1,1))-AVERAGE(OFFSET($H$3,0,0,'Données projet'!$E$9+1,1))</f>
        <v>200.15574321350221</v>
      </c>
      <c r="T49" s="59">
        <f t="shared" si="34"/>
        <v>200.70728852570426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37.224357385831809</v>
      </c>
      <c r="AA49" s="21">
        <f>EXP(-LN(2)/25)*AA48+(1-EXP(-LN(2)/25))/(LN(2)/25)*Calculateur!V49*Calculateur!X49*VLOOKUP('Données projet'!$B$9,Paramètres!$A$1:$I$89,3,0)*0.475*44/12</f>
        <v>17.786827761021787</v>
      </c>
      <c r="AB49" s="21">
        <f>EXP(-LN(2)/2)*AB48+(1-EXP(-LN(2)/2))/(LN(2)/2)*V49*Y49*VLOOKUP('Données projet'!$B$9,Paramètres!$A$1:$I$89,3,0)*0.475*44/12</f>
        <v>3.0794429661964755</v>
      </c>
      <c r="AC49" s="22">
        <f t="shared" si="3"/>
        <v>58.090628113050066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45.407317338461951</v>
      </c>
      <c r="AO49" s="59">
        <f t="shared" si="36"/>
        <v>149.88701606165358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21.439381756894157</v>
      </c>
      <c r="AV49" s="21">
        <f>EXP(-LN(2)/25)*AV48+(1-EXP(-LN(2)/25))/(LN(2)/25)*Calculateur!AQ49*Calculateur!AS49*VLOOKUP('Données projet'!$B$10,Paramètres!$A$1:$I$89,3,0)*0.475*44/12</f>
        <v>3.724287551885495</v>
      </c>
      <c r="AW49" s="21">
        <f>EXP(-LN(2)/2)*AW48+(1-EXP(-LN(2)/2))/(LN(2)/2)*AQ49*AT49*VLOOKUP('Données projet'!$B$10,Paramètres!$A$1:$I$89,3,0)*0.475*44/12</f>
        <v>1.3350383699953056E-3</v>
      </c>
      <c r="AX49" s="21">
        <f t="shared" si="6"/>
        <v>25.165004347149647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11.443589743589744</v>
      </c>
      <c r="BD49" s="12">
        <f>IF('Données projet'!$A$88&gt;35,BD48+BC49-BL48,IF(A49&lt;'Données projet'!$A$88,$BA$205^A49,IF(A49='Données projet'!$A$88,'Données projet'!$B$88,BD48+BC49-BL48)))</f>
        <v>330.35128205128217</v>
      </c>
      <c r="BE49" s="13">
        <f>BD49*VLOOKUP('Données projet'!$B$11,Paramètres!$A$1:$I$89,3,0)*VLOOKUP('Données projet'!$B$11,Paramètres!$A$1:$I$89,5,0)</f>
        <v>154.60440000000006</v>
      </c>
      <c r="BF49" s="13">
        <f t="shared" si="37"/>
        <v>39.623103715153171</v>
      </c>
      <c r="BG49" s="20">
        <f t="shared" si="7"/>
        <v>338.2795689705585</v>
      </c>
      <c r="BH49" s="59">
        <f t="shared" si="8"/>
        <v>631.61290230389181</v>
      </c>
      <c r="BI49" s="59">
        <f ca="1">AVERAGE(OFFSET($BH$3,0,0,'Données projet'!$E$11+1,1))-AVERAGE(OFFSET($H$3,0,0,'Données projet'!$E$11+1,1))</f>
        <v>183.67580045784649</v>
      </c>
      <c r="BJ49" s="59">
        <f t="shared" si="38"/>
        <v>121.08269345608767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</v>
      </c>
      <c r="BY49" s="12">
        <f>IF('Données projet'!$A$114&gt;35,BY48+BX49-CG48,IF(A49&lt;'Données projet'!$A$114,$BV$205^A49,IF(A49='Données projet'!$A$114,'Données projet'!$B$114,BY48+BX49-CG48)))</f>
        <v>149.00000000000003</v>
      </c>
      <c r="BZ49" s="13">
        <f>BY49*VLOOKUP('Données projet'!$B$12,Paramètres!$A$1:$I$89,3,0)*VLOOKUP('Données projet'!$B$12,Paramètres!$A$1:$I$89,5,0)</f>
        <v>130.16640000000004</v>
      </c>
      <c r="CA49" s="13">
        <f t="shared" si="39"/>
        <v>34.034806623706302</v>
      </c>
      <c r="CB49" s="20">
        <f t="shared" si="10"/>
        <v>285.98376820295522</v>
      </c>
      <c r="CC49" s="59">
        <f t="shared" si="11"/>
        <v>579.31710153628853</v>
      </c>
      <c r="CD49" s="59">
        <f ca="1">AVERAGE(OFFSET($CC$3,0,0,'Données projet'!$E$12+1,1))-AVERAGE(OFFSET($H$3,0,0,'Données projet'!$E$12+1,1))</f>
        <v>216.10252108537389</v>
      </c>
      <c r="CE49" s="59">
        <f t="shared" si="40"/>
        <v>196.91968622092054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7.3244729378679425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7.3244729378679425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7.143429487179489</v>
      </c>
      <c r="CT49" s="12">
        <f>IF('Données projet'!$A$140&gt;35,CT48+CS49-DB48,IF(A49&lt;'Données projet'!$A$140,$CQ$205^A49,IF(A49='Données projet'!$A$140,'Données projet'!$B$140,CT48+CS49-DB48)))</f>
        <v>130.98397435897442</v>
      </c>
      <c r="CU49" s="17">
        <f>CT49*VLOOKUP('Données projet'!$B$13,Paramètres!$A$1:$I$89,3,0)*VLOOKUP('Données projet'!$B$13,Paramètres!$A$1:$I$89,5,0)</f>
        <v>118.51430000000005</v>
      </c>
      <c r="CV49" s="13">
        <f t="shared" si="41"/>
        <v>31.328233322607296</v>
      </c>
      <c r="CW49" s="20">
        <f t="shared" si="13"/>
        <v>260.97574553687451</v>
      </c>
      <c r="CX49" s="59">
        <f t="shared" si="14"/>
        <v>554.30907887020783</v>
      </c>
      <c r="CY49" s="59">
        <f ca="1">AVERAGE(OFFSET($CX$3,0,0,'Données projet'!$E$13+1,1))-AVERAGE(OFFSET($H$3,0,0,'Données projet'!$E$13+1,1))</f>
        <v>318.01858325056168</v>
      </c>
      <c r="CZ49" s="59">
        <f t="shared" si="42"/>
        <v>119.46953274700951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50" s="11">
        <f t="shared" si="32"/>
        <v>7.0737053871356732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224.39772579543327</v>
      </c>
      <c r="H50" s="67">
        <f t="shared" si="1"/>
        <v>343.96307021592793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11.642307692307696</v>
      </c>
      <c r="N50" s="13">
        <f>IF('Données projet'!$A$36&gt;35,N49+M50-V49,IF(A50&lt;'Données projet'!$A$36,$K$205^A50,IF(A50='Données projet'!$A$36,'Données projet'!$B$36,N49+M50-V49)))</f>
        <v>273.60384615384601</v>
      </c>
      <c r="O50" s="13">
        <f>N50*VLOOKUP('Données projet'!$B$9,Paramètres!$A$1:$I$89,3,0)*VLOOKUP('Données projet'!$B$9,Paramètres!$A$1:$I$89,5,0)</f>
        <v>163.61509999999993</v>
      </c>
      <c r="P50" s="13">
        <f t="shared" si="33"/>
        <v>41.656847972292042</v>
      </c>
      <c r="Q50" s="20">
        <f t="shared" si="53"/>
        <v>357.51530938507517</v>
      </c>
      <c r="R50" s="59">
        <f t="shared" si="0"/>
        <v>650.84864271840843</v>
      </c>
      <c r="S50" s="59">
        <f ca="1">AVERAGE(OFFSET($R$3,0,0,'Données projet'!$E$9+1,1))-AVERAGE(OFFSET($H$3,0,0,'Données projet'!$E$9+1,1))</f>
        <v>200.15574321350221</v>
      </c>
      <c r="T50" s="59">
        <f t="shared" si="34"/>
        <v>200.70728852570426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36.494410442111757</v>
      </c>
      <c r="AA50" s="21">
        <f>EXP(-LN(2)/25)*AA49+(1-EXP(-LN(2)/25))/(LN(2)/25)*Calculateur!V50*Calculateur!X50*VLOOKUP('Données projet'!$B$9,Paramètres!$A$1:$I$89,3,0)*0.475*44/12</f>
        <v>17.300446020528025</v>
      </c>
      <c r="AB50" s="21">
        <f>EXP(-LN(2)/2)*AB49+(1-EXP(-LN(2)/2))/(LN(2)/2)*V50*Y50*VLOOKUP('Données projet'!$B$9,Paramètres!$A$1:$I$89,3,0)*0.475*44/12</f>
        <v>2.177495003674744</v>
      </c>
      <c r="AC50" s="22">
        <f t="shared" si="3"/>
        <v>55.972351466314528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45.407317338461951</v>
      </c>
      <c r="AO50" s="59">
        <f t="shared" si="36"/>
        <v>149.88701606165358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21.018968557373114</v>
      </c>
      <c r="AV50" s="21">
        <f>EXP(-LN(2)/25)*AV49+(1-EXP(-LN(2)/25))/(LN(2)/25)*Calculateur!AQ50*Calculateur!AS50*VLOOKUP('Données projet'!$B$10,Paramètres!$A$1:$I$89,3,0)*0.475*44/12</f>
        <v>3.6224467129274158</v>
      </c>
      <c r="AW50" s="21">
        <f>EXP(-LN(2)/2)*AW49+(1-EXP(-LN(2)/2))/(LN(2)/2)*AQ50*AT50*VLOOKUP('Données projet'!$B$10,Paramètres!$A$1:$I$89,3,0)*0.475*44/12</f>
        <v>9.4401468456791577E-4</v>
      </c>
      <c r="AX50" s="21">
        <f t="shared" si="6"/>
        <v>24.642359284985098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11.443589743589744</v>
      </c>
      <c r="BD50" s="12">
        <f>IF('Données projet'!$A$88&gt;35,BD49+BC50-BL49,IF(A50&lt;'Données projet'!$A$88,$BA$205^A50,IF(A50='Données projet'!$A$88,'Données projet'!$B$88,BD49+BC50-BL49)))</f>
        <v>341.79487179487194</v>
      </c>
      <c r="BE50" s="13">
        <f>BD50*VLOOKUP('Données projet'!$B$11,Paramètres!$A$1:$I$89,3,0)*VLOOKUP('Données projet'!$B$11,Paramètres!$A$1:$I$89,5,0)</f>
        <v>159.96000000000006</v>
      </c>
      <c r="BF50" s="13">
        <f t="shared" si="37"/>
        <v>40.833493163758575</v>
      </c>
      <c r="BG50" s="20">
        <f t="shared" si="7"/>
        <v>349.71533392687957</v>
      </c>
      <c r="BH50" s="59">
        <f t="shared" si="8"/>
        <v>643.04866726021282</v>
      </c>
      <c r="BI50" s="59">
        <f ca="1">AVERAGE(OFFSET($BH$3,0,0,'Données projet'!$E$11+1,1))-AVERAGE(OFFSET($H$3,0,0,'Données projet'!$E$11+1,1))</f>
        <v>183.67580045784649</v>
      </c>
      <c r="BJ50" s="59">
        <f t="shared" si="38"/>
        <v>121.08269345608767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</v>
      </c>
      <c r="BY50" s="12">
        <f>IF('Données projet'!$A$114&gt;35,BY49+BX50-CG49,IF(A50&lt;'Données projet'!$A$114,$BV$205^A50,IF(A50='Données projet'!$A$114,'Données projet'!$B$114,BY49+BX50-CG49)))</f>
        <v>155.00000000000003</v>
      </c>
      <c r="BZ50" s="13">
        <f>BY50*VLOOKUP('Données projet'!$B$12,Paramètres!$A$1:$I$89,3,0)*VLOOKUP('Données projet'!$B$12,Paramètres!$A$1:$I$89,5,0)</f>
        <v>135.40800000000004</v>
      </c>
      <c r="CA50" s="13">
        <f t="shared" si="39"/>
        <v>35.243009677478732</v>
      </c>
      <c r="CB50" s="20">
        <f t="shared" si="10"/>
        <v>297.21717518827558</v>
      </c>
      <c r="CC50" s="59">
        <f t="shared" si="11"/>
        <v>590.55050852160889</v>
      </c>
      <c r="CD50" s="59">
        <f ca="1">AVERAGE(OFFSET($CC$3,0,0,'Données projet'!$E$12+1,1))-AVERAGE(OFFSET($H$3,0,0,'Données projet'!$E$12+1,1))</f>
        <v>216.10252108537389</v>
      </c>
      <c r="CE50" s="59">
        <f t="shared" si="40"/>
        <v>196.91968622092054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7.1241848402046521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7.1241848402046521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7.143429487179489</v>
      </c>
      <c r="CT50" s="12">
        <f>IF('Données projet'!$A$140&gt;35,CT49+CS50-DB49,IF(A50&lt;'Données projet'!$A$140,$CQ$205^A50,IF(A50='Données projet'!$A$140,'Données projet'!$B$140,CT49+CS50-DB49)))</f>
        <v>138.12740384615392</v>
      </c>
      <c r="CU50" s="17">
        <f>CT50*VLOOKUP('Données projet'!$B$13,Paramètres!$A$1:$I$89,3,0)*VLOOKUP('Données projet'!$B$13,Paramètres!$A$1:$I$89,5,0)</f>
        <v>124.97767500000008</v>
      </c>
      <c r="CV50" s="13">
        <f t="shared" si="41"/>
        <v>32.833199823952825</v>
      </c>
      <c r="CW50" s="20">
        <f t="shared" si="13"/>
        <v>274.85394031838462</v>
      </c>
      <c r="CX50" s="59">
        <f t="shared" si="14"/>
        <v>568.18727365171799</v>
      </c>
      <c r="CY50" s="59">
        <f ca="1">AVERAGE(OFFSET($CX$3,0,0,'Données projet'!$E$13+1,1))-AVERAGE(OFFSET($H$3,0,0,'Données projet'!$E$13+1,1))</f>
        <v>318.01858325056168</v>
      </c>
      <c r="CZ50" s="59">
        <f t="shared" si="42"/>
        <v>119.46953274700951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22.463999999999999</v>
      </c>
      <c r="D51" s="11">
        <f t="shared" si="32"/>
        <v>7.2065276619252296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229.03565212714213</v>
      </c>
      <c r="H51" s="67">
        <f t="shared" si="1"/>
        <v>345.00950234451977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11.642307692307696</v>
      </c>
      <c r="N51" s="13">
        <f>IF('Données projet'!$A$36&gt;35,N50+M51-V50,IF(A51&lt;'Données projet'!$A$36,$K$205^A51,IF(A51='Données projet'!$A$36,'Données projet'!$B$36,N50+M51-V50)))</f>
        <v>285.24615384615367</v>
      </c>
      <c r="O51" s="13">
        <f>N51*VLOOKUP('Données projet'!$B$9,Paramètres!$A$1:$I$89,3,0)*VLOOKUP('Données projet'!$B$9,Paramètres!$A$1:$I$89,5,0)</f>
        <v>170.57719999999992</v>
      </c>
      <c r="P51" s="13">
        <f t="shared" si="33"/>
        <v>43.219271671345155</v>
      </c>
      <c r="Q51" s="20">
        <f t="shared" si="53"/>
        <v>372.362188160926</v>
      </c>
      <c r="R51" s="59">
        <f t="shared" si="0"/>
        <v>665.69552149425931</v>
      </c>
      <c r="S51" s="59">
        <f ca="1">AVERAGE(OFFSET($R$3,0,0,'Données projet'!$E$9+1,1))-AVERAGE(OFFSET($H$3,0,0,'Données projet'!$E$9+1,1))</f>
        <v>200.15574321350221</v>
      </c>
      <c r="T51" s="59">
        <f t="shared" si="34"/>
        <v>200.70728852570426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35.778777312734384</v>
      </c>
      <c r="AA51" s="21">
        <f>EXP(-LN(2)/25)*AA50+(1-EXP(-LN(2)/25))/(LN(2)/25)*Calculateur!V51*Calculateur!X51*VLOOKUP('Données projet'!$B$9,Paramètres!$A$1:$I$89,3,0)*0.475*44/12</f>
        <v>16.827364414305769</v>
      </c>
      <c r="AB51" s="21">
        <f>EXP(-LN(2)/2)*AB50+(1-EXP(-LN(2)/2))/(LN(2)/2)*V51*Y51*VLOOKUP('Données projet'!$B$9,Paramètres!$A$1:$I$89,3,0)*0.475*44/12</f>
        <v>1.5397214830982378</v>
      </c>
      <c r="AC51" s="22">
        <f t="shared" si="3"/>
        <v>54.145863210138394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45.407317338461951</v>
      </c>
      <c r="AO51" s="59">
        <f t="shared" si="36"/>
        <v>149.88701606165358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20.606799404267946</v>
      </c>
      <c r="AV51" s="21">
        <f>EXP(-LN(2)/25)*AV50+(1-EXP(-LN(2)/25))/(LN(2)/25)*Calculateur!AQ51*Calculateur!AS51*VLOOKUP('Données projet'!$B$10,Paramètres!$A$1:$I$89,3,0)*0.475*44/12</f>
        <v>3.5233907170662224</v>
      </c>
      <c r="AW51" s="21">
        <f>EXP(-LN(2)/2)*AW50+(1-EXP(-LN(2)/2))/(LN(2)/2)*AQ51*AT51*VLOOKUP('Données projet'!$B$10,Paramètres!$A$1:$I$89,3,0)*0.475*44/12</f>
        <v>6.6751918499765293E-4</v>
      </c>
      <c r="AX51" s="21">
        <f t="shared" si="6"/>
        <v>24.130857640519164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11.443589743589744</v>
      </c>
      <c r="BD51" s="12">
        <f>IF('Données projet'!$A$88&gt;35,BD50+BC51-BL50,IF(A51&lt;'Données projet'!$A$88,$BA$205^A51,IF(A51='Données projet'!$A$88,'Données projet'!$B$88,BD50+BC51-BL50)))</f>
        <v>353.23846153846171</v>
      </c>
      <c r="BE51" s="13">
        <f>BD51*VLOOKUP('Données projet'!$B$11,Paramètres!$A$1:$I$89,3,0)*VLOOKUP('Données projet'!$B$11,Paramètres!$A$1:$I$89,5,0)</f>
        <v>165.31560000000007</v>
      </c>
      <c r="BF51" s="13">
        <f t="shared" si="37"/>
        <v>42.039173765288623</v>
      </c>
      <c r="BG51" s="20">
        <f t="shared" si="7"/>
        <v>361.14289764121116</v>
      </c>
      <c r="BH51" s="59">
        <f t="shared" si="8"/>
        <v>654.47623097454448</v>
      </c>
      <c r="BI51" s="59">
        <f ca="1">AVERAGE(OFFSET($BH$3,0,0,'Données projet'!$E$11+1,1))-AVERAGE(OFFSET($H$3,0,0,'Données projet'!$E$11+1,1))</f>
        <v>183.67580045784649</v>
      </c>
      <c r="BJ51" s="59">
        <f t="shared" si="38"/>
        <v>121.08269345608767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</v>
      </c>
      <c r="BY51" s="12">
        <f>IF('Données projet'!$A$114&gt;35,BY50+BX51-CG50,IF(A51&lt;'Données projet'!$A$114,$BV$205^A51,IF(A51='Données projet'!$A$114,'Données projet'!$B$114,BY50+BX51-CG50)))</f>
        <v>161.00000000000003</v>
      </c>
      <c r="BZ51" s="13">
        <f>BY51*VLOOKUP('Données projet'!$B$12,Paramètres!$A$1:$I$89,3,0)*VLOOKUP('Données projet'!$B$12,Paramètres!$A$1:$I$89,5,0)</f>
        <v>140.64960000000005</v>
      </c>
      <c r="CA51" s="13">
        <f t="shared" si="39"/>
        <v>36.445779615258637</v>
      </c>
      <c r="CB51" s="20">
        <f t="shared" si="10"/>
        <v>308.44111949657554</v>
      </c>
      <c r="CC51" s="59">
        <f t="shared" si="11"/>
        <v>601.7744528299088</v>
      </c>
      <c r="CD51" s="59">
        <f ca="1">AVERAGE(OFFSET($CC$3,0,0,'Données projet'!$E$12+1,1))-AVERAGE(OFFSET($H$3,0,0,'Données projet'!$E$12+1,1))</f>
        <v>216.10252108537389</v>
      </c>
      <c r="CE51" s="59">
        <f t="shared" si="40"/>
        <v>196.91968622092054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6.9293736311046574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6.9293736311046574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7.143429487179489</v>
      </c>
      <c r="CT51" s="12">
        <f>IF('Données projet'!$A$140&gt;35,CT50+CS51-DB50,IF(A51&lt;'Données projet'!$A$140,$CQ$205^A51,IF(A51='Données projet'!$A$140,'Données projet'!$B$140,CT50+CS51-DB50)))</f>
        <v>145.27083333333343</v>
      </c>
      <c r="CU51" s="17">
        <f>CT51*VLOOKUP('Données projet'!$B$13,Paramètres!$A$1:$I$89,3,0)*VLOOKUP('Données projet'!$B$13,Paramètres!$A$1:$I$89,5,0)</f>
        <v>131.44105000000008</v>
      </c>
      <c r="CV51" s="13">
        <f t="shared" si="41"/>
        <v>34.329129734237071</v>
      </c>
      <c r="CW51" s="20">
        <f t="shared" si="13"/>
        <v>288.71639637046309</v>
      </c>
      <c r="CX51" s="59">
        <f t="shared" si="14"/>
        <v>582.0497297037964</v>
      </c>
      <c r="CY51" s="59">
        <f ca="1">AVERAGE(OFFSET($CX$3,0,0,'Données projet'!$E$13+1,1))-AVERAGE(OFFSET($H$3,0,0,'Données projet'!$E$13+1,1))</f>
        <v>318.01858325056168</v>
      </c>
      <c r="CZ51" s="59">
        <f t="shared" si="42"/>
        <v>119.46953274700951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22.931999999999999</v>
      </c>
      <c r="D52" s="11">
        <f t="shared" si="32"/>
        <v>7.3390282083215084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233.67109494142917</v>
      </c>
      <c r="H52" s="67">
        <f t="shared" si="1"/>
        <v>346.05537412949326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11.642307692307696</v>
      </c>
      <c r="N52" s="13">
        <f>IF('Données projet'!$A$36&gt;35,N51+M52-V51,IF(A52&lt;'Données projet'!$A$36,$K$205^A52,IF(A52='Données projet'!$A$36,'Données projet'!$B$36,N51+M52-V51)))</f>
        <v>296.88846153846134</v>
      </c>
      <c r="O52" s="13">
        <f>N52*VLOOKUP('Données projet'!$B$9,Paramètres!$A$1:$I$89,3,0)*VLOOKUP('Données projet'!$B$9,Paramètres!$A$1:$I$89,5,0)</f>
        <v>177.53929999999991</v>
      </c>
      <c r="P52" s="13">
        <f t="shared" si="33"/>
        <v>44.774287946301975</v>
      </c>
      <c r="Q52" s="20">
        <f t="shared" si="53"/>
        <v>387.1961656731425</v>
      </c>
      <c r="R52" s="59">
        <f t="shared" si="0"/>
        <v>680.52949900647582</v>
      </c>
      <c r="S52" s="59">
        <f ca="1">AVERAGE(OFFSET($R$3,0,0,'Données projet'!$E$9+1,1))-AVERAGE(OFFSET($H$3,0,0,'Données projet'!$E$9+1,1))</f>
        <v>200.15574321350221</v>
      </c>
      <c r="T52" s="59">
        <f t="shared" si="34"/>
        <v>200.70728852570426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35.077177312530992</v>
      </c>
      <c r="AA52" s="21">
        <f>EXP(-LN(2)/25)*AA51+(1-EXP(-LN(2)/25))/(LN(2)/25)*Calculateur!V52*Calculateur!X52*VLOOKUP('Données projet'!$B$9,Paramètres!$A$1:$I$89,3,0)*0.475*44/12</f>
        <v>16.367219249483941</v>
      </c>
      <c r="AB52" s="21">
        <f>EXP(-LN(2)/2)*AB51+(1-EXP(-LN(2)/2))/(LN(2)/2)*V52*Y52*VLOOKUP('Données projet'!$B$9,Paramètres!$A$1:$I$89,3,0)*0.475*44/12</f>
        <v>1.088747501837372</v>
      </c>
      <c r="AC52" s="22">
        <f t="shared" si="3"/>
        <v>52.533144063852305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45.407317338461951</v>
      </c>
      <c r="AO52" s="59">
        <f t="shared" si="36"/>
        <v>149.88701606165358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20.202712636856813</v>
      </c>
      <c r="AV52" s="21">
        <f>EXP(-LN(2)/25)*AV51+(1-EXP(-LN(2)/25))/(LN(2)/25)*Calculateur!AQ52*Calculateur!AS52*VLOOKUP('Données projet'!$B$10,Paramètres!$A$1:$I$89,3,0)*0.475*44/12</f>
        <v>3.4270434126209817</v>
      </c>
      <c r="AW52" s="21">
        <f>EXP(-LN(2)/2)*AW51+(1-EXP(-LN(2)/2))/(LN(2)/2)*AQ52*AT52*VLOOKUP('Données projet'!$B$10,Paramètres!$A$1:$I$89,3,0)*0.475*44/12</f>
        <v>4.7200734228395794E-4</v>
      </c>
      <c r="AX52" s="21">
        <f t="shared" si="6"/>
        <v>23.63022805682008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11.443589743589744</v>
      </c>
      <c r="BD52" s="12">
        <f>IF('Données projet'!$A$88&gt;35,BD51+BC52-BL51,IF(A52&lt;'Données projet'!$A$88,$BA$205^A52,IF(A52='Données projet'!$A$88,'Données projet'!$B$88,BD51+BC52-BL51)))</f>
        <v>364.68205128205148</v>
      </c>
      <c r="BE52" s="13">
        <f>BD52*VLOOKUP('Données projet'!$B$11,Paramètres!$A$1:$I$89,3,0)*VLOOKUP('Données projet'!$B$11,Paramètres!$A$1:$I$89,5,0)</f>
        <v>170.67120000000008</v>
      </c>
      <c r="BF52" s="13">
        <f t="shared" si="37"/>
        <v>43.240315564943899</v>
      </c>
      <c r="BG52" s="20">
        <f t="shared" si="7"/>
        <v>372.56255627561069</v>
      </c>
      <c r="BH52" s="59">
        <f t="shared" si="8"/>
        <v>665.895889608944</v>
      </c>
      <c r="BI52" s="59">
        <f ca="1">AVERAGE(OFFSET($BH$3,0,0,'Données projet'!$E$11+1,1))-AVERAGE(OFFSET($H$3,0,0,'Données projet'!$E$11+1,1))</f>
        <v>183.67580045784649</v>
      </c>
      <c r="BJ52" s="59">
        <f t="shared" si="38"/>
        <v>121.08269345608767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</v>
      </c>
      <c r="BY52" s="12">
        <f>IF('Données projet'!$A$114&gt;35,BY51+BX52-CG51,IF(A52&lt;'Données projet'!$A$114,$BV$205^A52,IF(A52='Données projet'!$A$114,'Données projet'!$B$114,BY51+BX52-CG51)))</f>
        <v>167.00000000000003</v>
      </c>
      <c r="BZ52" s="13">
        <f>BY52*VLOOKUP('Données projet'!$B$12,Paramètres!$A$1:$I$89,3,0)*VLOOKUP('Données projet'!$B$12,Paramètres!$A$1:$I$89,5,0)</f>
        <v>145.89120000000005</v>
      </c>
      <c r="CA52" s="13">
        <f t="shared" si="39"/>
        <v>37.643342098399685</v>
      </c>
      <c r="CB52" s="20">
        <f t="shared" si="10"/>
        <v>319.65599415471291</v>
      </c>
      <c r="CC52" s="59">
        <f t="shared" si="11"/>
        <v>612.98932748804623</v>
      </c>
      <c r="CD52" s="59">
        <f ca="1">AVERAGE(OFFSET($CC$3,0,0,'Données projet'!$E$12+1,1))-AVERAGE(OFFSET($H$3,0,0,'Données projet'!$E$12+1,1))</f>
        <v>216.10252108537389</v>
      </c>
      <c r="CE52" s="59">
        <f t="shared" si="40"/>
        <v>196.91968622092054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6.7398895447621783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6.7398895447621783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7.143429487179489</v>
      </c>
      <c r="CT52" s="12">
        <f>IF('Données projet'!$A$140&gt;35,CT51+CS52-DB51,IF(A52&lt;'Données projet'!$A$140,$CQ$205^A52,IF(A52='Données projet'!$A$140,'Données projet'!$B$140,CT51+CS52-DB51)))</f>
        <v>152.41426282051293</v>
      </c>
      <c r="CU52" s="17">
        <f>CT52*VLOOKUP('Données projet'!$B$13,Paramètres!$A$1:$I$89,3,0)*VLOOKUP('Données projet'!$B$13,Paramètres!$A$1:$I$89,5,0)</f>
        <v>137.90442500000009</v>
      </c>
      <c r="CV52" s="13">
        <f t="shared" si="41"/>
        <v>35.816518126136359</v>
      </c>
      <c r="CW52" s="20">
        <f t="shared" si="13"/>
        <v>302.56397594468757</v>
      </c>
      <c r="CX52" s="59">
        <f t="shared" si="14"/>
        <v>595.89730927802088</v>
      </c>
      <c r="CY52" s="59">
        <f ca="1">AVERAGE(OFFSET($CX$3,0,0,'Données projet'!$E$13+1,1))-AVERAGE(OFFSET($H$3,0,0,'Données projet'!$E$13+1,1))</f>
        <v>318.01858325056168</v>
      </c>
      <c r="CZ52" s="59">
        <f t="shared" si="42"/>
        <v>119.46953274700951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</v>
      </c>
      <c r="D53" s="11">
        <f t="shared" si="32"/>
        <v>7.4712143488056828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238.30411076271048</v>
      </c>
      <c r="H53" s="67">
        <f t="shared" si="1"/>
        <v>347.10069832416985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11.642307692307696</v>
      </c>
      <c r="N53" s="13">
        <f>IF('Données projet'!$A$36&gt;35,N52+M53-V52,IF(A53&lt;'Données projet'!$A$36,$K$205^A53,IF(A53='Données projet'!$A$36,'Données projet'!$B$36,N52+M53-V52)))</f>
        <v>308.53076923076901</v>
      </c>
      <c r="O53" s="13">
        <f>N53*VLOOKUP('Données projet'!$B$9,Paramètres!$A$1:$I$89,3,0)*VLOOKUP('Données projet'!$B$9,Paramètres!$A$1:$I$89,5,0)</f>
        <v>184.5013999999999</v>
      </c>
      <c r="P53" s="13">
        <f t="shared" si="33"/>
        <v>46.322220516606542</v>
      </c>
      <c r="Q53" s="20">
        <f t="shared" si="53"/>
        <v>402.01780573308952</v>
      </c>
      <c r="R53" s="59">
        <f t="shared" si="0"/>
        <v>695.35113906642277</v>
      </c>
      <c r="S53" s="59">
        <f ca="1">AVERAGE(OFFSET($R$3,0,0,'Données projet'!$E$9+1,1))-AVERAGE(OFFSET($H$3,0,0,'Données projet'!$E$9+1,1))</f>
        <v>200.15574321350221</v>
      </c>
      <c r="T53" s="59">
        <f t="shared" si="34"/>
        <v>200.70728852570426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34.389335260397843</v>
      </c>
      <c r="AA53" s="21">
        <f>EXP(-LN(2)/25)*AA52+(1-EXP(-LN(2)/25))/(LN(2)/25)*Calculateur!V53*Calculateur!X53*VLOOKUP('Données projet'!$B$9,Paramètres!$A$1:$I$89,3,0)*0.475*44/12</f>
        <v>15.919656778392151</v>
      </c>
      <c r="AB53" s="21">
        <f>EXP(-LN(2)/2)*AB52+(1-EXP(-LN(2)/2))/(LN(2)/2)*V53*Y53*VLOOKUP('Données projet'!$B$9,Paramètres!$A$1:$I$89,3,0)*0.475*44/12</f>
        <v>0.76986074154911888</v>
      </c>
      <c r="AC53" s="22">
        <f t="shared" si="3"/>
        <v>51.078852780339112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45.407317338461951</v>
      </c>
      <c r="AO53" s="59">
        <f t="shared" si="36"/>
        <v>149.88701606165358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19.806549764486018</v>
      </c>
      <c r="AV53" s="21">
        <f>EXP(-LN(2)/25)*AV52+(1-EXP(-LN(2)/25))/(LN(2)/25)*Calculateur!AQ53*Calculateur!AS53*VLOOKUP('Données projet'!$B$10,Paramètres!$A$1:$I$89,3,0)*0.475*44/12</f>
        <v>3.3333307302824804</v>
      </c>
      <c r="AW53" s="21">
        <f>EXP(-LN(2)/2)*AW52+(1-EXP(-LN(2)/2))/(LN(2)/2)*AQ53*AT53*VLOOKUP('Données projet'!$B$10,Paramètres!$A$1:$I$89,3,0)*0.475*44/12</f>
        <v>3.3375959249882652E-4</v>
      </c>
      <c r="AX53" s="21">
        <f t="shared" si="6"/>
        <v>23.140214254360998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11.443589743589744</v>
      </c>
      <c r="BD53" s="12">
        <f>IF('Données projet'!$A$88&gt;35,BD52+BC53-BL52,IF(A53&lt;'Données projet'!$A$88,$BA$205^A53,IF(A53='Données projet'!$A$88,'Données projet'!$B$88,BD52+BC53-BL52)))</f>
        <v>376.12564102564124</v>
      </c>
      <c r="BE53" s="13">
        <f>BD53*VLOOKUP('Données projet'!$B$11,Paramètres!$A$1:$I$89,3,0)*VLOOKUP('Données projet'!$B$11,Paramètres!$A$1:$I$89,5,0)</f>
        <v>176.02680000000012</v>
      </c>
      <c r="BF53" s="13">
        <f t="shared" si="37"/>
        <v>44.437077329889675</v>
      </c>
      <c r="BG53" s="20">
        <f t="shared" si="7"/>
        <v>383.97458634955802</v>
      </c>
      <c r="BH53" s="59">
        <f t="shared" si="8"/>
        <v>677.30791968289134</v>
      </c>
      <c r="BI53" s="59">
        <f ca="1">AVERAGE(OFFSET($BH$3,0,0,'Données projet'!$E$11+1,1))-AVERAGE(OFFSET($H$3,0,0,'Données projet'!$E$11+1,1))</f>
        <v>183.67580045784649</v>
      </c>
      <c r="BJ53" s="59">
        <f t="shared" si="38"/>
        <v>121.08269345608767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173</v>
      </c>
      <c r="BW53" s="12">
        <f>VLOOKUP(A53,'Données projet'!$A$113:$I$133,9,0)</f>
        <v>6</v>
      </c>
      <c r="BX53" s="12">
        <f t="array" ref="BX53">INDEX(BW:BW,MIN(IF(ISNUMBER(BW53:BW249),ROW(BW53:BW249),"")))</f>
        <v>6</v>
      </c>
      <c r="BY53" s="12">
        <f>IF('Données projet'!$A$114&gt;35,BY52+BX53-CG52,IF(A53&lt;'Données projet'!$A$114,$BV$205^A53,IF(A53='Données projet'!$A$114,'Données projet'!$B$114,BY52+BX53-CG52)))</f>
        <v>173.00000000000003</v>
      </c>
      <c r="BZ53" s="13">
        <f>BY53*VLOOKUP('Données projet'!$B$12,Paramètres!$A$1:$I$89,3,0)*VLOOKUP('Données projet'!$B$12,Paramètres!$A$1:$I$89,5,0)</f>
        <v>151.13280000000003</v>
      </c>
      <c r="CA53" s="13">
        <f t="shared" si="39"/>
        <v>38.835905653934425</v>
      </c>
      <c r="CB53" s="20">
        <f t="shared" si="10"/>
        <v>330.86216234726913</v>
      </c>
      <c r="CC53" s="59">
        <f t="shared" si="11"/>
        <v>624.19549568060245</v>
      </c>
      <c r="CD53" s="59">
        <f ca="1">AVERAGE(OFFSET($CC$3,0,0,'Données projet'!$E$12+1,1))-AVERAGE(OFFSET($H$3,0,0,'Données projet'!$E$12+1,1))</f>
        <v>216.10252108537389</v>
      </c>
      <c r="CE53" s="59">
        <f t="shared" si="40"/>
        <v>196.91968622092054</v>
      </c>
      <c r="CF53" s="15">
        <f>IF(ISNA(VLOOKUP(A53,'Données projet'!$A$113:$I$133,3,0)),0,VLOOKUP(A53,'Données projet'!$A$113:$I$133,3,0))</f>
        <v>7</v>
      </c>
      <c r="CG53" s="15" t="str">
        <f>IF(ISNA(VLOOKUP(A53,'Données projet'!$A$113:$I$133,4,0)),0,VLOOKUP(A53,'Données projet'!$A$113:$I$133,4,0))</f>
        <v>18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0.215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10.278280939107942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10.278280939107942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159.55769230769232</v>
      </c>
      <c r="CR53" s="12">
        <f>VLOOKUP(A53,'Données projet'!$A$139:$I$159,9,0)</f>
        <v>7.143429487179489</v>
      </c>
      <c r="CS53" s="12">
        <f t="array" ref="CS53">INDEX(CR:CR,MIN(IF(ISNUMBER(CR53:CR249),ROW(CR53:CR249),"")))</f>
        <v>7.143429487179489</v>
      </c>
      <c r="CT53" s="12">
        <f>IF('Données projet'!$A$140&gt;35,CT52+CS53-DB52,IF(A53&lt;'Données projet'!$A$140,$CQ$205^A53,IF(A53='Données projet'!$A$140,'Données projet'!$B$140,CT52+CS53-DB52)))</f>
        <v>159.55769230769243</v>
      </c>
      <c r="CU53" s="17">
        <f>CT53*VLOOKUP('Données projet'!$B$13,Paramètres!$A$1:$I$89,3,0)*VLOOKUP('Données projet'!$B$13,Paramètres!$A$1:$I$89,5,0)</f>
        <v>144.3678000000001</v>
      </c>
      <c r="CV53" s="13">
        <f t="shared" si="41"/>
        <v>37.295811043150216</v>
      </c>
      <c r="CW53" s="20">
        <f t="shared" si="13"/>
        <v>316.39745590015349</v>
      </c>
      <c r="CX53" s="59">
        <f t="shared" si="14"/>
        <v>609.7307892334868</v>
      </c>
      <c r="CY53" s="59">
        <f ca="1">AVERAGE(OFFSET($CX$3,0,0,'Données projet'!$E$13+1,1))-AVERAGE(OFFSET($H$3,0,0,'Données projet'!$E$13+1,1))</f>
        <v>318.01858325056168</v>
      </c>
      <c r="CZ53" s="59">
        <f t="shared" si="42"/>
        <v>119.46953274700951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29.416666666666664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23.867999999999999</v>
      </c>
      <c r="D54" s="11">
        <f t="shared" si="32"/>
        <v>7.6030930962115368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242.93475372514169</v>
      </c>
      <c r="H54" s="67">
        <f t="shared" si="1"/>
        <v>348.14548714256841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11.642307692307696</v>
      </c>
      <c r="N54" s="13">
        <f>IF('Données projet'!$A$36&gt;35,N53+M54-V53,IF(A54&lt;'Données projet'!$A$36,$K$205^A54,IF(A54='Données projet'!$A$36,'Données projet'!$B$36,N53+M54-V53)))</f>
        <v>320.17307692307668</v>
      </c>
      <c r="O54" s="13">
        <f>N54*VLOOKUP('Données projet'!$B$9,Paramètres!$A$1:$I$89,3,0)*VLOOKUP('Données projet'!$B$9,Paramètres!$A$1:$I$89,5,0)</f>
        <v>191.46349999999987</v>
      </c>
      <c r="P54" s="13">
        <f t="shared" si="33"/>
        <v>47.863367286908087</v>
      </c>
      <c r="Q54" s="20">
        <f t="shared" si="53"/>
        <v>416.82762719136463</v>
      </c>
      <c r="R54" s="59">
        <f t="shared" si="0"/>
        <v>710.16096052469788</v>
      </c>
      <c r="S54" s="59">
        <f ca="1">AVERAGE(OFFSET($R$3,0,0,'Données projet'!$E$9+1,1))-AVERAGE(OFFSET($H$3,0,0,'Données projet'!$E$9+1,1))</f>
        <v>200.15574321350221</v>
      </c>
      <c r="T54" s="59">
        <f t="shared" si="34"/>
        <v>200.70728852570426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33.7149813713648</v>
      </c>
      <c r="AA54" s="21">
        <f>EXP(-LN(2)/25)*AA53+(1-EXP(-LN(2)/25))/(LN(2)/25)*Calculateur!V54*Calculateur!X54*VLOOKUP('Données projet'!$B$9,Paramètres!$A$1:$I$89,3,0)*0.475*44/12</f>
        <v>15.484332926608651</v>
      </c>
      <c r="AB54" s="21">
        <f>EXP(-LN(2)/2)*AB53+(1-EXP(-LN(2)/2))/(LN(2)/2)*V54*Y54*VLOOKUP('Données projet'!$B$9,Paramètres!$A$1:$I$89,3,0)*0.475*44/12</f>
        <v>0.54437375091868601</v>
      </c>
      <c r="AC54" s="22">
        <f t="shared" si="3"/>
        <v>49.743688048892139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45.407317338461951</v>
      </c>
      <c r="AO54" s="59">
        <f t="shared" si="36"/>
        <v>149.88701606165358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19.418155404406924</v>
      </c>
      <c r="AV54" s="21">
        <f>EXP(-LN(2)/25)*AV53+(1-EXP(-LN(2)/25))/(LN(2)/25)*Calculateur!AQ54*Calculateur!AS54*VLOOKUP('Données projet'!$B$10,Paramètres!$A$1:$I$89,3,0)*0.475*44/12</f>
        <v>3.2421806261706614</v>
      </c>
      <c r="AW54" s="21">
        <f>EXP(-LN(2)/2)*AW53+(1-EXP(-LN(2)/2))/(LN(2)/2)*AQ54*AT54*VLOOKUP('Données projet'!$B$10,Paramètres!$A$1:$I$89,3,0)*0.475*44/12</f>
        <v>2.36003671141979E-4</v>
      </c>
      <c r="AX54" s="21">
        <f t="shared" si="6"/>
        <v>22.660572034248727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387.56923076923078</v>
      </c>
      <c r="BB54" s="12">
        <f>VLOOKUP(A54,'Données projet'!$A$87:$I$107,9,0)</f>
        <v>11.443589743589744</v>
      </c>
      <c r="BC54" s="12">
        <f t="array" ref="BC54">INDEX(BB:BB,MIN(IF(ISNUMBER(BB54:BB250),ROW(BB54:BB250),"")))</f>
        <v>11.443589743589744</v>
      </c>
      <c r="BD54" s="12">
        <f>IF('Données projet'!$A$88&gt;35,BD53+BC54-BL53,IF(A54&lt;'Données projet'!$A$88,$BA$205^A54,IF(A54='Données projet'!$A$88,'Données projet'!$B$88,BD53+BC54-BL53)))</f>
        <v>387.56923076923101</v>
      </c>
      <c r="BE54" s="13">
        <f>BD54*VLOOKUP('Données projet'!$B$11,Paramètres!$A$1:$I$89,3,0)*VLOOKUP('Données projet'!$B$11,Paramètres!$A$1:$I$89,5,0)</f>
        <v>181.3824000000001</v>
      </c>
      <c r="BF54" s="13">
        <f t="shared" si="37"/>
        <v>45.629607617375228</v>
      </c>
      <c r="BG54" s="20">
        <f t="shared" si="7"/>
        <v>395.37924660026198</v>
      </c>
      <c r="BH54" s="59">
        <f t="shared" si="8"/>
        <v>688.71257993359529</v>
      </c>
      <c r="BI54" s="59">
        <f ca="1">AVERAGE(OFFSET($BH$3,0,0,'Données projet'!$E$11+1,1))-AVERAGE(OFFSET($H$3,0,0,'Données projet'!$E$11+1,1))</f>
        <v>183.67580045784649</v>
      </c>
      <c r="BJ54" s="59">
        <f t="shared" si="38"/>
        <v>121.08269345608767</v>
      </c>
      <c r="BK54" s="15">
        <f>IF(ISNA(VLOOKUP(A54,'Données projet'!$A$87:$I$107,3,0)),0,VLOOKUP(A54,'Données projet'!$A$87:$I$107,3,0))</f>
        <v>1</v>
      </c>
      <c r="BL54" s="15">
        <f>IF(ISNA(VLOOKUP(A54,'Données projet'!$A$87:$I$107,4,0)),0,VLOOKUP(A54,'Données projet'!$A$87:$I$107,4,0))</f>
        <v>170.16153846153847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0.30800000000000005</v>
      </c>
      <c r="BO54" s="16">
        <f>IF(ISNA(VLOOKUP(A54,'Données projet'!$A$87:$I$107,7,0)),0%,VLOOKUP(A54,'Données projet'!$A$87:$I$107,7,0))</f>
        <v>0.44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32.409547786060251</v>
      </c>
      <c r="BR54" s="21">
        <f>EXP(-LN(2)/2)*BR53+(1-EXP(-LN(2)/2))/(LN(2)/2)*BL54*BO54*VLOOKUP('Données projet'!$B$11,Paramètres!$A$1:$I$89,3,0)*0.475*44/12</f>
        <v>39.673039275275386</v>
      </c>
      <c r="BS54" s="22">
        <f t="shared" si="9"/>
        <v>72.08258706133563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5.2</v>
      </c>
      <c r="BY54" s="12">
        <f>IF('Données projet'!$A$114&gt;35,BY53+BX54-CG53,IF(A54&lt;'Données projet'!$A$114,$BV$205^A54,IF(A54='Données projet'!$A$114,'Données projet'!$B$114,BY53+BX54-CG53)))</f>
        <v>160.20000000000002</v>
      </c>
      <c r="BZ54" s="13">
        <f>BY54*VLOOKUP('Données projet'!$B$12,Paramètres!$A$1:$I$89,3,0)*VLOOKUP('Données projet'!$B$12,Paramètres!$A$1:$I$89,5,0)</f>
        <v>139.95072000000002</v>
      </c>
      <c r="CA54" s="13">
        <f t="shared" si="39"/>
        <v>36.285715907711918</v>
      </c>
      <c r="CB54" s="20">
        <f t="shared" si="10"/>
        <v>306.94512587259828</v>
      </c>
      <c r="CC54" s="59">
        <f t="shared" si="11"/>
        <v>600.27845920593154</v>
      </c>
      <c r="CD54" s="59">
        <f ca="1">AVERAGE(OFFSET($CC$3,0,0,'Données projet'!$E$12+1,1))-AVERAGE(OFFSET($H$3,0,0,'Données projet'!$E$12+1,1))</f>
        <v>216.10252108537389</v>
      </c>
      <c r="CE54" s="59">
        <f t="shared" si="40"/>
        <v>196.91968622092054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9.9972208063167329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9.9972208063167329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7.2307692307692264</v>
      </c>
      <c r="CT54" s="12">
        <f>IF('Données projet'!$A$140&gt;35,CT53+CS54-DB53,IF(A54&lt;'Données projet'!$A$140,$CQ$205^A54,IF(A54='Données projet'!$A$140,'Données projet'!$B$140,CT53+CS54-DB53)))</f>
        <v>137.371794871795</v>
      </c>
      <c r="CU54" s="17">
        <f>CT54*VLOOKUP('Données projet'!$B$13,Paramètres!$A$1:$I$89,3,0)*VLOOKUP('Données projet'!$B$13,Paramètres!$A$1:$I$89,5,0)</f>
        <v>124.29400000000012</v>
      </c>
      <c r="CV54" s="13">
        <f t="shared" si="41"/>
        <v>32.674445813839228</v>
      </c>
      <c r="CW54" s="20">
        <f t="shared" si="13"/>
        <v>273.38670979243687</v>
      </c>
      <c r="CX54" s="59">
        <f t="shared" si="14"/>
        <v>566.72004312577019</v>
      </c>
      <c r="CY54" s="59">
        <f ca="1">AVERAGE(OFFSET($CX$3,0,0,'Données projet'!$E$13+1,1))-AVERAGE(OFFSET($H$3,0,0,'Données projet'!$E$13+1,1))</f>
        <v>318.01858325056168</v>
      </c>
      <c r="CZ54" s="59">
        <f t="shared" si="42"/>
        <v>119.46953274700951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24.335999999999999</v>
      </c>
      <c r="D55" s="11">
        <f t="shared" si="32"/>
        <v>7.7346711726299766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247.56307571854714</v>
      </c>
      <c r="H55" s="67">
        <f t="shared" si="1"/>
        <v>349.18975229233052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331.81538461538463</v>
      </c>
      <c r="L55" s="12">
        <f>VLOOKUP(A55,'Données projet'!$A$35:$I$55,9,0)</f>
        <v>11.642307692307696</v>
      </c>
      <c r="M55" s="12">
        <f t="array" ref="M55">INDEX(L:L,MIN(IF(ISNUMBER(L55:L251),ROW(L55:L251),"")))</f>
        <v>11.642307692307696</v>
      </c>
      <c r="N55" s="13">
        <f>IF('Données projet'!$A$36&gt;35,N54+M55-V54,IF(A55&lt;'Données projet'!$A$36,$K$205^A55,IF(A55='Données projet'!$A$36,'Données projet'!$B$36,N54+M55-V54)))</f>
        <v>331.81538461538435</v>
      </c>
      <c r="O55" s="13">
        <f>N55*VLOOKUP('Données projet'!$B$9,Paramètres!$A$1:$I$89,3,0)*VLOOKUP('Données projet'!$B$9,Paramètres!$A$1:$I$89,5,0)</f>
        <v>198.42559999999986</v>
      </c>
      <c r="P55" s="13">
        <f t="shared" si="33"/>
        <v>49.398003268862659</v>
      </c>
      <c r="Q55" s="20">
        <f t="shared" si="53"/>
        <v>431.62610902660225</v>
      </c>
      <c r="R55" s="59">
        <f t="shared" si="0"/>
        <v>724.95944235993557</v>
      </c>
      <c r="S55" s="59">
        <f ca="1">AVERAGE(OFFSET($R$3,0,0,'Données projet'!$E$9+1,1))-AVERAGE(OFFSET($H$3,0,0,'Données projet'!$E$9+1,1))</f>
        <v>200.15574321350221</v>
      </c>
      <c r="T55" s="59">
        <f t="shared" si="34"/>
        <v>200.70728852570426</v>
      </c>
      <c r="U55" s="15">
        <f>IF(ISNA(VLOOKUP(A55,'Données projet'!$A$35:$I$55,3,0)),0,VLOOKUP(A55,'Données projet'!$A$35:$I$55,3,0))</f>
        <v>6</v>
      </c>
      <c r="V55" s="15">
        <f>IF(ISNA(VLOOKUP(A55,'Données projet'!$A$35:$I$55,4,0)),0,VLOOKUP(A55,'Données projet'!$A$35:$I$55,4,0))</f>
        <v>61.784615384615378</v>
      </c>
      <c r="W55" s="16">
        <f>IF(ISNA(VLOOKUP(A55,'Données projet'!$A$35:$I$55,5,0)),0%,VLOOKUP(A55,'Données projet'!$A$35:$I$55,5,0)*VLOOKUP('Données projet'!$B$9,Paramètres!$A$1:$I$89,7,0))</f>
        <v>0.315</v>
      </c>
      <c r="X55" s="16">
        <f>IF(ISNA(VLOOKUP(A55,'Données projet'!$A$35:$I$55,6,0)),0%,VLOOKUP(A55,'Données projet'!$A$35:$I$55,6,0)*VLOOKUP('Données projet'!$B$9,Paramètres!$A$1:$I$89,7,0))</f>
        <v>7.5600000000000001E-2</v>
      </c>
      <c r="Y55" s="16">
        <f>IF(ISNA(VLOOKUP(A55,'Données projet'!$A$35:$I$55,7,0)),0%,VLOOKUP(A55,'Données projet'!$A$35:$I$55,7,0))</f>
        <v>0.13200000000000001</v>
      </c>
      <c r="Z55" s="21">
        <f>EXP(-LN(2)/35)*Z54+(1-EXP(-LN(2)/35))/(LN(2)/35)*V55*W55*VLOOKUP('Données projet'!$B$9,Paramètres!$A$1:$I$89,3,0)*0.475*44/12</f>
        <v>48.492896458905406</v>
      </c>
      <c r="AA55" s="21">
        <f>EXP(-LN(2)/25)*AA54+(1-EXP(-LN(2)/25))/(LN(2)/25)*Calculateur!V55*Calculateur!X55*VLOOKUP('Données projet'!$B$9,Paramètres!$A$1:$I$89,3,0)*0.475*44/12</f>
        <v>18.751694445407118</v>
      </c>
      <c r="AB55" s="21">
        <f>EXP(-LN(2)/2)*AB54+(1-EXP(-LN(2)/2))/(LN(2)/2)*V55*Y55*VLOOKUP('Données projet'!$B$9,Paramètres!$A$1:$I$89,3,0)*0.475*44/12</f>
        <v>5.906861705672978</v>
      </c>
      <c r="AC55" s="22">
        <f t="shared" si="3"/>
        <v>73.151452609985512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45.407317338461951</v>
      </c>
      <c r="AO55" s="59">
        <f t="shared" si="36"/>
        <v>149.88701606165358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19.037377220831814</v>
      </c>
      <c r="AV55" s="21">
        <f>EXP(-LN(2)/25)*AV54+(1-EXP(-LN(2)/25))/(LN(2)/25)*Calculateur!AQ55*Calculateur!AS55*VLOOKUP('Données projet'!$B$10,Paramètres!$A$1:$I$89,3,0)*0.475*44/12</f>
        <v>3.1535230264491556</v>
      </c>
      <c r="AW55" s="21">
        <f>EXP(-LN(2)/2)*AW54+(1-EXP(-LN(2)/2))/(LN(2)/2)*AQ55*AT55*VLOOKUP('Données projet'!$B$10,Paramètres!$A$1:$I$89,3,0)*0.475*44/12</f>
        <v>1.6687979624941329E-4</v>
      </c>
      <c r="AX55" s="21">
        <f t="shared" si="6"/>
        <v>22.191067127077222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11.170769230769233</v>
      </c>
      <c r="BD55" s="12">
        <f>IF('Données projet'!$A$88&gt;35,BD54+BC55-BL54,IF(A55&lt;'Données projet'!$A$88,$BA$205^A55,IF(A55='Données projet'!$A$88,'Données projet'!$B$88,BD54+BC55-BL54)))</f>
        <v>228.57846153846177</v>
      </c>
      <c r="BE55" s="13">
        <f>BD55*VLOOKUP('Données projet'!$B$11,Paramètres!$A$1:$I$89,3,0)*VLOOKUP('Données projet'!$B$11,Paramètres!$A$1:$I$89,5,0)</f>
        <v>106.9747200000001</v>
      </c>
      <c r="BF55" s="13">
        <f t="shared" si="37"/>
        <v>28.617052249308387</v>
      </c>
      <c r="BG55" s="20">
        <f t="shared" si="7"/>
        <v>236.15567000087893</v>
      </c>
      <c r="BH55" s="59">
        <f t="shared" si="8"/>
        <v>529.48900333421227</v>
      </c>
      <c r="BI55" s="59">
        <f ca="1">AVERAGE(OFFSET($BH$3,0,0,'Données projet'!$E$11+1,1))-AVERAGE(OFFSET($H$3,0,0,'Données projet'!$E$11+1,1))</f>
        <v>183.67580045784649</v>
      </c>
      <c r="BJ55" s="59">
        <f t="shared" si="38"/>
        <v>121.08269345608767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31.523306997506388</v>
      </c>
      <c r="BR55" s="21">
        <f>EXP(-LN(2)/2)*BR54+(1-EXP(-LN(2)/2))/(LN(2)/2)*BL55*BO55*VLOOKUP('Données projet'!$B$11,Paramètres!$A$1:$I$89,3,0)*0.475*44/12</f>
        <v>28.05307510182746</v>
      </c>
      <c r="BS55" s="22">
        <f t="shared" si="9"/>
        <v>59.576382099333848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5.2</v>
      </c>
      <c r="BY55" s="12">
        <f>IF('Données projet'!$A$114&gt;35,BY54+BX55-CG54,IF(A55&lt;'Données projet'!$A$114,$BV$205^A55,IF(A55='Données projet'!$A$114,'Données projet'!$B$114,BY54+BX55-CG54)))</f>
        <v>165.4</v>
      </c>
      <c r="BZ55" s="13">
        <f>BY55*VLOOKUP('Données projet'!$B$12,Paramètres!$A$1:$I$89,3,0)*VLOOKUP('Données projet'!$B$12,Paramètres!$A$1:$I$89,5,0)</f>
        <v>144.49344000000002</v>
      </c>
      <c r="CA55" s="13">
        <f t="shared" si="39"/>
        <v>37.324489208332842</v>
      </c>
      <c r="CB55" s="20">
        <f t="shared" si="10"/>
        <v>316.66622670451306</v>
      </c>
      <c r="CC55" s="59">
        <f t="shared" si="11"/>
        <v>609.99956003784632</v>
      </c>
      <c r="CD55" s="59">
        <f ca="1">AVERAGE(OFFSET($CC$3,0,0,'Données projet'!$E$12+1,1))-AVERAGE(OFFSET($H$3,0,0,'Données projet'!$E$12+1,1))</f>
        <v>216.10252108537389</v>
      </c>
      <c r="CE55" s="59">
        <f t="shared" si="40"/>
        <v>196.91968622092054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9.7238462776370085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9.7238462776370085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7.2307692307692264</v>
      </c>
      <c r="CT55" s="12">
        <f>IF('Données projet'!$A$140&gt;35,CT54+CS55-DB54,IF(A55&lt;'Données projet'!$A$140,$CQ$205^A55,IF(A55='Données projet'!$A$140,'Données projet'!$B$140,CT54+CS55-DB54)))</f>
        <v>144.60256410256423</v>
      </c>
      <c r="CU55" s="17">
        <f>CT55*VLOOKUP('Données projet'!$B$13,Paramètres!$A$1:$I$89,3,0)*VLOOKUP('Données projet'!$B$13,Paramètres!$A$1:$I$89,5,0)</f>
        <v>130.83640000000011</v>
      </c>
      <c r="CV55" s="13">
        <f t="shared" si="41"/>
        <v>34.189554618744111</v>
      </c>
      <c r="CW55" s="20">
        <f t="shared" si="13"/>
        <v>287.42020429431284</v>
      </c>
      <c r="CX55" s="59">
        <f t="shared" si="14"/>
        <v>580.75353762764621</v>
      </c>
      <c r="CY55" s="59">
        <f ca="1">AVERAGE(OFFSET($CX$3,0,0,'Données projet'!$E$13+1,1))-AVERAGE(OFFSET($H$3,0,0,'Données projet'!$E$13+1,1))</f>
        <v>318.01858325056168</v>
      </c>
      <c r="CZ55" s="59">
        <f t="shared" si="42"/>
        <v>119.46953274700951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24.803999999999998</v>
      </c>
      <c r="D56" s="11">
        <f t="shared" si="32"/>
        <v>7.8659550268183116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252.18912652280798</v>
      </c>
      <c r="H56" s="67">
        <f t="shared" si="1"/>
        <v>350.23350500504188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10.433653846153845</v>
      </c>
      <c r="N56" s="13">
        <f>IF('Données projet'!$A$36&gt;35,N55+M56-V55,IF(A56&lt;'Données projet'!$A$36,$K$205^A56,IF(A56='Données projet'!$A$36,'Données projet'!$B$36,N55+M56-V55)))</f>
        <v>280.4644230769228</v>
      </c>
      <c r="O56" s="13">
        <f>N56*VLOOKUP('Données projet'!$B$9,Paramètres!$A$1:$I$89,3,0)*VLOOKUP('Données projet'!$B$9,Paramètres!$A$1:$I$89,5,0)</f>
        <v>167.71772499999983</v>
      </c>
      <c r="P56" s="13">
        <f t="shared" si="33"/>
        <v>42.578468510426148</v>
      </c>
      <c r="Q56" s="20">
        <f t="shared" si="53"/>
        <v>366.26587036399184</v>
      </c>
      <c r="R56" s="59">
        <f t="shared" si="0"/>
        <v>659.59920369732515</v>
      </c>
      <c r="S56" s="59">
        <f ca="1">AVERAGE(OFFSET($R$3,0,0,'Données projet'!$E$9+1,1))-AVERAGE(OFFSET($H$3,0,0,'Données projet'!$E$9+1,1))</f>
        <v>200.15574321350221</v>
      </c>
      <c r="T56" s="59">
        <f t="shared" si="34"/>
        <v>200.70728852570426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47.541980337092554</v>
      </c>
      <c r="AA56" s="21">
        <f>EXP(-LN(2)/25)*AA55+(1-EXP(-LN(2)/25))/(LN(2)/25)*Calculateur!V56*Calculateur!X56*VLOOKUP('Données projet'!$B$9,Paramètres!$A$1:$I$89,3,0)*0.475*44/12</f>
        <v>18.238928374688708</v>
      </c>
      <c r="AB56" s="21">
        <f>EXP(-LN(2)/2)*AB55+(1-EXP(-LN(2)/2))/(LN(2)/2)*V56*Y56*VLOOKUP('Données projet'!$B$9,Paramètres!$A$1:$I$89,3,0)*0.475*44/12</f>
        <v>4.1767819676124995</v>
      </c>
      <c r="AC56" s="22">
        <f t="shared" si="3"/>
        <v>69.957690679393764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45.407317338461951</v>
      </c>
      <c r="AO56" s="59">
        <f t="shared" si="36"/>
        <v>149.88701606165358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18.664065865184853</v>
      </c>
      <c r="AV56" s="21">
        <f>EXP(-LN(2)/25)*AV55+(1-EXP(-LN(2)/25))/(LN(2)/25)*Calculateur!AQ56*Calculateur!AS56*VLOOKUP('Données projet'!$B$10,Paramètres!$A$1:$I$89,3,0)*0.475*44/12</f>
        <v>3.067289773454335</v>
      </c>
      <c r="AW56" s="21">
        <f>EXP(-LN(2)/2)*AW55+(1-EXP(-LN(2)/2))/(LN(2)/2)*AQ56*AT56*VLOOKUP('Données projet'!$B$10,Paramètres!$A$1:$I$89,3,0)*0.475*44/12</f>
        <v>1.1800183557098953E-4</v>
      </c>
      <c r="AX56" s="21">
        <f t="shared" si="6"/>
        <v>21.731473640474757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11.170769230769233</v>
      </c>
      <c r="BD56" s="12">
        <f>IF('Données projet'!$A$88&gt;35,BD55+BC56-BL55,IF(A56&lt;'Données projet'!$A$88,$BA$205^A56,IF(A56='Données projet'!$A$88,'Données projet'!$B$88,BD55+BC56-BL55)))</f>
        <v>239.74923076923099</v>
      </c>
      <c r="BE56" s="13">
        <f>BD56*VLOOKUP('Données projet'!$B$11,Paramètres!$A$1:$I$89,3,0)*VLOOKUP('Données projet'!$B$11,Paramètres!$A$1:$I$89,5,0)</f>
        <v>112.2026400000001</v>
      </c>
      <c r="BF56" s="13">
        <f t="shared" si="37"/>
        <v>29.84934340268536</v>
      </c>
      <c r="BG56" s="20">
        <f t="shared" si="7"/>
        <v>247.40720442634384</v>
      </c>
      <c r="BH56" s="59">
        <f t="shared" si="8"/>
        <v>540.74053775967718</v>
      </c>
      <c r="BI56" s="59">
        <f ca="1">AVERAGE(OFFSET($BH$3,0,0,'Données projet'!$E$11+1,1))-AVERAGE(OFFSET($H$3,0,0,'Données projet'!$E$11+1,1))</f>
        <v>183.67580045784649</v>
      </c>
      <c r="BJ56" s="59">
        <f t="shared" si="38"/>
        <v>121.08269345608767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30.66130050992091</v>
      </c>
      <c r="BR56" s="21">
        <f>EXP(-LN(2)/2)*BR55+(1-EXP(-LN(2)/2))/(LN(2)/2)*BL56*BO56*VLOOKUP('Données projet'!$B$11,Paramètres!$A$1:$I$89,3,0)*0.475*44/12</f>
        <v>19.836519637637696</v>
      </c>
      <c r="BS56" s="22">
        <f t="shared" si="9"/>
        <v>50.497820147558606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5.2</v>
      </c>
      <c r="BY56" s="12">
        <f>IF('Données projet'!$A$114&gt;35,BY55+BX56-CG55,IF(A56&lt;'Données projet'!$A$114,$BV$205^A56,IF(A56='Données projet'!$A$114,'Données projet'!$B$114,BY55+BX56-CG55)))</f>
        <v>170.6</v>
      </c>
      <c r="BZ56" s="13">
        <f>BY56*VLOOKUP('Données projet'!$B$12,Paramètres!$A$1:$I$89,3,0)*VLOOKUP('Données projet'!$B$12,Paramètres!$A$1:$I$89,5,0)</f>
        <v>149.03616</v>
      </c>
      <c r="CA56" s="13">
        <f t="shared" si="39"/>
        <v>38.35946741279561</v>
      </c>
      <c r="CB56" s="20">
        <f t="shared" si="10"/>
        <v>326.38071774395229</v>
      </c>
      <c r="CC56" s="59">
        <f t="shared" si="11"/>
        <v>619.7140510772856</v>
      </c>
      <c r="CD56" s="59">
        <f ca="1">AVERAGE(OFFSET($CC$3,0,0,'Données projet'!$E$12+1,1))-AVERAGE(OFFSET($H$3,0,0,'Données projet'!$E$12+1,1))</f>
        <v>216.10252108537389</v>
      </c>
      <c r="CE56" s="59">
        <f t="shared" si="40"/>
        <v>196.91968622092054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9.4579471898201728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9.4579471898201728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7.2307692307692264</v>
      </c>
      <c r="CT56" s="12">
        <f>IF('Données projet'!$A$140&gt;35,CT55+CS56-DB55,IF(A56&lt;'Données projet'!$A$140,$CQ$205^A56,IF(A56='Données projet'!$A$140,'Données projet'!$B$140,CT55+CS56-DB55)))</f>
        <v>151.83333333333346</v>
      </c>
      <c r="CU56" s="17">
        <f>CT56*VLOOKUP('Données projet'!$B$13,Paramètres!$A$1:$I$89,3,0)*VLOOKUP('Données projet'!$B$13,Paramètres!$A$1:$I$89,5,0)</f>
        <v>137.37880000000013</v>
      </c>
      <c r="CV56" s="13">
        <f t="shared" si="41"/>
        <v>35.695866453131174</v>
      </c>
      <c r="CW56" s="20">
        <f t="shared" si="13"/>
        <v>301.43837740587037</v>
      </c>
      <c r="CX56" s="59">
        <f t="shared" si="14"/>
        <v>594.77171073920363</v>
      </c>
      <c r="CY56" s="59">
        <f ca="1">AVERAGE(OFFSET($CX$3,0,0,'Données projet'!$E$13+1,1))-AVERAGE(OFFSET($H$3,0,0,'Données projet'!$E$13+1,1))</f>
        <v>318.01858325056168</v>
      </c>
      <c r="CZ56" s="59">
        <f t="shared" si="42"/>
        <v>119.46953274700951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25.271999999999998</v>
      </c>
      <c r="D57" s="11">
        <f t="shared" si="32"/>
        <v>7.996950850258413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256.81295393181932</v>
      </c>
      <c r="H57" s="67">
        <f t="shared" si="1"/>
        <v>351.27675606420007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10.433653846153845</v>
      </c>
      <c r="N57" s="13">
        <f>IF('Données projet'!$A$36&gt;35,N56+M57-V56,IF(A57&lt;'Données projet'!$A$36,$K$205^A57,IF(A57='Données projet'!$A$36,'Données projet'!$B$36,N56+M57-V56)))</f>
        <v>290.89807692307664</v>
      </c>
      <c r="O57" s="13">
        <f>N57*VLOOKUP('Données projet'!$B$9,Paramètres!$A$1:$I$89,3,0)*VLOOKUP('Données projet'!$B$9,Paramètres!$A$1:$I$89,5,0)</f>
        <v>173.95704999999984</v>
      </c>
      <c r="P57" s="13">
        <f t="shared" si="33"/>
        <v>43.975080818549294</v>
      </c>
      <c r="Q57" s="20">
        <f t="shared" si="53"/>
        <v>379.56512784230637</v>
      </c>
      <c r="R57" s="59">
        <f t="shared" si="0"/>
        <v>672.89846117563968</v>
      </c>
      <c r="S57" s="59">
        <f ca="1">AVERAGE(OFFSET($R$3,0,0,'Données projet'!$E$9+1,1))-AVERAGE(OFFSET($H$3,0,0,'Données projet'!$E$9+1,1))</f>
        <v>200.15574321350221</v>
      </c>
      <c r="T57" s="59">
        <f t="shared" si="34"/>
        <v>200.70728852570426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46.609711100426885</v>
      </c>
      <c r="AA57" s="21">
        <f>EXP(-LN(2)/25)*AA56+(1-EXP(-LN(2)/25))/(LN(2)/25)*Calculateur!V57*Calculateur!X57*VLOOKUP('Données projet'!$B$9,Paramètres!$A$1:$I$89,3,0)*0.475*44/12</f>
        <v>17.740183919139287</v>
      </c>
      <c r="AB57" s="21">
        <f>EXP(-LN(2)/2)*AB56+(1-EXP(-LN(2)/2))/(LN(2)/2)*V57*Y57*VLOOKUP('Données projet'!$B$9,Paramètres!$A$1:$I$89,3,0)*0.475*44/12</f>
        <v>2.9534308528364894</v>
      </c>
      <c r="AC57" s="22">
        <f t="shared" si="3"/>
        <v>67.303325872402667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45.407317338461951</v>
      </c>
      <c r="AO57" s="59">
        <f t="shared" si="36"/>
        <v>149.88701606165358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18.298074917524684</v>
      </c>
      <c r="AV57" s="21">
        <f>EXP(-LN(2)/25)*AV56+(1-EXP(-LN(2)/25))/(LN(2)/25)*Calculateur!AQ57*Calculateur!AS57*VLOOKUP('Données projet'!$B$10,Paramètres!$A$1:$I$89,3,0)*0.475*44/12</f>
        <v>2.9834145732974675</v>
      </c>
      <c r="AW57" s="21">
        <f>EXP(-LN(2)/2)*AW56+(1-EXP(-LN(2)/2))/(LN(2)/2)*AQ57*AT57*VLOOKUP('Données projet'!$B$10,Paramètres!$A$1:$I$89,3,0)*0.475*44/12</f>
        <v>8.3439898124706657E-5</v>
      </c>
      <c r="AX57" s="21">
        <f t="shared" si="6"/>
        <v>21.281572930720273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11.170769230769233</v>
      </c>
      <c r="BD57" s="12">
        <f>IF('Données projet'!$A$88&gt;35,BD56+BC57-BL56,IF(A57&lt;'Données projet'!$A$88,$BA$205^A57,IF(A57='Données projet'!$A$88,'Données projet'!$B$88,BD56+BC57-BL56)))</f>
        <v>250.92000000000021</v>
      </c>
      <c r="BE57" s="13">
        <f>BD57*VLOOKUP('Données projet'!$B$11,Paramètres!$A$1:$I$89,3,0)*VLOOKUP('Données projet'!$B$11,Paramètres!$A$1:$I$89,5,0)</f>
        <v>117.43056000000011</v>
      </c>
      <c r="BF57" s="13">
        <f t="shared" si="37"/>
        <v>31.074966780724139</v>
      </c>
      <c r="BG57" s="20">
        <f t="shared" si="7"/>
        <v>258.64712580976141</v>
      </c>
      <c r="BH57" s="59">
        <f t="shared" si="8"/>
        <v>551.98045914309478</v>
      </c>
      <c r="BI57" s="59">
        <f ca="1">AVERAGE(OFFSET($BH$3,0,0,'Données projet'!$E$11+1,1))-AVERAGE(OFFSET($H$3,0,0,'Données projet'!$E$11+1,1))</f>
        <v>183.67580045784649</v>
      </c>
      <c r="BJ57" s="59">
        <f t="shared" si="38"/>
        <v>121.08269345608767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29.822865635069405</v>
      </c>
      <c r="BR57" s="21">
        <f>EXP(-LN(2)/2)*BR56+(1-EXP(-LN(2)/2))/(LN(2)/2)*BL57*BO57*VLOOKUP('Données projet'!$B$11,Paramètres!$A$1:$I$89,3,0)*0.475*44/12</f>
        <v>14.026537550913732</v>
      </c>
      <c r="BS57" s="22">
        <f t="shared" si="9"/>
        <v>43.849403185983135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5.2</v>
      </c>
      <c r="BY57" s="12">
        <f>IF('Données projet'!$A$114&gt;35,BY56+BX57-CG56,IF(A57&lt;'Données projet'!$A$114,$BV$205^A57,IF(A57='Données projet'!$A$114,'Données projet'!$B$114,BY56+BX57-CG56)))</f>
        <v>175.79999999999998</v>
      </c>
      <c r="BZ57" s="13">
        <f>BY57*VLOOKUP('Données projet'!$B$12,Paramètres!$A$1:$I$89,3,0)*VLOOKUP('Données projet'!$B$12,Paramètres!$A$1:$I$89,5,0)</f>
        <v>153.57888</v>
      </c>
      <c r="CA57" s="13">
        <f t="shared" si="39"/>
        <v>39.390779474606148</v>
      </c>
      <c r="CB57" s="20">
        <f t="shared" si="10"/>
        <v>336.08882358493901</v>
      </c>
      <c r="CC57" s="59">
        <f t="shared" si="11"/>
        <v>629.42215691827232</v>
      </c>
      <c r="CD57" s="59">
        <f ca="1">AVERAGE(OFFSET($CC$3,0,0,'Données projet'!$E$12+1,1))-AVERAGE(OFFSET($H$3,0,0,'Données projet'!$E$12+1,1))</f>
        <v>216.10252108537389</v>
      </c>
      <c r="CE57" s="59">
        <f t="shared" si="40"/>
        <v>196.91968622092054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9.1993191265427132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9.1993191265427132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7.2307692307692264</v>
      </c>
      <c r="CT57" s="12">
        <f>IF('Données projet'!$A$140&gt;35,CT56+CS57-DB56,IF(A57&lt;'Données projet'!$A$140,$CQ$205^A57,IF(A57='Données projet'!$A$140,'Données projet'!$B$140,CT56+CS57-DB56)))</f>
        <v>159.06410256410268</v>
      </c>
      <c r="CU57" s="17">
        <f>CT57*VLOOKUP('Données projet'!$B$13,Paramètres!$A$1:$I$89,3,0)*VLOOKUP('Données projet'!$B$13,Paramètres!$A$1:$I$89,5,0)</f>
        <v>143.92120000000011</v>
      </c>
      <c r="CV57" s="13">
        <f t="shared" si="41"/>
        <v>37.193848087208842</v>
      </c>
      <c r="CW57" s="20">
        <f t="shared" si="13"/>
        <v>315.44204208522223</v>
      </c>
      <c r="CX57" s="59">
        <f t="shared" si="14"/>
        <v>608.77537541855554</v>
      </c>
      <c r="CY57" s="59">
        <f ca="1">AVERAGE(OFFSET($CX$3,0,0,'Données projet'!$E$13+1,1))-AVERAGE(OFFSET($H$3,0,0,'Données projet'!$E$13+1,1))</f>
        <v>318.01858325056168</v>
      </c>
      <c r="CZ57" s="59">
        <f t="shared" si="42"/>
        <v>119.46953274700951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25.74</v>
      </c>
      <c r="D58" s="11">
        <f t="shared" si="32"/>
        <v>8.1276645919917723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261.43460386800666</v>
      </c>
      <c r="H58" s="67">
        <f t="shared" si="1"/>
        <v>352.31951583105229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10.433653846153845</v>
      </c>
      <c r="N58" s="13">
        <f>IF('Données projet'!$A$36&gt;35,N57+M58-V57,IF(A58&lt;'Données projet'!$A$36,$K$205^A58,IF(A58='Données projet'!$A$36,'Données projet'!$B$36,N57+M58-V57)))</f>
        <v>301.33173076923049</v>
      </c>
      <c r="O58" s="13">
        <f>N58*VLOOKUP('Données projet'!$B$9,Paramètres!$A$1:$I$89,3,0)*VLOOKUP('Données projet'!$B$9,Paramètres!$A$1:$I$89,5,0)</f>
        <v>180.19637499999985</v>
      </c>
      <c r="P58" s="13">
        <f t="shared" si="33"/>
        <v>45.365873213127998</v>
      </c>
      <c r="Q58" s="20">
        <f t="shared" si="53"/>
        <v>392.85424897119765</v>
      </c>
      <c r="R58" s="59">
        <f t="shared" si="0"/>
        <v>686.18758230453091</v>
      </c>
      <c r="S58" s="59">
        <f ca="1">AVERAGE(OFFSET($R$3,0,0,'Données projet'!$E$9+1,1))-AVERAGE(OFFSET($H$3,0,0,'Données projet'!$E$9+1,1))</f>
        <v>200.15574321350221</v>
      </c>
      <c r="T58" s="59">
        <f t="shared" si="34"/>
        <v>200.70728852570426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45.695723094864142</v>
      </c>
      <c r="AA58" s="21">
        <f>EXP(-LN(2)/25)*AA57+(1-EXP(-LN(2)/25))/(LN(2)/25)*Calculateur!V58*Calculateur!X58*VLOOKUP('Données projet'!$B$9,Paramètres!$A$1:$I$89,3,0)*0.475*44/12</f>
        <v>17.255077656954697</v>
      </c>
      <c r="AB58" s="21">
        <f>EXP(-LN(2)/2)*AB57+(1-EXP(-LN(2)/2))/(LN(2)/2)*V58*Y58*VLOOKUP('Données projet'!$B$9,Paramètres!$A$1:$I$89,3,0)*0.475*44/12</f>
        <v>2.0883909838062502</v>
      </c>
      <c r="AC58" s="22">
        <f t="shared" si="3"/>
        <v>65.039191735625096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45.407317338461951</v>
      </c>
      <c r="AO58" s="59">
        <f t="shared" si="36"/>
        <v>149.88701606165358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17.939260829115693</v>
      </c>
      <c r="AV58" s="21">
        <f>EXP(-LN(2)/25)*AV57+(1-EXP(-LN(2)/25))/(LN(2)/25)*Calculateur!AQ58*Calculateur!AS58*VLOOKUP('Données projet'!$B$10,Paramètres!$A$1:$I$89,3,0)*0.475*44/12</f>
        <v>2.9018329448996947</v>
      </c>
      <c r="AW58" s="21">
        <f>EXP(-LN(2)/2)*AW57+(1-EXP(-LN(2)/2))/(LN(2)/2)*AQ58*AT58*VLOOKUP('Données projet'!$B$10,Paramètres!$A$1:$I$89,3,0)*0.475*44/12</f>
        <v>5.900091778549477E-5</v>
      </c>
      <c r="AX58" s="21">
        <f t="shared" si="6"/>
        <v>20.841152774933175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11.170769230769233</v>
      </c>
      <c r="BD58" s="12">
        <f>IF('Données projet'!$A$88&gt;35,BD57+BC58-BL57,IF(A58&lt;'Données projet'!$A$88,$BA$205^A58,IF(A58='Données projet'!$A$88,'Données projet'!$B$88,BD57+BC58-BL57)))</f>
        <v>262.09076923076947</v>
      </c>
      <c r="BE58" s="13">
        <f>BD58*VLOOKUP('Données projet'!$B$11,Paramètres!$A$1:$I$89,3,0)*VLOOKUP('Données projet'!$B$11,Paramètres!$A$1:$I$89,5,0)</f>
        <v>122.6584800000001</v>
      </c>
      <c r="BF58" s="13">
        <f t="shared" si="37"/>
        <v>32.294253146422101</v>
      </c>
      <c r="BG58" s="20">
        <f t="shared" si="7"/>
        <v>269.87601023001861</v>
      </c>
      <c r="BH58" s="59">
        <f t="shared" si="8"/>
        <v>563.20934356335192</v>
      </c>
      <c r="BI58" s="59">
        <f ca="1">AVERAGE(OFFSET($BH$3,0,0,'Données projet'!$E$11+1,1))-AVERAGE(OFFSET($H$3,0,0,'Données projet'!$E$11+1,1))</f>
        <v>183.67580045784649</v>
      </c>
      <c r="BJ58" s="59">
        <f t="shared" si="38"/>
        <v>121.08269345608767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29.007357805962091</v>
      </c>
      <c r="BR58" s="21">
        <f>EXP(-LN(2)/2)*BR57+(1-EXP(-LN(2)/2))/(LN(2)/2)*BL58*BO58*VLOOKUP('Données projet'!$B$11,Paramètres!$A$1:$I$89,3,0)*0.475*44/12</f>
        <v>9.9182598188188482</v>
      </c>
      <c r="BS58" s="22">
        <f t="shared" si="9"/>
        <v>38.925617624780941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181</v>
      </c>
      <c r="BW58" s="12">
        <f>VLOOKUP(A58,'Données projet'!$A$113:$I$133,9,0)</f>
        <v>5.2</v>
      </c>
      <c r="BX58" s="12">
        <f t="array" ref="BX58">INDEX(BW:BW,MIN(IF(ISNUMBER(BW58:BW254),ROW(BW58:BW254),"")))</f>
        <v>5.2</v>
      </c>
      <c r="BY58" s="12">
        <f>IF('Données projet'!$A$114&gt;35,BY57+BX58-CG57,IF(A58&lt;'Données projet'!$A$114,$BV$205^A58,IF(A58='Données projet'!$A$114,'Données projet'!$B$114,BY57+BX58-CG57)))</f>
        <v>180.99999999999997</v>
      </c>
      <c r="BZ58" s="13">
        <f>BY58*VLOOKUP('Données projet'!$B$12,Paramètres!$A$1:$I$89,3,0)*VLOOKUP('Données projet'!$B$12,Paramètres!$A$1:$I$89,5,0)</f>
        <v>158.1216</v>
      </c>
      <c r="CA58" s="13">
        <f t="shared" si="39"/>
        <v>40.418546284954211</v>
      </c>
      <c r="CB58" s="20">
        <f t="shared" si="10"/>
        <v>345.79075477962851</v>
      </c>
      <c r="CC58" s="59">
        <f t="shared" si="11"/>
        <v>639.12408811296177</v>
      </c>
      <c r="CD58" s="59">
        <f ca="1">AVERAGE(OFFSET($CC$3,0,0,'Données projet'!$E$12+1,1))-AVERAGE(OFFSET($H$3,0,0,'Données projet'!$E$12+1,1))</f>
        <v>216.10252108537389</v>
      </c>
      <c r="CE58" s="59">
        <f t="shared" si="40"/>
        <v>196.91968622092054</v>
      </c>
      <c r="CF58" s="15">
        <f>IF(ISNA(VLOOKUP(A58,'Données projet'!$A$113:$I$133,3,0)),0,VLOOKUP(A58,'Données projet'!$A$113:$I$133,3,0))</f>
        <v>8</v>
      </c>
      <c r="CG58" s="15" t="str">
        <f>IF(ISNA(VLOOKUP(A58,'Données projet'!$A$113:$I$133,4,0)),0,VLOOKUP(A58,'Données projet'!$A$113:$I$133,4,0))</f>
        <v>17</v>
      </c>
      <c r="CH58" s="16">
        <f>IF(ISNA(VLOOKUP(A58,'Données projet'!$A$113:$I$133,5,0)),0%,VLOOKUP(A58,'Données projet'!$A$113:$I$133,5,0)*VLOOKUP('Données projet'!$B$12,Paramètres!$A$1:$I$89,7,0))</f>
        <v>0.17200000000000001</v>
      </c>
      <c r="CI58" s="16">
        <f>IF(ISNA(VLOOKUP(A58,'Données projet'!$A$113:$I$133,6,0)),0%,VLOOKUP(A58,'Données projet'!$A$113:$I$133,6,0)*VLOOKUP('Données projet'!$B$12,Paramètres!$A$1:$I$89,7,0))</f>
        <v>0.17200000000000001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2.823820612489397</v>
      </c>
      <c r="CL58" s="21">
        <f>EXP(-LN(2)/25)*CL57+(1-EXP(-LN(2)/25))/(LN(2)/25)*Calculateur!CG58*Calculateur!CI58*VLOOKUP('Données projet'!$B$12,Paramètres!$A$1:$I$89,3,0)*0.475*44/12</f>
        <v>11.760465416034254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14.584286028523652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7.2307692307692264</v>
      </c>
      <c r="CT58" s="12">
        <f>IF('Données projet'!$A$140&gt;35,CT57+CS58-DB57,IF(A58&lt;'Données projet'!$A$140,$CQ$205^A58,IF(A58='Données projet'!$A$140,'Données projet'!$B$140,CT57+CS58-DB57)))</f>
        <v>166.29487179487191</v>
      </c>
      <c r="CU58" s="17">
        <f>CT58*VLOOKUP('Données projet'!$B$13,Paramètres!$A$1:$I$89,3,0)*VLOOKUP('Données projet'!$B$13,Paramètres!$A$1:$I$89,5,0)</f>
        <v>150.4636000000001</v>
      </c>
      <c r="CV58" s="13">
        <f t="shared" si="41"/>
        <v>38.683921455302077</v>
      </c>
      <c r="CW58" s="20">
        <f t="shared" si="13"/>
        <v>329.43193320131792</v>
      </c>
      <c r="CX58" s="59">
        <f t="shared" si="14"/>
        <v>622.76526653465123</v>
      </c>
      <c r="CY58" s="59">
        <f ca="1">AVERAGE(OFFSET($CX$3,0,0,'Données projet'!$E$13+1,1))-AVERAGE(OFFSET($H$3,0,0,'Données projet'!$E$13+1,1))</f>
        <v>318.01858325056168</v>
      </c>
      <c r="CZ58" s="59">
        <f t="shared" si="42"/>
        <v>119.46953274700951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26.207999999999998</v>
      </c>
      <c r="D59" s="11">
        <f t="shared" si="32"/>
        <v>8.2581019723450986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266.05412048827799</v>
      </c>
      <c r="H59" s="67">
        <f t="shared" si="1"/>
        <v>353.361794268501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10.433653846153845</v>
      </c>
      <c r="N59" s="13">
        <f>IF('Données projet'!$A$36&gt;35,N58+M59-V58,IF(A59&lt;'Données projet'!$A$36,$K$205^A59,IF(A59='Données projet'!$A$36,'Données projet'!$B$36,N58+M59-V58)))</f>
        <v>311.76538461538433</v>
      </c>
      <c r="O59" s="13">
        <f>N59*VLOOKUP('Données projet'!$B$9,Paramètres!$A$1:$I$89,3,0)*VLOOKUP('Données projet'!$B$9,Paramètres!$A$1:$I$89,5,0)</f>
        <v>186.43569999999985</v>
      </c>
      <c r="P59" s="13">
        <f t="shared" si="33"/>
        <v>46.751070304344353</v>
      </c>
      <c r="Q59" s="20">
        <f t="shared" si="53"/>
        <v>406.13362494673282</v>
      </c>
      <c r="R59" s="59">
        <f t="shared" si="0"/>
        <v>699.46695828006614</v>
      </c>
      <c r="S59" s="59">
        <f ca="1">AVERAGE(OFFSET($R$3,0,0,'Données projet'!$E$9+1,1))-AVERAGE(OFFSET($H$3,0,0,'Données projet'!$E$9+1,1))</f>
        <v>200.15574321350221</v>
      </c>
      <c r="T59" s="59">
        <f t="shared" si="34"/>
        <v>200.70728852570426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44.799657836612852</v>
      </c>
      <c r="AA59" s="21">
        <f>EXP(-LN(2)/25)*AA58+(1-EXP(-LN(2)/25))/(LN(2)/25)*Calculateur!V59*Calculateur!X59*VLOOKUP('Données projet'!$B$9,Paramètres!$A$1:$I$89,3,0)*0.475*44/12</f>
        <v>16.783236651020175</v>
      </c>
      <c r="AB59" s="21">
        <f>EXP(-LN(2)/2)*AB58+(1-EXP(-LN(2)/2))/(LN(2)/2)*V59*Y59*VLOOKUP('Données projet'!$B$9,Paramètres!$A$1:$I$89,3,0)*0.475*44/12</f>
        <v>1.4767154264182449</v>
      </c>
      <c r="AC59" s="22">
        <f t="shared" si="3"/>
        <v>63.059609914051272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45.407317338461951</v>
      </c>
      <c r="AO59" s="59">
        <f t="shared" si="36"/>
        <v>149.88701606165358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17.58748286612542</v>
      </c>
      <c r="AV59" s="21">
        <f>EXP(-LN(2)/25)*AV58+(1-EXP(-LN(2)/25))/(LN(2)/25)*Calculateur!AQ59*Calculateur!AS59*VLOOKUP('Données projet'!$B$10,Paramètres!$A$1:$I$89,3,0)*0.475*44/12</f>
        <v>2.82248217042065</v>
      </c>
      <c r="AW59" s="21">
        <f>EXP(-LN(2)/2)*AW58+(1-EXP(-LN(2)/2))/(LN(2)/2)*AQ59*AT59*VLOOKUP('Données projet'!$B$10,Paramètres!$A$1:$I$89,3,0)*0.475*44/12</f>
        <v>4.1719949062353335E-5</v>
      </c>
      <c r="AX59" s="21">
        <f t="shared" si="6"/>
        <v>20.410006756495132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11.170769230769233</v>
      </c>
      <c r="BD59" s="12">
        <f>IF('Données projet'!$A$88&gt;35,BD58+BC59-BL58,IF(A59&lt;'Données projet'!$A$88,$BA$205^A59,IF(A59='Données projet'!$A$88,'Données projet'!$B$88,BD58+BC59-BL58)))</f>
        <v>273.26153846153869</v>
      </c>
      <c r="BE59" s="13">
        <f>BD59*VLOOKUP('Données projet'!$B$11,Paramètres!$A$1:$I$89,3,0)*VLOOKUP('Données projet'!$B$11,Paramètres!$A$1:$I$89,5,0)</f>
        <v>127.88640000000011</v>
      </c>
      <c r="BF59" s="13">
        <f t="shared" si="37"/>
        <v>33.507503472593491</v>
      </c>
      <c r="BG59" s="20">
        <f t="shared" si="7"/>
        <v>281.09438188143378</v>
      </c>
      <c r="BH59" s="59">
        <f t="shared" si="8"/>
        <v>574.42771521476709</v>
      </c>
      <c r="BI59" s="59">
        <f ca="1">AVERAGE(OFFSET($BH$3,0,0,'Données projet'!$E$11+1,1))-AVERAGE(OFFSET($H$3,0,0,'Données projet'!$E$11+1,1))</f>
        <v>183.67580045784649</v>
      </c>
      <c r="BJ59" s="59">
        <f t="shared" si="38"/>
        <v>121.08269345608767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28.214150081327407</v>
      </c>
      <c r="BR59" s="21">
        <f>EXP(-LN(2)/2)*BR58+(1-EXP(-LN(2)/2))/(LN(2)/2)*BL59*BO59*VLOOKUP('Données projet'!$B$11,Paramètres!$A$1:$I$89,3,0)*0.475*44/12</f>
        <v>7.0132687754568659</v>
      </c>
      <c r="BS59" s="22">
        <f t="shared" si="9"/>
        <v>35.227418856784276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</v>
      </c>
      <c r="BY59" s="12">
        <f>IF('Données projet'!$A$114&gt;35,BY58+BX59-CG58,IF(A59&lt;'Données projet'!$A$114,$BV$205^A59,IF(A59='Données projet'!$A$114,'Données projet'!$B$114,BY58+BX59-CG58)))</f>
        <v>168.99999999999997</v>
      </c>
      <c r="BZ59" s="13">
        <f>BY59*VLOOKUP('Données projet'!$B$12,Paramètres!$A$1:$I$89,3,0)*VLOOKUP('Données projet'!$B$12,Paramètres!$A$1:$I$89,5,0)</f>
        <v>147.63839999999999</v>
      </c>
      <c r="CA59" s="13">
        <f t="shared" si="39"/>
        <v>38.041408878951295</v>
      </c>
      <c r="CB59" s="20">
        <f t="shared" si="10"/>
        <v>323.39233379750681</v>
      </c>
      <c r="CC59" s="59">
        <f t="shared" si="11"/>
        <v>616.72566713084007</v>
      </c>
      <c r="CD59" s="59">
        <f ca="1">AVERAGE(OFFSET($CC$3,0,0,'Données projet'!$E$12+1,1))-AVERAGE(OFFSET($H$3,0,0,'Données projet'!$E$12+1,1))</f>
        <v>216.10252108537389</v>
      </c>
      <c r="CE59" s="59">
        <f t="shared" si="40"/>
        <v>196.91968622092054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2.7684472126389847</v>
      </c>
      <c r="CL59" s="21">
        <f>EXP(-LN(2)/25)*CL58+(1-EXP(-LN(2)/25))/(LN(2)/25)*Calculateur!CG59*Calculateur!CI59*VLOOKUP('Données projet'!$B$12,Paramètres!$A$1:$I$89,3,0)*0.475*44/12</f>
        <v>11.4388748707768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14.207322083415786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7.2307692307692264</v>
      </c>
      <c r="CT59" s="12">
        <f>IF('Données projet'!$A$140&gt;35,CT58+CS59-DB58,IF(A59&lt;'Données projet'!$A$140,$CQ$205^A59,IF(A59='Données projet'!$A$140,'Données projet'!$B$140,CT58+CS59-DB58)))</f>
        <v>173.52564102564114</v>
      </c>
      <c r="CU59" s="17">
        <f>CT59*VLOOKUP('Données projet'!$B$13,Paramètres!$A$1:$I$89,3,0)*VLOOKUP('Données projet'!$B$13,Paramètres!$A$1:$I$89,5,0)</f>
        <v>157.00600000000009</v>
      </c>
      <c r="CV59" s="13">
        <f t="shared" si="41"/>
        <v>40.166469723989842</v>
      </c>
      <c r="CW59" s="20">
        <f t="shared" si="13"/>
        <v>343.40871810261575</v>
      </c>
      <c r="CX59" s="59">
        <f t="shared" si="14"/>
        <v>636.74205143594907</v>
      </c>
      <c r="CY59" s="59">
        <f ca="1">AVERAGE(OFFSET($CX$3,0,0,'Données projet'!$E$13+1,1))-AVERAGE(OFFSET($H$3,0,0,'Données projet'!$E$13+1,1))</f>
        <v>318.01858325056168</v>
      </c>
      <c r="CZ59" s="59">
        <f t="shared" si="42"/>
        <v>119.46953274700951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26.675999999999998</v>
      </c>
      <c r="D60" s="11">
        <f t="shared" si="32"/>
        <v>8.388268495647786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270.67154628219339</v>
      </c>
      <c r="H60" s="67">
        <f t="shared" si="1"/>
        <v>354.40360096325321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10.433653846153845</v>
      </c>
      <c r="N60" s="13">
        <f>IF('Données projet'!$A$36&gt;35,N59+M60-V59,IF(A60&lt;'Données projet'!$A$36,$K$205^A60,IF(A60='Données projet'!$A$36,'Données projet'!$B$36,N59+M60-V59)))</f>
        <v>322.19903846153818</v>
      </c>
      <c r="O60" s="13">
        <f>N60*VLOOKUP('Données projet'!$B$9,Paramètres!$A$1:$I$89,3,0)*VLOOKUP('Données projet'!$B$9,Paramètres!$A$1:$I$89,5,0)</f>
        <v>192.67502499999983</v>
      </c>
      <c r="P60" s="13">
        <f t="shared" si="33"/>
        <v>48.130880815569739</v>
      </c>
      <c r="Q60" s="20">
        <f t="shared" si="53"/>
        <v>419.40361929545037</v>
      </c>
      <c r="R60" s="59">
        <f t="shared" si="0"/>
        <v>712.73695262878368</v>
      </c>
      <c r="S60" s="59">
        <f ca="1">AVERAGE(OFFSET($R$3,0,0,'Données projet'!$E$9+1,1))-AVERAGE(OFFSET($H$3,0,0,'Données projet'!$E$9+1,1))</f>
        <v>200.15574321350221</v>
      </c>
      <c r="T60" s="59">
        <f t="shared" si="34"/>
        <v>200.70728852570426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43.921163871530027</v>
      </c>
      <c r="AA60" s="21">
        <f>EXP(-LN(2)/25)*AA59+(1-EXP(-LN(2)/25))/(LN(2)/25)*Calculateur!V60*Calculateur!X60*VLOOKUP('Données projet'!$B$9,Paramètres!$A$1:$I$89,3,0)*0.475*44/12</f>
        <v>16.32429816220597</v>
      </c>
      <c r="AB60" s="21">
        <f>EXP(-LN(2)/2)*AB59+(1-EXP(-LN(2)/2))/(LN(2)/2)*V60*Y60*VLOOKUP('Données projet'!$B$9,Paramètres!$A$1:$I$89,3,0)*0.475*44/12</f>
        <v>1.0441954919031251</v>
      </c>
      <c r="AC60" s="22">
        <f t="shared" si="3"/>
        <v>61.289657525639122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45.407317338461951</v>
      </c>
      <c r="AO60" s="59">
        <f t="shared" si="36"/>
        <v>149.88701606165358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17.242603054426016</v>
      </c>
      <c r="AV60" s="21">
        <f>EXP(-LN(2)/25)*AV59+(1-EXP(-LN(2)/25))/(LN(2)/25)*Calculateur!AQ60*Calculateur!AS60*VLOOKUP('Données projet'!$B$10,Paramètres!$A$1:$I$89,3,0)*0.475*44/12</f>
        <v>2.7453012470426108</v>
      </c>
      <c r="AW60" s="21">
        <f>EXP(-LN(2)/2)*AW59+(1-EXP(-LN(2)/2))/(LN(2)/2)*AQ60*AT60*VLOOKUP('Données projet'!$B$10,Paramètres!$A$1:$I$89,3,0)*0.475*44/12</f>
        <v>2.9500458892747392E-5</v>
      </c>
      <c r="AX60" s="21">
        <f t="shared" si="6"/>
        <v>19.987933801927522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11.170769230769233</v>
      </c>
      <c r="BD60" s="12">
        <f>IF('Données projet'!$A$88&gt;35,BD59+BC60-BL59,IF(A60&lt;'Données projet'!$A$88,$BA$205^A60,IF(A60='Données projet'!$A$88,'Données projet'!$B$88,BD59+BC60-BL59)))</f>
        <v>284.43230769230792</v>
      </c>
      <c r="BE60" s="13">
        <f>BD60*VLOOKUP('Données projet'!$B$11,Paramètres!$A$1:$I$89,3,0)*VLOOKUP('Données projet'!$B$11,Paramètres!$A$1:$I$89,5,0)</f>
        <v>133.11432000000011</v>
      </c>
      <c r="BF60" s="13">
        <f t="shared" si="37"/>
        <v>34.714992732392233</v>
      </c>
      <c r="BG60" s="20">
        <f t="shared" si="7"/>
        <v>292.30271967558332</v>
      </c>
      <c r="BH60" s="59">
        <f t="shared" si="8"/>
        <v>585.63605300891663</v>
      </c>
      <c r="BI60" s="59">
        <f ca="1">AVERAGE(OFFSET($BH$3,0,0,'Données projet'!$E$11+1,1))-AVERAGE(OFFSET($H$3,0,0,'Données projet'!$E$11+1,1))</f>
        <v>183.67580045784649</v>
      </c>
      <c r="BJ60" s="59">
        <f t="shared" si="38"/>
        <v>121.08269345608767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27.442632663635841</v>
      </c>
      <c r="BR60" s="21">
        <f>EXP(-LN(2)/2)*BR59+(1-EXP(-LN(2)/2))/(LN(2)/2)*BL60*BO60*VLOOKUP('Données projet'!$B$11,Paramètres!$A$1:$I$89,3,0)*0.475*44/12</f>
        <v>4.9591299094094241</v>
      </c>
      <c r="BS60" s="22">
        <f t="shared" si="9"/>
        <v>32.401762573045268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</v>
      </c>
      <c r="BY60" s="12">
        <f>IF('Données projet'!$A$114&gt;35,BY59+BX60-CG59,IF(A60&lt;'Données projet'!$A$114,$BV$205^A60,IF(A60='Données projet'!$A$114,'Données projet'!$B$114,BY59+BX60-CG59)))</f>
        <v>173.99999999999997</v>
      </c>
      <c r="BZ60" s="13">
        <f>BY60*VLOOKUP('Données projet'!$B$12,Paramètres!$A$1:$I$89,3,0)*VLOOKUP('Données projet'!$B$12,Paramètres!$A$1:$I$89,5,0)</f>
        <v>152.00640000000001</v>
      </c>
      <c r="CA60" s="13">
        <f t="shared" si="39"/>
        <v>39.03419401656145</v>
      </c>
      <c r="CB60" s="20">
        <f t="shared" si="10"/>
        <v>332.72903457884451</v>
      </c>
      <c r="CC60" s="59">
        <f t="shared" si="11"/>
        <v>626.06236791217782</v>
      </c>
      <c r="CD60" s="59">
        <f ca="1">AVERAGE(OFFSET($CC$3,0,0,'Données projet'!$E$12+1,1))-AVERAGE(OFFSET($H$3,0,0,'Données projet'!$E$12+1,1))</f>
        <v>216.10252108537389</v>
      </c>
      <c r="CE60" s="59">
        <f t="shared" si="40"/>
        <v>196.91968622092054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2.7141596513852</v>
      </c>
      <c r="CL60" s="21">
        <f>EXP(-LN(2)/25)*CL59+(1-EXP(-LN(2)/25))/(LN(2)/25)*Calculateur!CG60*Calculateur!CI60*VLOOKUP('Données projet'!$B$12,Paramètres!$A$1:$I$89,3,0)*0.475*44/12</f>
        <v>11.126078235891123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13.840237887276324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7.2307692307692264</v>
      </c>
      <c r="CT60" s="12">
        <f>IF('Données projet'!$A$140&gt;35,CT59+CS60-DB59,IF(A60&lt;'Données projet'!$A$140,$CQ$205^A60,IF(A60='Données projet'!$A$140,'Données projet'!$B$140,CT59+CS60-DB59)))</f>
        <v>180.75641025641036</v>
      </c>
      <c r="CU60" s="17">
        <f>CT60*VLOOKUP('Données projet'!$B$13,Paramètres!$A$1:$I$89,3,0)*VLOOKUP('Données projet'!$B$13,Paramètres!$A$1:$I$89,5,0)</f>
        <v>163.54840000000007</v>
      </c>
      <c r="CV60" s="13">
        <f t="shared" si="41"/>
        <v>41.641842320311184</v>
      </c>
      <c r="CW60" s="20">
        <f t="shared" si="13"/>
        <v>357.37300537454212</v>
      </c>
      <c r="CX60" s="59">
        <f t="shared" si="14"/>
        <v>650.70633870787537</v>
      </c>
      <c r="CY60" s="59">
        <f ca="1">AVERAGE(OFFSET($CX$3,0,0,'Données projet'!$E$13+1,1))-AVERAGE(OFFSET($H$3,0,0,'Données projet'!$E$13+1,1))</f>
        <v>318.01858325056168</v>
      </c>
      <c r="CZ60" s="59">
        <f t="shared" si="42"/>
        <v>119.46953274700951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27.143999999999998</v>
      </c>
      <c r="D61" s="11">
        <f t="shared" si="32"/>
        <v>8.5181694620316346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275.2869221630512</v>
      </c>
      <c r="H61" s="67">
        <f t="shared" si="1"/>
        <v>355.44494514637177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10.433653846153845</v>
      </c>
      <c r="N61" s="13">
        <f>IF('Données projet'!$A$36&gt;35,N60+M61-V60,IF(A61&lt;'Données projet'!$A$36,$K$205^A61,IF(A61='Données projet'!$A$36,'Données projet'!$B$36,N60+M61-V60)))</f>
        <v>332.63269230769203</v>
      </c>
      <c r="O61" s="13">
        <f>N61*VLOOKUP('Données projet'!$B$9,Paramètres!$A$1:$I$89,3,0)*VLOOKUP('Données projet'!$B$9,Paramètres!$A$1:$I$89,5,0)</f>
        <v>198.91434999999984</v>
      </c>
      <c r="P61" s="13">
        <f t="shared" si="33"/>
        <v>49.505499184742547</v>
      </c>
      <c r="Q61" s="20">
        <f t="shared" si="53"/>
        <v>432.66457066342628</v>
      </c>
      <c r="R61" s="59">
        <f t="shared" si="0"/>
        <v>725.99790399675953</v>
      </c>
      <c r="S61" s="59">
        <f ca="1">AVERAGE(OFFSET($R$3,0,0,'Données projet'!$E$9+1,1))-AVERAGE(OFFSET($H$3,0,0,'Données projet'!$E$9+1,1))</f>
        <v>200.15574321350221</v>
      </c>
      <c r="T61" s="59">
        <f t="shared" si="34"/>
        <v>200.70728852570426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43.059896637274065</v>
      </c>
      <c r="AA61" s="21">
        <f>EXP(-LN(2)/25)*AA60+(1-EXP(-LN(2)/25))/(LN(2)/25)*Calculateur!V61*Calculateur!X61*VLOOKUP('Données projet'!$B$9,Paramètres!$A$1:$I$89,3,0)*0.475*44/12</f>
        <v>15.877909370502918</v>
      </c>
      <c r="AB61" s="21">
        <f>EXP(-LN(2)/2)*AB60+(1-EXP(-LN(2)/2))/(LN(2)/2)*V61*Y61*VLOOKUP('Données projet'!$B$9,Paramètres!$A$1:$I$89,3,0)*0.475*44/12</f>
        <v>0.73835771320912247</v>
      </c>
      <c r="AC61" s="22">
        <f t="shared" si="3"/>
        <v>59.676163720986104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45.407317338461951</v>
      </c>
      <c r="AO61" s="59">
        <f t="shared" si="36"/>
        <v>149.88701606165358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16.904486125478122</v>
      </c>
      <c r="AV61" s="21">
        <f>EXP(-LN(2)/25)*AV60+(1-EXP(-LN(2)/25))/(LN(2)/25)*Calculateur!AQ61*Calculateur!AS61*VLOOKUP('Données projet'!$B$10,Paramètres!$A$1:$I$89,3,0)*0.475*44/12</f>
        <v>2.6702308400731125</v>
      </c>
      <c r="AW61" s="21">
        <f>EXP(-LN(2)/2)*AW60+(1-EXP(-LN(2)/2))/(LN(2)/2)*AQ61*AT61*VLOOKUP('Données projet'!$B$10,Paramètres!$A$1:$I$89,3,0)*0.475*44/12</f>
        <v>2.0859974531176671E-5</v>
      </c>
      <c r="AX61" s="21">
        <f t="shared" si="6"/>
        <v>19.574737825525766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11.170769230769233</v>
      </c>
      <c r="BD61" s="12">
        <f>IF('Données projet'!$A$88&gt;35,BD60+BC61-BL60,IF(A61&lt;'Données projet'!$A$88,$BA$205^A61,IF(A61='Données projet'!$A$88,'Données projet'!$B$88,BD60+BC61-BL60)))</f>
        <v>295.60307692307714</v>
      </c>
      <c r="BE61" s="13">
        <f>BD61*VLOOKUP('Données projet'!$B$11,Paramètres!$A$1:$I$89,3,0)*VLOOKUP('Données projet'!$B$11,Paramètres!$A$1:$I$89,5,0)</f>
        <v>138.34224000000009</v>
      </c>
      <c r="BF61" s="13">
        <f t="shared" si="37"/>
        <v>35.916973077604602</v>
      </c>
      <c r="BG61" s="20">
        <f t="shared" si="7"/>
        <v>303.50146277682819</v>
      </c>
      <c r="BH61" s="59">
        <f t="shared" si="8"/>
        <v>596.83479611016151</v>
      </c>
      <c r="BI61" s="59">
        <f ca="1">AVERAGE(OFFSET($BH$3,0,0,'Données projet'!$E$11+1,1))-AVERAGE(OFFSET($H$3,0,0,'Données projet'!$E$11+1,1))</f>
        <v>183.67580045784649</v>
      </c>
      <c r="BJ61" s="59">
        <f t="shared" si="38"/>
        <v>121.08269345608767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26.692212430303389</v>
      </c>
      <c r="BR61" s="21">
        <f>EXP(-LN(2)/2)*BR60+(1-EXP(-LN(2)/2))/(LN(2)/2)*BL61*BO61*VLOOKUP('Données projet'!$B$11,Paramètres!$A$1:$I$89,3,0)*0.475*44/12</f>
        <v>3.5066343877284329</v>
      </c>
      <c r="BS61" s="22">
        <f t="shared" si="9"/>
        <v>30.198846818031821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</v>
      </c>
      <c r="BY61" s="12">
        <f>IF('Données projet'!$A$114&gt;35,BY60+BX61-CG60,IF(A61&lt;'Données projet'!$A$114,$BV$205^A61,IF(A61='Données projet'!$A$114,'Données projet'!$B$114,BY60+BX61-CG60)))</f>
        <v>178.99999999999997</v>
      </c>
      <c r="BZ61" s="13">
        <f>BY61*VLOOKUP('Données projet'!$B$12,Paramètres!$A$1:$I$89,3,0)*VLOOKUP('Données projet'!$B$12,Paramètres!$A$1:$I$89,5,0)</f>
        <v>156.37440000000001</v>
      </c>
      <c r="CA61" s="13">
        <f t="shared" si="39"/>
        <v>40.023663524293205</v>
      </c>
      <c r="CB61" s="20">
        <f t="shared" si="10"/>
        <v>342.05996063814399</v>
      </c>
      <c r="CC61" s="59">
        <f t="shared" si="11"/>
        <v>635.39329397147731</v>
      </c>
      <c r="CD61" s="59">
        <f ca="1">AVERAGE(OFFSET($CC$3,0,0,'Données projet'!$E$12+1,1))-AVERAGE(OFFSET($H$3,0,0,'Données projet'!$E$12+1,1))</f>
        <v>216.10252108537389</v>
      </c>
      <c r="CE61" s="59">
        <f t="shared" si="40"/>
        <v>196.91968622092054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2.6609366360954589</v>
      </c>
      <c r="CL61" s="21">
        <f>EXP(-LN(2)/25)*CL60+(1-EXP(-LN(2)/25))/(LN(2)/25)*Calculateur!CG61*Calculateur!CI61*VLOOKUP('Données projet'!$B$12,Paramètres!$A$1:$I$89,3,0)*0.475*44/12</f>
        <v>10.821835041435655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13.482771677531113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187.98717948717947</v>
      </c>
      <c r="CR61" s="12">
        <f>VLOOKUP(A61,'Données projet'!$A$139:$I$159,9,0)</f>
        <v>7.2307692307692264</v>
      </c>
      <c r="CS61" s="12">
        <f t="array" ref="CS61">INDEX(CR:CR,MIN(IF(ISNUMBER(CR61:CR257),ROW(CR61:CR257),"")))</f>
        <v>7.2307692307692264</v>
      </c>
      <c r="CT61" s="12">
        <f>IF('Données projet'!$A$140&gt;35,CT60+CS61-DB60,IF(A61&lt;'Données projet'!$A$140,$CQ$205^A61,IF(A61='Données projet'!$A$140,'Données projet'!$B$140,CT60+CS61-DB60)))</f>
        <v>187.98717948717959</v>
      </c>
      <c r="CU61" s="17">
        <f>CT61*VLOOKUP('Données projet'!$B$13,Paramètres!$A$1:$I$89,3,0)*VLOOKUP('Données projet'!$B$13,Paramètres!$A$1:$I$89,5,0)</f>
        <v>170.09080000000009</v>
      </c>
      <c r="CV61" s="13">
        <f t="shared" si="41"/>
        <v>43.1103591327537</v>
      </c>
      <c r="CW61" s="20">
        <f t="shared" si="13"/>
        <v>371.32535215621283</v>
      </c>
      <c r="CX61" s="59">
        <f t="shared" si="14"/>
        <v>664.65868548954609</v>
      </c>
      <c r="CY61" s="59">
        <f ca="1">AVERAGE(OFFSET($CX$3,0,0,'Données projet'!$E$13+1,1))-AVERAGE(OFFSET($H$3,0,0,'Données projet'!$E$13+1,1))</f>
        <v>318.01858325056168</v>
      </c>
      <c r="CZ61" s="59">
        <f t="shared" si="42"/>
        <v>119.46953274700951</v>
      </c>
      <c r="DA61" s="15">
        <f>IF(ISNA(VLOOKUP(A61,'Données projet'!$A$139:$I$159,3,0)),0,VLOOKUP(A61,'Données projet'!$A$139:$I$159,3,0))</f>
        <v>3</v>
      </c>
      <c r="DB61" s="15">
        <f>IF(ISNA(VLOOKUP(A61,'Données projet'!$A$139:$I$159,4,0)),0,VLOOKUP(A61,'Données projet'!$A$139:$I$159,4,0))</f>
        <v>35.88461538461538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27.611999999999998</v>
      </c>
      <c r="D62" s="11">
        <f t="shared" si="32"/>
        <v>8.6478099783937541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279.90028755251325</v>
      </c>
      <c r="H62" s="67">
        <f t="shared" si="1"/>
        <v>356.48583571236912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10.433653846153845</v>
      </c>
      <c r="N62" s="13">
        <f>IF('Données projet'!$A$36&gt;35,N61+M62-V61,IF(A62&lt;'Données projet'!$A$36,$K$205^A62,IF(A62='Données projet'!$A$36,'Données projet'!$B$36,N61+M62-V61)))</f>
        <v>343.06634615384587</v>
      </c>
      <c r="O62" s="13">
        <f>N62*VLOOKUP('Données projet'!$B$9,Paramètres!$A$1:$I$89,3,0)*VLOOKUP('Données projet'!$B$9,Paramètres!$A$1:$I$89,5,0)</f>
        <v>205.15367499999985</v>
      </c>
      <c r="P62" s="13">
        <f t="shared" si="33"/>
        <v>50.875106959180371</v>
      </c>
      <c r="Q62" s="20">
        <f t="shared" si="53"/>
        <v>445.91679524557213</v>
      </c>
      <c r="R62" s="59">
        <f t="shared" si="0"/>
        <v>739.25012857890545</v>
      </c>
      <c r="S62" s="59">
        <f ca="1">AVERAGE(OFFSET($R$3,0,0,'Données projet'!$E$9+1,1))-AVERAGE(OFFSET($H$3,0,0,'Données projet'!$E$9+1,1))</f>
        <v>200.15574321350221</v>
      </c>
      <c r="T62" s="59">
        <f t="shared" si="34"/>
        <v>200.70728852570426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42.215518328160719</v>
      </c>
      <c r="AA62" s="21">
        <f>EXP(-LN(2)/25)*AA61+(1-EXP(-LN(2)/25))/(LN(2)/25)*Calculateur!V62*Calculateur!X62*VLOOKUP('Données projet'!$B$9,Paramètres!$A$1:$I$89,3,0)*0.475*44/12</f>
        <v>15.443727103783552</v>
      </c>
      <c r="AB62" s="21">
        <f>EXP(-LN(2)/2)*AB61+(1-EXP(-LN(2)/2))/(LN(2)/2)*V62*Y62*VLOOKUP('Données projet'!$B$9,Paramètres!$A$1:$I$89,3,0)*0.475*44/12</f>
        <v>0.52209774595156255</v>
      </c>
      <c r="AC62" s="22">
        <f t="shared" si="3"/>
        <v>58.181343177895833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45.407317338461951</v>
      </c>
      <c r="AO62" s="59">
        <f t="shared" si="36"/>
        <v>149.88701606165358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16.572999463275934</v>
      </c>
      <c r="AV62" s="21">
        <f>EXP(-LN(2)/25)*AV61+(1-EXP(-LN(2)/25))/(LN(2)/25)*Calculateur!AQ62*Calculateur!AS62*VLOOKUP('Données projet'!$B$10,Paramètres!$A$1:$I$89,3,0)*0.475*44/12</f>
        <v>2.5972132373299761</v>
      </c>
      <c r="AW62" s="21">
        <f>EXP(-LN(2)/2)*AW61+(1-EXP(-LN(2)/2))/(LN(2)/2)*AQ62*AT62*VLOOKUP('Données projet'!$B$10,Paramètres!$A$1:$I$89,3,0)*0.475*44/12</f>
        <v>1.4750229446373698E-5</v>
      </c>
      <c r="AX62" s="21">
        <f t="shared" si="6"/>
        <v>19.170227450835355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11.170769230769233</v>
      </c>
      <c r="BD62" s="12">
        <f>IF('Données projet'!$A$88&gt;35,BD61+BC62-BL61,IF(A62&lt;'Données projet'!$A$88,$BA$205^A62,IF(A62='Données projet'!$A$88,'Données projet'!$B$88,BD61+BC62-BL61)))</f>
        <v>306.77384615384636</v>
      </c>
      <c r="BE62" s="13">
        <f>BD62*VLOOKUP('Données projet'!$B$11,Paramètres!$A$1:$I$89,3,0)*VLOOKUP('Données projet'!$B$11,Paramètres!$A$1:$I$89,5,0)</f>
        <v>143.5701600000001</v>
      </c>
      <c r="BF62" s="13">
        <f t="shared" si="37"/>
        <v>37.113676523004848</v>
      </c>
      <c r="BG62" s="20">
        <f t="shared" si="7"/>
        <v>314.69101527756692</v>
      </c>
      <c r="BH62" s="59">
        <f t="shared" si="8"/>
        <v>608.02434861090023</v>
      </c>
      <c r="BI62" s="59">
        <f ca="1">AVERAGE(OFFSET($BH$3,0,0,'Données projet'!$E$11+1,1))-AVERAGE(OFFSET($H$3,0,0,'Données projet'!$E$11+1,1))</f>
        <v>183.67580045784649</v>
      </c>
      <c r="BJ62" s="59">
        <f t="shared" si="38"/>
        <v>121.08269345608767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25.962312477714296</v>
      </c>
      <c r="BR62" s="21">
        <f>EXP(-LN(2)/2)*BR61+(1-EXP(-LN(2)/2))/(LN(2)/2)*BL62*BO62*VLOOKUP('Données projet'!$B$11,Paramètres!$A$1:$I$89,3,0)*0.475*44/12</f>
        <v>2.4795649547047121</v>
      </c>
      <c r="BS62" s="22">
        <f t="shared" si="9"/>
        <v>28.441877432419009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</v>
      </c>
      <c r="BY62" s="12">
        <f>IF('Données projet'!$A$114&gt;35,BY61+BX62-CG61,IF(A62&lt;'Données projet'!$A$114,$BV$205^A62,IF(A62='Données projet'!$A$114,'Données projet'!$B$114,BY61+BX62-CG61)))</f>
        <v>183.99999999999997</v>
      </c>
      <c r="BZ62" s="13">
        <f>BY62*VLOOKUP('Données projet'!$B$12,Paramètres!$A$1:$I$89,3,0)*VLOOKUP('Données projet'!$B$12,Paramètres!$A$1:$I$89,5,0)</f>
        <v>160.7424</v>
      </c>
      <c r="CA62" s="13">
        <f t="shared" si="39"/>
        <v>41.009920657227809</v>
      </c>
      <c r="CB62" s="20">
        <f t="shared" si="10"/>
        <v>351.38529181133845</v>
      </c>
      <c r="CC62" s="59">
        <f t="shared" si="11"/>
        <v>644.71862514467171</v>
      </c>
      <c r="CD62" s="59">
        <f ca="1">AVERAGE(OFFSET($CC$3,0,0,'Données projet'!$E$12+1,1))-AVERAGE(OFFSET($H$3,0,0,'Données projet'!$E$12+1,1))</f>
        <v>216.10252108537389</v>
      </c>
      <c r="CE62" s="59">
        <f t="shared" si="40"/>
        <v>196.91968622092054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2.608757291672716</v>
      </c>
      <c r="CL62" s="21">
        <f>EXP(-LN(2)/25)*CL61+(1-EXP(-LN(2)/25))/(LN(2)/25)*Calculateur!CG62*Calculateur!CI62*VLOOKUP('Données projet'!$B$12,Paramètres!$A$1:$I$89,3,0)*0.475*44/12</f>
        <v>10.525911393132025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13.13466868480474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6.9975961538461569</v>
      </c>
      <c r="CT62" s="12">
        <f>IF('Données projet'!$A$140&gt;35,CT61+CS62-DB61,IF(A62&lt;'Données projet'!$A$140,$CQ$205^A62,IF(A62='Données projet'!$A$140,'Données projet'!$B$140,CT61+CS62-DB61)))</f>
        <v>159.10016025641036</v>
      </c>
      <c r="CU62" s="17">
        <f>CT62*VLOOKUP('Données projet'!$B$13,Paramètres!$A$1:$I$89,3,0)*VLOOKUP('Données projet'!$B$13,Paramètres!$A$1:$I$89,5,0)</f>
        <v>143.95382500000008</v>
      </c>
      <c r="CV62" s="13">
        <f t="shared" si="41"/>
        <v>37.201297925394456</v>
      </c>
      <c r="CW62" s="20">
        <f t="shared" si="13"/>
        <v>315.51183909506216</v>
      </c>
      <c r="CX62" s="59">
        <f t="shared" si="14"/>
        <v>608.84517242839547</v>
      </c>
      <c r="CY62" s="59">
        <f ca="1">AVERAGE(OFFSET($CX$3,0,0,'Données projet'!$E$13+1,1))-AVERAGE(OFFSET($H$3,0,0,'Données projet'!$E$13+1,1))</f>
        <v>318.01858325056168</v>
      </c>
      <c r="CZ62" s="59">
        <f t="shared" si="42"/>
        <v>119.46953274700951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28.08</v>
      </c>
      <c r="D63" s="11">
        <f t="shared" si="32"/>
        <v>8.7771949685951878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284.51168045933133</v>
      </c>
      <c r="H63" s="67">
        <f t="shared" si="1"/>
        <v>357.52628123696991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353.5</v>
      </c>
      <c r="L63" s="12">
        <f>VLOOKUP(A63,'Données projet'!$A$35:$I$55,9,0)</f>
        <v>10.433653846153845</v>
      </c>
      <c r="M63" s="12">
        <f t="array" ref="M63">INDEX(L:L,MIN(IF(ISNUMBER(L63:L259),ROW(L63:L259),"")))</f>
        <v>10.433653846153845</v>
      </c>
      <c r="N63" s="13">
        <f>IF('Données projet'!$A$36&gt;35,N62+M63-V62,IF(A63&lt;'Données projet'!$A$36,$K$205^A63,IF(A63='Données projet'!$A$36,'Données projet'!$B$36,N62+M63-V62)))</f>
        <v>353.49999999999972</v>
      </c>
      <c r="O63" s="13">
        <f>N63*VLOOKUP('Données projet'!$B$9,Paramètres!$A$1:$I$89,3,0)*VLOOKUP('Données projet'!$B$9,Paramètres!$A$1:$I$89,5,0)</f>
        <v>211.39299999999983</v>
      </c>
      <c r="P63" s="13">
        <f t="shared" si="33"/>
        <v>52.239874015944039</v>
      </c>
      <c r="Q63" s="20">
        <f t="shared" si="53"/>
        <v>459.1605889111022</v>
      </c>
      <c r="R63" s="59">
        <f t="shared" si="0"/>
        <v>752.49392224443545</v>
      </c>
      <c r="S63" s="59">
        <f ca="1">AVERAGE(OFFSET($R$3,0,0,'Données projet'!$E$9+1,1))-AVERAGE(OFFSET($H$3,0,0,'Données projet'!$E$9+1,1))</f>
        <v>200.15574321350221</v>
      </c>
      <c r="T63" s="59">
        <f t="shared" si="34"/>
        <v>200.70728852570426</v>
      </c>
      <c r="U63" s="15">
        <f>IF(ISNA(VLOOKUP(A63,'Données projet'!$A$35:$I$55,3,0)),0,VLOOKUP(A63,'Données projet'!$A$35:$I$55,3,0))</f>
        <v>7</v>
      </c>
      <c r="V63" s="15">
        <f>IF(ISNA(VLOOKUP(A63,'Données projet'!$A$35:$I$55,4,0)),0,VLOOKUP(A63,'Données projet'!$A$35:$I$55,4,0))</f>
        <v>353.5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7.5600000000000001E-2</v>
      </c>
      <c r="Y63" s="16">
        <f>IF(ISNA(VLOOKUP(A63,'Données projet'!$A$35:$I$55,7,0)),0%,VLOOKUP(A63,'Données projet'!$A$35:$I$55,7,0))</f>
        <v>0.13200000000000001</v>
      </c>
      <c r="Z63" s="21">
        <f>EXP(-LN(2)/35)*Z62+(1-EXP(-LN(2)/35))/(LN(2)/35)*V63*W63*VLOOKUP('Données projet'!$B$9,Paramètres!$A$1:$I$89,3,0)*0.475*44/12</f>
        <v>129.72202634021937</v>
      </c>
      <c r="AA63" s="21">
        <f>EXP(-LN(2)/25)*AA62+(1-EXP(-LN(2)/25))/(LN(2)/25)*Calculateur!V63*Calculateur!X63*VLOOKUP('Données projet'!$B$9,Paramètres!$A$1:$I$89,3,0)*0.475*44/12</f>
        <v>36.138183014281665</v>
      </c>
      <c r="AB63" s="21">
        <f>EXP(-LN(2)/2)*AB62+(1-EXP(-LN(2)/2))/(LN(2)/2)*V63*Y63*VLOOKUP('Données projet'!$B$9,Paramètres!$A$1:$I$89,3,0)*0.475*44/12</f>
        <v>31.962848489978171</v>
      </c>
      <c r="AC63" s="22">
        <f t="shared" si="3"/>
        <v>197.82305784447919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45.407317338461951</v>
      </c>
      <c r="AO63" s="59">
        <f t="shared" si="36"/>
        <v>149.88701606165358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16.248013052332631</v>
      </c>
      <c r="AV63" s="21">
        <f>EXP(-LN(2)/25)*AV62+(1-EXP(-LN(2)/25))/(LN(2)/25)*Calculateur!AQ63*Calculateur!AS63*VLOOKUP('Données projet'!$B$10,Paramètres!$A$1:$I$89,3,0)*0.475*44/12</f>
        <v>2.5261923047736796</v>
      </c>
      <c r="AW63" s="21">
        <f>EXP(-LN(2)/2)*AW62+(1-EXP(-LN(2)/2))/(LN(2)/2)*AQ63*AT63*VLOOKUP('Données projet'!$B$10,Paramètres!$A$1:$I$89,3,0)*0.475*44/12</f>
        <v>1.0429987265588337E-5</v>
      </c>
      <c r="AX63" s="21">
        <f t="shared" si="6"/>
        <v>18.774215787093578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11.170769230769233</v>
      </c>
      <c r="BD63" s="12">
        <f>IF('Données projet'!$A$88&gt;35,BD62+BC63-BL62,IF(A63&lt;'Données projet'!$A$88,$BA$205^A63,IF(A63='Données projet'!$A$88,'Données projet'!$B$88,BD62+BC63-BL62)))</f>
        <v>317.94461538461559</v>
      </c>
      <c r="BE63" s="13">
        <f>BD63*VLOOKUP('Données projet'!$B$11,Paramètres!$A$1:$I$89,3,0)*VLOOKUP('Données projet'!$B$11,Paramètres!$A$1:$I$89,5,0)</f>
        <v>148.79808000000008</v>
      </c>
      <c r="BF63" s="13">
        <f t="shared" si="37"/>
        <v>38.305317228732633</v>
      </c>
      <c r="BG63" s="20">
        <f t="shared" si="7"/>
        <v>325.87175017337614</v>
      </c>
      <c r="BH63" s="59">
        <f t="shared" si="8"/>
        <v>619.20508350670946</v>
      </c>
      <c r="BI63" s="59">
        <f ca="1">AVERAGE(OFFSET($BH$3,0,0,'Données projet'!$E$11+1,1))-AVERAGE(OFFSET($H$3,0,0,'Données projet'!$E$11+1,1))</f>
        <v>183.67580045784649</v>
      </c>
      <c r="BJ63" s="59">
        <f t="shared" si="38"/>
        <v>121.08269345608767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25.252371677712521</v>
      </c>
      <c r="BR63" s="21">
        <f>EXP(-LN(2)/2)*BR62+(1-EXP(-LN(2)/2))/(LN(2)/2)*BL63*BO63*VLOOKUP('Données projet'!$B$11,Paramètres!$A$1:$I$89,3,0)*0.475*44/12</f>
        <v>1.7533171938642165</v>
      </c>
      <c r="BS63" s="22">
        <f t="shared" si="9"/>
        <v>27.005688871576737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189</v>
      </c>
      <c r="BW63" s="12">
        <f>VLOOKUP(A63,'Données projet'!$A$113:$I$133,9,0)</f>
        <v>5</v>
      </c>
      <c r="BX63" s="12">
        <f t="array" ref="BX63">INDEX(BW:BW,MIN(IF(ISNUMBER(BW63:BW259),ROW(BW63:BW259),"")))</f>
        <v>5</v>
      </c>
      <c r="BY63" s="12">
        <f>IF('Données projet'!$A$114&gt;35,BY62+BX63-CG62,IF(A63&lt;'Données projet'!$A$114,$BV$205^A63,IF(A63='Données projet'!$A$114,'Données projet'!$B$114,BY62+BX63-CG62)))</f>
        <v>188.99999999999997</v>
      </c>
      <c r="BZ63" s="13">
        <f>BY63*VLOOKUP('Données projet'!$B$12,Paramètres!$A$1:$I$89,3,0)*VLOOKUP('Données projet'!$B$12,Paramètres!$A$1:$I$89,5,0)</f>
        <v>165.1104</v>
      </c>
      <c r="CA63" s="13">
        <f t="shared" si="39"/>
        <v>41.993062739333446</v>
      </c>
      <c r="CB63" s="20">
        <f t="shared" si="10"/>
        <v>360.70519760433905</v>
      </c>
      <c r="CC63" s="59">
        <f t="shared" si="11"/>
        <v>654.03853093767236</v>
      </c>
      <c r="CD63" s="59">
        <f ca="1">AVERAGE(OFFSET($CC$3,0,0,'Données projet'!$E$12+1,1))-AVERAGE(OFFSET($H$3,0,0,'Données projet'!$E$12+1,1))</f>
        <v>216.10252108537389</v>
      </c>
      <c r="CE63" s="59">
        <f t="shared" si="40"/>
        <v>196.91968622092054</v>
      </c>
      <c r="CF63" s="15">
        <f>IF(ISNA(VLOOKUP(A63,'Données projet'!$A$113:$I$133,3,0)),0,VLOOKUP(A63,'Données projet'!$A$113:$I$133,3,0))</f>
        <v>9</v>
      </c>
      <c r="CG63" s="15" t="str">
        <f>IF(ISNA(VLOOKUP(A63,'Données projet'!$A$113:$I$133,4,0)),0,VLOOKUP(A63,'Données projet'!$A$113:$I$133,4,0))</f>
        <v>16</v>
      </c>
      <c r="CH63" s="16">
        <f>IF(ISNA(VLOOKUP(A63,'Données projet'!$A$113:$I$133,5,0)),0%,VLOOKUP(A63,'Données projet'!$A$113:$I$133,5,0)*VLOOKUP('Données projet'!$B$12,Paramètres!$A$1:$I$89,7,0))</f>
        <v>0.17200000000000001</v>
      </c>
      <c r="CI63" s="16">
        <f>IF(ISNA(VLOOKUP(A63,'Données projet'!$A$113:$I$133,6,0)),0%,VLOOKUP(A63,'Données projet'!$A$113:$I$133,6,0)*VLOOKUP('Données projet'!$B$12,Paramètres!$A$1:$I$89,7,0))</f>
        <v>0.17200000000000001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5.2153146700049255</v>
      </c>
      <c r="CL63" s="21">
        <f>EXP(-LN(2)/25)*CL62+(1-EXP(-LN(2)/25))/(LN(2)/25)*Calculateur!CG63*Calculateur!CI63*VLOOKUP('Données projet'!$B$12,Paramètres!$A$1:$I$89,3,0)*0.475*44/12</f>
        <v>12.885328879403108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18.100643549408034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6.9975961538461569</v>
      </c>
      <c r="CT63" s="12">
        <f>IF('Données projet'!$A$140&gt;35,CT62+CS63-DB62,IF(A63&lt;'Données projet'!$A$140,$CQ$205^A63,IF(A63='Données projet'!$A$140,'Données projet'!$B$140,CT62+CS63-DB62)))</f>
        <v>166.09775641025652</v>
      </c>
      <c r="CU63" s="17">
        <f>CT63*VLOOKUP('Données projet'!$B$13,Paramètres!$A$1:$I$89,3,0)*VLOOKUP('Données projet'!$B$13,Paramètres!$A$1:$I$89,5,0)</f>
        <v>150.2852500000001</v>
      </c>
      <c r="CV63" s="13">
        <f t="shared" si="41"/>
        <v>38.643402537471268</v>
      </c>
      <c r="CW63" s="20">
        <f t="shared" si="13"/>
        <v>329.05073650276262</v>
      </c>
      <c r="CX63" s="59">
        <f t="shared" si="14"/>
        <v>622.38406983609593</v>
      </c>
      <c r="CY63" s="59">
        <f ca="1">AVERAGE(OFFSET($CX$3,0,0,'Données projet'!$E$13+1,1))-AVERAGE(OFFSET($H$3,0,0,'Données projet'!$E$13+1,1))</f>
        <v>318.01858325056168</v>
      </c>
      <c r="CZ63" s="59">
        <f t="shared" si="42"/>
        <v>119.46953274700951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28.547999999999998</v>
      </c>
      <c r="D64" s="11">
        <f t="shared" si="32"/>
        <v>8.9063291829603237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289.1211375526762</v>
      </c>
      <c r="H64" s="67">
        <f t="shared" si="1"/>
        <v>358.56628999365586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200.15574321350221</v>
      </c>
      <c r="T64" s="59">
        <f t="shared" si="34"/>
        <v>200.70728852570426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127.17825652631103</v>
      </c>
      <c r="AA64" s="21">
        <f>EXP(-LN(2)/25)*AA63+(1-EXP(-LN(2)/25))/(LN(2)/25)*Calculateur!V64*Calculateur!X64*VLOOKUP('Données projet'!$B$9,Paramètres!$A$1:$I$89,3,0)*0.475*44/12</f>
        <v>35.149982499331685</v>
      </c>
      <c r="AB64" s="21">
        <f>EXP(-LN(2)/2)*AB63+(1-EXP(-LN(2)/2))/(LN(2)/2)*V64*Y64*VLOOKUP('Données projet'!$B$9,Paramètres!$A$1:$I$89,3,0)*0.475*44/12</f>
        <v>22.601146913301768</v>
      </c>
      <c r="AC64" s="22">
        <f t="shared" si="3"/>
        <v>184.92938593894448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45.407317338461951</v>
      </c>
      <c r="AO64" s="59">
        <f t="shared" si="36"/>
        <v>149.88701606165358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15.929399426685789</v>
      </c>
      <c r="AV64" s="21">
        <f>EXP(-LN(2)/25)*AV63+(1-EXP(-LN(2)/25))/(LN(2)/25)*Calculateur!AQ64*Calculateur!AS64*VLOOKUP('Données projet'!$B$10,Paramètres!$A$1:$I$89,3,0)*0.475*44/12</f>
        <v>2.4571134433529638</v>
      </c>
      <c r="AW64" s="21">
        <f>EXP(-LN(2)/2)*AW63+(1-EXP(-LN(2)/2))/(LN(2)/2)*AQ64*AT64*VLOOKUP('Données projet'!$B$10,Paramètres!$A$1:$I$89,3,0)*0.475*44/12</f>
        <v>7.3751147231868496E-6</v>
      </c>
      <c r="AX64" s="21">
        <f t="shared" si="6"/>
        <v>18.386520245153477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>
        <f>VLOOKUP(A64,'Données projet'!$A$87:$I$107,2,0)</f>
        <v>329.11538461538464</v>
      </c>
      <c r="BB64" s="12">
        <f>VLOOKUP(A64,'Données projet'!$A$87:$I$107,9,0)</f>
        <v>11.170769230769233</v>
      </c>
      <c r="BC64" s="12">
        <f t="array" ref="BC64">INDEX(BB:BB,MIN(IF(ISNUMBER(BB64:BB260),ROW(BB64:BB260),"")))</f>
        <v>11.170769230769233</v>
      </c>
      <c r="BD64" s="12">
        <f>IF('Données projet'!$A$88&gt;35,BD63+BC64-BL63,IF(A64&lt;'Données projet'!$A$88,$BA$205^A64,IF(A64='Données projet'!$A$88,'Données projet'!$B$88,BD63+BC64-BL63)))</f>
        <v>329.11538461538481</v>
      </c>
      <c r="BE64" s="13">
        <f>BD64*VLOOKUP('Données projet'!$B$11,Paramètres!$A$1:$I$89,3,0)*VLOOKUP('Données projet'!$B$11,Paramètres!$A$1:$I$89,5,0)</f>
        <v>154.0260000000001</v>
      </c>
      <c r="BF64" s="13">
        <f t="shared" si="37"/>
        <v>39.492093452898274</v>
      </c>
      <c r="BG64" s="20">
        <f t="shared" si="7"/>
        <v>337.04401276379798</v>
      </c>
      <c r="BH64" s="59">
        <f t="shared" si="8"/>
        <v>630.37734609713129</v>
      </c>
      <c r="BI64" s="59">
        <f ca="1">AVERAGE(OFFSET($BH$3,0,0,'Données projet'!$E$11+1,1))-AVERAGE(OFFSET($H$3,0,0,'Données projet'!$E$11+1,1))</f>
        <v>183.67580045784649</v>
      </c>
      <c r="BJ64" s="59">
        <f t="shared" si="38"/>
        <v>121.08269345608767</v>
      </c>
      <c r="BK64" s="15">
        <f>IF(ISNA(VLOOKUP(A64,'Données projet'!$A$87:$I$107,3,0)),0,VLOOKUP(A64,'Données projet'!$A$87:$I$107,3,0))</f>
        <v>2</v>
      </c>
      <c r="BL64" s="15">
        <f>IF(ISNA(VLOOKUP(A64,'Données projet'!$A$87:$I$107,4,0)),0,VLOOKUP(A64,'Données projet'!$A$87:$I$107,4,0))</f>
        <v>94.76153846153845</v>
      </c>
      <c r="BM64" s="16">
        <f>IF(ISNA(VLOOKUP(A64,'Données projet'!$A$87:$I$107,5,0)),0%,VLOOKUP(A64,'Données projet'!$A$87:$I$107,5,0)*VLOOKUP('Données projet'!$B$11,Paramètres!$A$1:$I$89,7,0))</f>
        <v>0.38500000000000001</v>
      </c>
      <c r="BN64" s="16">
        <f>IF(ISNA(VLOOKUP(A64,'Données projet'!$A$87:$I$107,6,0)),0%,VLOOKUP(A64,'Données projet'!$A$87:$I$107,6,0)*VLOOKUP('Données projet'!$B$11,Paramètres!$A$1:$I$89,7,0))</f>
        <v>9.240000000000001E-2</v>
      </c>
      <c r="BO64" s="16">
        <f>IF(ISNA(VLOOKUP(A64,'Données projet'!$A$87:$I$107,7,0)),0%,VLOOKUP(A64,'Données projet'!$A$87:$I$107,7,0))</f>
        <v>0.13200000000000001</v>
      </c>
      <c r="BP64" s="21">
        <f>EXP(-LN(2)/35)*BP63+(1-EXP(-LN(2)/35))/(LN(2)/35)*BL64*BM64*VLOOKUP('Données projet'!$B$11,Paramètres!$A$1:$I$89,3,0)*0.475*44/12</f>
        <v>22.649939271811736</v>
      </c>
      <c r="BQ64" s="21">
        <f>EXP(-LN(2)/25)*BQ63+(1-EXP(-LN(2)/25))/(LN(2)/25)*Calculateur!BL64*Calculateur!BN64*VLOOKUP('Données projet'!$B$11,Paramètres!$A$1:$I$89,3,0)*0.475*44/12</f>
        <v>29.976426125563794</v>
      </c>
      <c r="BR64" s="21">
        <f>EXP(-LN(2)/2)*BR63+(1-EXP(-LN(2)/2))/(LN(2)/2)*BL64*BO64*VLOOKUP('Données projet'!$B$11,Paramètres!$A$1:$I$89,3,0)*0.475*44/12</f>
        <v>7.867857666070555</v>
      </c>
      <c r="BS64" s="22">
        <f t="shared" si="9"/>
        <v>60.494223063446086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177.39999999999998</v>
      </c>
      <c r="BZ64" s="13">
        <f>BY64*VLOOKUP('Données projet'!$B$12,Paramètres!$A$1:$I$89,3,0)*VLOOKUP('Données projet'!$B$12,Paramètres!$A$1:$I$89,5,0)</f>
        <v>154.97664</v>
      </c>
      <c r="CA64" s="13">
        <f t="shared" si="39"/>
        <v>39.707387607123913</v>
      </c>
      <c r="CB64" s="20">
        <f t="shared" si="10"/>
        <v>339.07468141574077</v>
      </c>
      <c r="CC64" s="59">
        <f t="shared" si="11"/>
        <v>632.40801474907403</v>
      </c>
      <c r="CD64" s="59">
        <f ca="1">AVERAGE(OFFSET($CC$3,0,0,'Données projet'!$E$12+1,1))-AVERAGE(OFFSET($H$3,0,0,'Données projet'!$E$12+1,1))</f>
        <v>216.10252108537389</v>
      </c>
      <c r="CE64" s="59">
        <f t="shared" si="40"/>
        <v>196.91968622092054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5.1130455303539772</v>
      </c>
      <c r="CL64" s="21">
        <f>EXP(-LN(2)/25)*CL63+(1-EXP(-LN(2)/25))/(LN(2)/25)*Calculateur!CG64*Calculateur!CI64*VLOOKUP('Données projet'!$B$12,Paramètres!$A$1:$I$89,3,0)*0.475*44/12</f>
        <v>12.532978883585834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17.646024413939813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6.9975961538461569</v>
      </c>
      <c r="CT64" s="12">
        <f>IF('Données projet'!$A$140&gt;35,CT63+CS64-DB63,IF(A64&lt;'Données projet'!$A$140,$CQ$205^A64,IF(A64='Données projet'!$A$140,'Données projet'!$B$140,CT63+CS64-DB63)))</f>
        <v>173.09535256410268</v>
      </c>
      <c r="CU64" s="17">
        <f>CT64*VLOOKUP('Données projet'!$B$13,Paramètres!$A$1:$I$89,3,0)*VLOOKUP('Données projet'!$B$13,Paramètres!$A$1:$I$89,5,0)</f>
        <v>156.6166750000001</v>
      </c>
      <c r="CV64" s="13">
        <f t="shared" si="41"/>
        <v>40.078450376926597</v>
      </c>
      <c r="CW64" s="20">
        <f t="shared" si="13"/>
        <v>342.57734336481394</v>
      </c>
      <c r="CX64" s="59">
        <f t="shared" si="14"/>
        <v>635.9106766981472</v>
      </c>
      <c r="CY64" s="59">
        <f ca="1">AVERAGE(OFFSET($CX$3,0,0,'Données projet'!$E$13+1,1))-AVERAGE(OFFSET($H$3,0,0,'Données projet'!$E$13+1,1))</f>
        <v>318.01858325056168</v>
      </c>
      <c r="CZ64" s="59">
        <f t="shared" si="42"/>
        <v>119.46953274700951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29.015999999999998</v>
      </c>
      <c r="D65" s="11">
        <f t="shared" si="32"/>
        <v>9.0352172071357693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293.72869423052168</v>
      </c>
      <c r="H65" s="67">
        <f t="shared" si="1"/>
        <v>359.60586996909478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200.15574321350221</v>
      </c>
      <c r="T65" s="59">
        <f t="shared" si="34"/>
        <v>200.70728852570426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124.68436848690705</v>
      </c>
      <c r="AA65" s="21">
        <f>EXP(-LN(2)/25)*AA64+(1-EXP(-LN(2)/25))/(LN(2)/25)*Calculateur!V65*Calculateur!X65*VLOOKUP('Données projet'!$B$9,Paramètres!$A$1:$I$89,3,0)*0.475*44/12</f>
        <v>34.188804379430216</v>
      </c>
      <c r="AB65" s="21">
        <f>EXP(-LN(2)/2)*AB64+(1-EXP(-LN(2)/2))/(LN(2)/2)*V65*Y65*VLOOKUP('Données projet'!$B$9,Paramètres!$A$1:$I$89,3,0)*0.475*44/12</f>
        <v>15.981424244989089</v>
      </c>
      <c r="AC65" s="22">
        <f t="shared" si="3"/>
        <v>174.85459711132634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45.407317338461951</v>
      </c>
      <c r="AO65" s="59">
        <f t="shared" si="36"/>
        <v>149.88701606165358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15.617033619902758</v>
      </c>
      <c r="AV65" s="21">
        <f>EXP(-LN(2)/25)*AV64+(1-EXP(-LN(2)/25))/(LN(2)/25)*Calculateur!AQ65*Calculateur!AS65*VLOOKUP('Données projet'!$B$10,Paramètres!$A$1:$I$89,3,0)*0.475*44/12</f>
        <v>2.3899235470304969</v>
      </c>
      <c r="AW65" s="21">
        <f>EXP(-LN(2)/2)*AW64+(1-EXP(-LN(2)/2))/(LN(2)/2)*AQ65*AT65*VLOOKUP('Données projet'!$B$10,Paramètres!$A$1:$I$89,3,0)*0.475*44/12</f>
        <v>5.2149936327941694E-6</v>
      </c>
      <c r="AX65" s="21">
        <f t="shared" si="6"/>
        <v>18.006962381926886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10.314743589743591</v>
      </c>
      <c r="BD65" s="12">
        <f>IF('Données projet'!$A$88&gt;35,BD64+BC65-BL64,IF(A65&lt;'Données projet'!$A$88,$BA$205^A65,IF(A65='Données projet'!$A$88,'Données projet'!$B$88,BD64+BC65-BL64)))</f>
        <v>244.66858974358996</v>
      </c>
      <c r="BE65" s="13">
        <f>BD65*VLOOKUP('Données projet'!$B$11,Paramètres!$A$1:$I$89,3,0)*VLOOKUP('Données projet'!$B$11,Paramètres!$A$1:$I$89,5,0)</f>
        <v>114.50490000000011</v>
      </c>
      <c r="BF65" s="13">
        <f t="shared" si="37"/>
        <v>30.389882066052234</v>
      </c>
      <c r="BG65" s="20">
        <f t="shared" si="7"/>
        <v>252.35841209837443</v>
      </c>
      <c r="BH65" s="59">
        <f t="shared" si="8"/>
        <v>545.69174543170777</v>
      </c>
      <c r="BI65" s="59">
        <f ca="1">AVERAGE(OFFSET($BH$3,0,0,'Données projet'!$E$11+1,1))-AVERAGE(OFFSET($H$3,0,0,'Données projet'!$E$11+1,1))</f>
        <v>183.67580045784649</v>
      </c>
      <c r="BJ65" s="59">
        <f t="shared" si="38"/>
        <v>121.08269345608767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22.205787777790334</v>
      </c>
      <c r="BQ65" s="21">
        <f>EXP(-LN(2)/25)*BQ64+(1-EXP(-LN(2)/25))/(LN(2)/25)*Calculateur!BL65*Calculateur!BN65*VLOOKUP('Données projet'!$B$11,Paramètres!$A$1:$I$89,3,0)*0.475*44/12</f>
        <v>29.156719176768515</v>
      </c>
      <c r="BR65" s="21">
        <f>EXP(-LN(2)/2)*BR64+(1-EXP(-LN(2)/2))/(LN(2)/2)*BL65*BO65*VLOOKUP('Données projet'!$B$11,Paramètres!$A$1:$I$89,3,0)*0.475*44/12</f>
        <v>5.5634155090890527</v>
      </c>
      <c r="BS65" s="22">
        <f t="shared" si="9"/>
        <v>56.925922463647908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181.79999999999998</v>
      </c>
      <c r="BZ65" s="13">
        <f>BY65*VLOOKUP('Données projet'!$B$12,Paramètres!$A$1:$I$89,3,0)*VLOOKUP('Données projet'!$B$12,Paramètres!$A$1:$I$89,5,0)</f>
        <v>158.82048</v>
      </c>
      <c r="CA65" s="13">
        <f t="shared" si="39"/>
        <v>40.57635691759311</v>
      </c>
      <c r="CB65" s="20">
        <f t="shared" si="10"/>
        <v>347.28282429814129</v>
      </c>
      <c r="CC65" s="59">
        <f t="shared" si="11"/>
        <v>640.61615763147461</v>
      </c>
      <c r="CD65" s="59">
        <f ca="1">AVERAGE(OFFSET($CC$3,0,0,'Données projet'!$E$12+1,1))-AVERAGE(OFFSET($H$3,0,0,'Données projet'!$E$12+1,1))</f>
        <v>216.10252108537389</v>
      </c>
      <c r="CE65" s="59">
        <f t="shared" si="40"/>
        <v>196.91968622092054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5.0127818261535682</v>
      </c>
      <c r="CL65" s="21">
        <f>EXP(-LN(2)/25)*CL64+(1-EXP(-LN(2)/25))/(LN(2)/25)*Calculateur!CG65*Calculateur!CI65*VLOOKUP('Données projet'!$B$12,Paramètres!$A$1:$I$89,3,0)*0.475*44/12</f>
        <v>12.190263916933464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17.203045743087031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6.9975961538461569</v>
      </c>
      <c r="CT65" s="12">
        <f>IF('Données projet'!$A$140&gt;35,CT64+CS65-DB64,IF(A65&lt;'Données projet'!$A$140,$CQ$205^A65,IF(A65='Données projet'!$A$140,'Données projet'!$B$140,CT64+CS65-DB64)))</f>
        <v>180.09294871794884</v>
      </c>
      <c r="CU65" s="17">
        <f>CT65*VLOOKUP('Données projet'!$B$13,Paramètres!$A$1:$I$89,3,0)*VLOOKUP('Données projet'!$B$13,Paramètres!$A$1:$I$89,5,0)</f>
        <v>162.94810000000012</v>
      </c>
      <c r="CV65" s="13">
        <f t="shared" si="41"/>
        <v>41.506759357421522</v>
      </c>
      <c r="CW65" s="20">
        <f t="shared" si="13"/>
        <v>356.09221338084268</v>
      </c>
      <c r="CX65" s="59">
        <f t="shared" si="14"/>
        <v>649.42554671417599</v>
      </c>
      <c r="CY65" s="59">
        <f ca="1">AVERAGE(OFFSET($CX$3,0,0,'Données projet'!$E$13+1,1))-AVERAGE(OFFSET($H$3,0,0,'Données projet'!$E$13+1,1))</f>
        <v>318.01858325056168</v>
      </c>
      <c r="CZ65" s="59">
        <f t="shared" si="42"/>
        <v>119.46953274700951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29.483999999999998</v>
      </c>
      <c r="D66" s="11">
        <f t="shared" si="32"/>
        <v>9.1638634703614379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298.33438468349181</v>
      </c>
      <c r="H66" s="67">
        <f t="shared" si="1"/>
        <v>360.64502887754617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200.15574321350221</v>
      </c>
      <c r="T66" s="59">
        <f t="shared" si="34"/>
        <v>200.70728852570426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122.23938407083426</v>
      </c>
      <c r="AA66" s="21">
        <f>EXP(-LN(2)/25)*AA65+(1-EXP(-LN(2)/25))/(LN(2)/25)*Calculateur!V66*Calculateur!X66*VLOOKUP('Données projet'!$B$9,Paramètres!$A$1:$I$89,3,0)*0.475*44/12</f>
        <v>33.253909725763613</v>
      </c>
      <c r="AB66" s="21">
        <f>EXP(-LN(2)/2)*AB65+(1-EXP(-LN(2)/2))/(LN(2)/2)*V66*Y66*VLOOKUP('Données projet'!$B$9,Paramètres!$A$1:$I$89,3,0)*0.475*44/12</f>
        <v>11.300573456650886</v>
      </c>
      <c r="AC66" s="22">
        <f t="shared" si="3"/>
        <v>166.79386725324875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45.407317338461951</v>
      </c>
      <c r="AO66" s="59">
        <f t="shared" si="36"/>
        <v>149.88701606165358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15.310793116066412</v>
      </c>
      <c r="AV66" s="21">
        <f>EXP(-LN(2)/25)*AV65+(1-EXP(-LN(2)/25))/(LN(2)/25)*Calculateur!AQ66*Calculateur!AS66*VLOOKUP('Données projet'!$B$10,Paramètres!$A$1:$I$89,3,0)*0.475*44/12</f>
        <v>2.3245709619563311</v>
      </c>
      <c r="AW66" s="21">
        <f>EXP(-LN(2)/2)*AW65+(1-EXP(-LN(2)/2))/(LN(2)/2)*AQ66*AT66*VLOOKUP('Données projet'!$B$10,Paramètres!$A$1:$I$89,3,0)*0.475*44/12</f>
        <v>3.6875573615934256E-6</v>
      </c>
      <c r="AX66" s="21">
        <f t="shared" si="6"/>
        <v>17.635367765580103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10.314743589743591</v>
      </c>
      <c r="BD66" s="12">
        <f>IF('Données projet'!$A$88&gt;35,BD65+BC66-BL65,IF(A66&lt;'Données projet'!$A$88,$BA$205^A66,IF(A66='Données projet'!$A$88,'Données projet'!$B$88,BD65+BC66-BL65)))</f>
        <v>254.98333333333355</v>
      </c>
      <c r="BE66" s="13">
        <f>BD66*VLOOKUP('Données projet'!$B$11,Paramètres!$A$1:$I$89,3,0)*VLOOKUP('Données projet'!$B$11,Paramètres!$A$1:$I$89,5,0)</f>
        <v>119.33220000000009</v>
      </c>
      <c r="BF66" s="13">
        <f t="shared" si="37"/>
        <v>31.519195359992793</v>
      </c>
      <c r="BG66" s="20">
        <f t="shared" si="7"/>
        <v>262.73284691865422</v>
      </c>
      <c r="BH66" s="59">
        <f t="shared" si="8"/>
        <v>556.06618025198759</v>
      </c>
      <c r="BI66" s="59">
        <f ca="1">AVERAGE(OFFSET($BH$3,0,0,'Données projet'!$E$11+1,1))-AVERAGE(OFFSET($H$3,0,0,'Données projet'!$E$11+1,1))</f>
        <v>183.67580045784649</v>
      </c>
      <c r="BJ66" s="59">
        <f t="shared" si="38"/>
        <v>121.08269345608767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21.770345823661032</v>
      </c>
      <c r="BQ66" s="21">
        <f>EXP(-LN(2)/25)*BQ65+(1-EXP(-LN(2)/25))/(LN(2)/25)*Calculateur!BL66*Calculateur!BN66*VLOOKUP('Données projet'!$B$11,Paramètres!$A$1:$I$89,3,0)*0.475*44/12</f>
        <v>28.359427157594556</v>
      </c>
      <c r="BR66" s="21">
        <f>EXP(-LN(2)/2)*BR65+(1-EXP(-LN(2)/2))/(LN(2)/2)*BL66*BO66*VLOOKUP('Données projet'!$B$11,Paramètres!$A$1:$I$89,3,0)*0.475*44/12</f>
        <v>3.933928833035278</v>
      </c>
      <c r="BS66" s="22">
        <f t="shared" si="9"/>
        <v>54.063701814290866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186.2</v>
      </c>
      <c r="BZ66" s="13">
        <f>BY66*VLOOKUP('Données projet'!$B$12,Paramètres!$A$1:$I$89,3,0)*VLOOKUP('Données projet'!$B$12,Paramètres!$A$1:$I$89,5,0)</f>
        <v>162.66432</v>
      </c>
      <c r="CA66" s="13">
        <f t="shared" si="39"/>
        <v>41.442881393745317</v>
      </c>
      <c r="CB66" s="20">
        <f t="shared" si="10"/>
        <v>355.4867090941064</v>
      </c>
      <c r="CC66" s="59">
        <f t="shared" si="11"/>
        <v>648.82004242743972</v>
      </c>
      <c r="CD66" s="59">
        <f ca="1">AVERAGE(OFFSET($CC$3,0,0,'Données projet'!$E$12+1,1))-AVERAGE(OFFSET($H$3,0,0,'Données projet'!$E$12+1,1))</f>
        <v>216.10252108537389</v>
      </c>
      <c r="CE66" s="59">
        <f t="shared" si="40"/>
        <v>196.91968622092054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4.914484232037708</v>
      </c>
      <c r="CL66" s="21">
        <f>EXP(-LN(2)/25)*CL65+(1-EXP(-LN(2)/25))/(LN(2)/25)*Calculateur!CG66*Calculateur!CI66*VLOOKUP('Données projet'!$B$12,Paramètres!$A$1:$I$89,3,0)*0.475*44/12</f>
        <v>11.8569205090668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16.771404741104508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6.9975961538461569</v>
      </c>
      <c r="CT66" s="12">
        <f>IF('Données projet'!$A$140&gt;35,CT65+CS66-DB65,IF(A66&lt;'Données projet'!$A$140,$CQ$205^A66,IF(A66='Données projet'!$A$140,'Données projet'!$B$140,CT65+CS66-DB65)))</f>
        <v>187.090544871795</v>
      </c>
      <c r="CU66" s="17">
        <f>CT66*VLOOKUP('Données projet'!$B$13,Paramètres!$A$1:$I$89,3,0)*VLOOKUP('Données projet'!$B$13,Paramètres!$A$1:$I$89,5,0)</f>
        <v>169.27952500000012</v>
      </c>
      <c r="CV66" s="13">
        <f t="shared" si="41"/>
        <v>42.928621288335528</v>
      </c>
      <c r="CW66" s="20">
        <f t="shared" si="13"/>
        <v>369.59585478551793</v>
      </c>
      <c r="CX66" s="59">
        <f t="shared" si="14"/>
        <v>662.92918811885124</v>
      </c>
      <c r="CY66" s="59">
        <f ca="1">AVERAGE(OFFSET($CX$3,0,0,'Données projet'!$E$13+1,1))-AVERAGE(OFFSET($H$3,0,0,'Données projet'!$E$13+1,1))</f>
        <v>318.01858325056168</v>
      </c>
      <c r="CZ66" s="59">
        <f t="shared" si="42"/>
        <v>119.46953274700951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29.951999999999998</v>
      </c>
      <c r="D67" s="11">
        <f t="shared" si="32"/>
        <v>9.2922722532016273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302.93824195453891</v>
      </c>
      <c r="H67" s="67">
        <f t="shared" si="1"/>
        <v>361.68377417432612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200.15574321350221</v>
      </c>
      <c r="T67" s="59">
        <f t="shared" si="34"/>
        <v>200.70728852570426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119.84234430786744</v>
      </c>
      <c r="AA67" s="21">
        <f>EXP(-LN(2)/25)*AA66+(1-EXP(-LN(2)/25))/(LN(2)/25)*Calculateur!V67*Calculateur!X67*VLOOKUP('Données projet'!$B$9,Paramètres!$A$1:$I$89,3,0)*0.475*44/12</f>
        <v>32.344579815565496</v>
      </c>
      <c r="AB67" s="21">
        <f>EXP(-LN(2)/2)*AB66+(1-EXP(-LN(2)/2))/(LN(2)/2)*V67*Y67*VLOOKUP('Données projet'!$B$9,Paramètres!$A$1:$I$89,3,0)*0.475*44/12</f>
        <v>7.9907121224945454</v>
      </c>
      <c r="AC67" s="22">
        <f t="shared" si="3"/>
        <v>160.17763624592749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45.407317338461951</v>
      </c>
      <c r="AO67" s="59">
        <f t="shared" si="36"/>
        <v>149.88701606165358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15.010557801722035</v>
      </c>
      <c r="AV67" s="21">
        <f>EXP(-LN(2)/25)*AV66+(1-EXP(-LN(2)/25))/(LN(2)/25)*Calculateur!AQ67*Calculateur!AS67*VLOOKUP('Données projet'!$B$10,Paramètres!$A$1:$I$89,3,0)*0.475*44/12</f>
        <v>2.2610054467577614</v>
      </c>
      <c r="AW67" s="21">
        <f>EXP(-LN(2)/2)*AW66+(1-EXP(-LN(2)/2))/(LN(2)/2)*AQ67*AT67*VLOOKUP('Données projet'!$B$10,Paramètres!$A$1:$I$89,3,0)*0.475*44/12</f>
        <v>2.6074968163970851E-6</v>
      </c>
      <c r="AX67" s="21">
        <f t="shared" si="6"/>
        <v>17.271565855976615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10.314743589743591</v>
      </c>
      <c r="BD67" s="12">
        <f>IF('Données projet'!$A$88&gt;35,BD66+BC67-BL66,IF(A67&lt;'Données projet'!$A$88,$BA$205^A67,IF(A67='Données projet'!$A$88,'Données projet'!$B$88,BD66+BC67-BL66)))</f>
        <v>265.29807692307713</v>
      </c>
      <c r="BE67" s="13">
        <f>BD67*VLOOKUP('Données projet'!$B$11,Paramètres!$A$1:$I$89,3,0)*VLOOKUP('Données projet'!$B$11,Paramètres!$A$1:$I$89,5,0)</f>
        <v>124.15950000000009</v>
      </c>
      <c r="BF67" s="13">
        <f t="shared" si="37"/>
        <v>32.643202044796318</v>
      </c>
      <c r="BG67" s="20">
        <f t="shared" si="7"/>
        <v>273.09803939468708</v>
      </c>
      <c r="BH67" s="59">
        <f t="shared" si="8"/>
        <v>566.43137272802039</v>
      </c>
      <c r="BI67" s="59">
        <f ca="1">AVERAGE(OFFSET($BH$3,0,0,'Données projet'!$E$11+1,1))-AVERAGE(OFFSET($H$3,0,0,'Données projet'!$E$11+1,1))</f>
        <v>183.67580045784649</v>
      </c>
      <c r="BJ67" s="59">
        <f t="shared" si="38"/>
        <v>121.08269345608767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21.343442620658838</v>
      </c>
      <c r="BQ67" s="21">
        <f>EXP(-LN(2)/25)*BQ66+(1-EXP(-LN(2)/25))/(LN(2)/25)*Calculateur!BL67*Calculateur!BN67*VLOOKUP('Données projet'!$B$11,Paramètres!$A$1:$I$89,3,0)*0.475*44/12</f>
        <v>27.583937130612675</v>
      </c>
      <c r="BR67" s="21">
        <f>EXP(-LN(2)/2)*BR66+(1-EXP(-LN(2)/2))/(LN(2)/2)*BL67*BO67*VLOOKUP('Données projet'!$B$11,Paramètres!$A$1:$I$89,3,0)*0.475*44/12</f>
        <v>2.7817077545445268</v>
      </c>
      <c r="BS67" s="22">
        <f t="shared" si="9"/>
        <v>51.709087505816044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190.6</v>
      </c>
      <c r="BZ67" s="13">
        <f>BY67*VLOOKUP('Données projet'!$B$12,Paramètres!$A$1:$I$89,3,0)*VLOOKUP('Données projet'!$B$12,Paramètres!$A$1:$I$89,5,0)</f>
        <v>166.50816</v>
      </c>
      <c r="CA67" s="13">
        <f t="shared" si="39"/>
        <v>42.307025456487715</v>
      </c>
      <c r="CB67" s="20">
        <f t="shared" si="10"/>
        <v>363.68644800338274</v>
      </c>
      <c r="CC67" s="59">
        <f t="shared" si="11"/>
        <v>657.01978133671605</v>
      </c>
      <c r="CD67" s="59">
        <f ca="1">AVERAGE(OFFSET($CC$3,0,0,'Données projet'!$E$12+1,1))-AVERAGE(OFFSET($H$3,0,0,'Données projet'!$E$12+1,1))</f>
        <v>216.10252108537389</v>
      </c>
      <c r="CE67" s="59">
        <f t="shared" si="40"/>
        <v>196.91968622092054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4.8181141937868475</v>
      </c>
      <c r="CL67" s="21">
        <f>EXP(-LN(2)/25)*CL66+(1-EXP(-LN(2)/25))/(LN(2)/25)*Calculateur!CG67*Calculateur!CI67*VLOOKUP('Données projet'!$B$12,Paramètres!$A$1:$I$89,3,0)*0.475*44/12</f>
        <v>11.532692394218017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16.350806588004865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6.9975961538461569</v>
      </c>
      <c r="CT67" s="12">
        <f>IF('Données projet'!$A$140&gt;35,CT66+CS67-DB66,IF(A67&lt;'Données projet'!$A$140,$CQ$205^A67,IF(A67='Données projet'!$A$140,'Données projet'!$B$140,CT66+CS67-DB66)))</f>
        <v>194.08814102564116</v>
      </c>
      <c r="CU67" s="17">
        <f>CT67*VLOOKUP('Données projet'!$B$13,Paramètres!$A$1:$I$89,3,0)*VLOOKUP('Données projet'!$B$13,Paramètres!$A$1:$I$89,5,0)</f>
        <v>175.61095000000012</v>
      </c>
      <c r="CV67" s="13">
        <f t="shared" si="41"/>
        <v>44.344304913788697</v>
      </c>
      <c r="CW67" s="20">
        <f t="shared" si="13"/>
        <v>383.08873564151554</v>
      </c>
      <c r="CX67" s="59">
        <f t="shared" si="14"/>
        <v>676.4220689748488</v>
      </c>
      <c r="CY67" s="59">
        <f ca="1">AVERAGE(OFFSET($CX$3,0,0,'Données projet'!$E$13+1,1))-AVERAGE(OFFSET($H$3,0,0,'Données projet'!$E$13+1,1))</f>
        <v>318.01858325056168</v>
      </c>
      <c r="CZ67" s="59">
        <f t="shared" si="42"/>
        <v>119.46953274700951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30.419999999999998</v>
      </c>
      <c r="D68" s="11">
        <f t="shared" si="32"/>
        <v>9.4204476947792024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307.54029799478684</v>
      </c>
      <c r="H68" s="67">
        <f t="shared" ref="H68:H131" si="56">(B68+E68+F68)*44/12+(C68+D68)*0.475*44/12</f>
        <v>362.72211306840711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200.15574321350221</v>
      </c>
      <c r="T68" s="59">
        <f t="shared" si="34"/>
        <v>200.70728852570426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117.49230903260249</v>
      </c>
      <c r="AA68" s="21">
        <f>EXP(-LN(2)/25)*AA67+(1-EXP(-LN(2)/25))/(LN(2)/25)*Calculateur!V68*Calculateur!X68*VLOOKUP('Données projet'!$B$9,Paramètres!$A$1:$I$89,3,0)*0.475*44/12</f>
        <v>31.460115579581331</v>
      </c>
      <c r="AB68" s="21">
        <f>EXP(-LN(2)/2)*AB67+(1-EXP(-LN(2)/2))/(LN(2)/2)*V68*Y68*VLOOKUP('Données projet'!$B$9,Paramètres!$A$1:$I$89,3,0)*0.475*44/12</f>
        <v>5.6502867283254439</v>
      </c>
      <c r="AC68" s="22">
        <f t="shared" ref="AC68:AC131" si="57">SUM(Z68:AB68)</f>
        <v>154.60271134050927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45.407317338461951</v>
      </c>
      <c r="AO68" s="59">
        <f t="shared" si="36"/>
        <v>149.88701606165358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14.716209918766491</v>
      </c>
      <c r="AV68" s="21">
        <f>EXP(-LN(2)/25)*AV67+(1-EXP(-LN(2)/25))/(LN(2)/25)*Calculateur!AQ68*Calculateur!AS68*VLOOKUP('Données projet'!$B$10,Paramètres!$A$1:$I$89,3,0)*0.475*44/12</f>
        <v>2.1991781339150616</v>
      </c>
      <c r="AW68" s="21">
        <f>EXP(-LN(2)/2)*AW67+(1-EXP(-LN(2)/2))/(LN(2)/2)*AQ68*AT68*VLOOKUP('Données projet'!$B$10,Paramètres!$A$1:$I$89,3,0)*0.475*44/12</f>
        <v>1.843778680796713E-6</v>
      </c>
      <c r="AX68" s="21">
        <f t="shared" ref="AX68:AX131" si="60">SUM(AU68:AW68)</f>
        <v>16.915389896460233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10.314743589743591</v>
      </c>
      <c r="BD68" s="12">
        <f>IF('Données projet'!$A$88&gt;35,BD67+BC68-BL67,IF(A68&lt;'Données projet'!$A$88,$BA$205^A68,IF(A68='Données projet'!$A$88,'Données projet'!$B$88,BD67+BC68-BL67)))</f>
        <v>275.61282051282075</v>
      </c>
      <c r="BE68" s="13">
        <f>BD68*VLOOKUP('Données projet'!$B$11,Paramètres!$A$1:$I$89,3,0)*VLOOKUP('Données projet'!$B$11,Paramètres!$A$1:$I$89,5,0)</f>
        <v>128.98680000000013</v>
      </c>
      <c r="BF68" s="13">
        <f t="shared" si="37"/>
        <v>33.762132053733033</v>
      </c>
      <c r="BG68" s="20">
        <f t="shared" ref="BG68:BG131" si="61">(BE68+BF68)*0.475*44/12</f>
        <v>283.45438999358527</v>
      </c>
      <c r="BH68" s="59">
        <f t="shared" ref="BH68:BH131" si="62">BG68+(AY68+AZ68)*44/12</f>
        <v>576.78772332691858</v>
      </c>
      <c r="BI68" s="59">
        <f ca="1">AVERAGE(OFFSET($BH$3,0,0,'Données projet'!$E$11+1,1))-AVERAGE(OFFSET($H$3,0,0,'Données projet'!$E$11+1,1))</f>
        <v>183.67580045784649</v>
      </c>
      <c r="BJ68" s="59">
        <f t="shared" si="38"/>
        <v>121.08269345608767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20.924910729082274</v>
      </c>
      <c r="BQ68" s="21">
        <f>EXP(-LN(2)/25)*BQ67+(1-EXP(-LN(2)/25))/(LN(2)/25)*Calculateur!BL68*Calculateur!BN68*VLOOKUP('Données projet'!$B$11,Paramètres!$A$1:$I$89,3,0)*0.475*44/12</f>
        <v>26.829652919199862</v>
      </c>
      <c r="BR68" s="21">
        <f>EXP(-LN(2)/2)*BR67+(1-EXP(-LN(2)/2))/(LN(2)/2)*BL68*BO68*VLOOKUP('Données projet'!$B$11,Paramètres!$A$1:$I$89,3,0)*0.475*44/12</f>
        <v>1.9669644165176392</v>
      </c>
      <c r="BS68" s="22">
        <f t="shared" ref="BS68:BS131" si="63">SUM(BP68:BR68)</f>
        <v>49.721528064799777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195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195</v>
      </c>
      <c r="BZ68" s="13">
        <f>BY68*VLOOKUP('Données projet'!$B$12,Paramètres!$A$1:$I$89,3,0)*VLOOKUP('Données projet'!$B$12,Paramètres!$A$1:$I$89,5,0)</f>
        <v>170.35200000000003</v>
      </c>
      <c r="CA68" s="13">
        <f t="shared" si="39"/>
        <v>43.168850382694487</v>
      </c>
      <c r="CB68" s="20">
        <f t="shared" ref="CB68:CB131" si="64">(BZ68+CA68)*0.475*44/12</f>
        <v>371.88214774985954</v>
      </c>
      <c r="CC68" s="59">
        <f t="shared" ref="CC68:CC131" si="65">CB68+(BT68+BU68)*44/12</f>
        <v>665.2154810831928</v>
      </c>
      <c r="CD68" s="59">
        <f ca="1">AVERAGE(OFFSET($CC$3,0,0,'Données projet'!$E$12+1,1))-AVERAGE(OFFSET($H$3,0,0,'Données projet'!$E$12+1,1))</f>
        <v>216.10252108537389</v>
      </c>
      <c r="CE68" s="59">
        <f t="shared" si="40"/>
        <v>196.91968622092054</v>
      </c>
      <c r="CF68" s="15">
        <f>IF(ISNA(VLOOKUP(A68,'Données projet'!$A$113:$I$133,3,0)),0,VLOOKUP(A68,'Données projet'!$A$113:$I$133,3,0))</f>
        <v>10</v>
      </c>
      <c r="CG68" s="15" t="str">
        <f>IF(ISNA(VLOOKUP(A68,'Données projet'!$A$113:$I$133,4,0)),0,VLOOKUP(A68,'Données projet'!$A$113:$I$133,4,0))</f>
        <v>15</v>
      </c>
      <c r="CH68" s="16">
        <f>IF(ISNA(VLOOKUP(A68,'Données projet'!$A$113:$I$133,5,0)),0%,VLOOKUP(A68,'Données projet'!$A$113:$I$133,5,0)*VLOOKUP('Données projet'!$B$12,Paramètres!$A$1:$I$89,7,0))</f>
        <v>0.17200000000000001</v>
      </c>
      <c r="CI68" s="16">
        <f>IF(ISNA(VLOOKUP(A68,'Données projet'!$A$113:$I$133,6,0)),0%,VLOOKUP(A68,'Données projet'!$A$113:$I$133,6,0)*VLOOKUP('Données projet'!$B$12,Paramètres!$A$1:$I$89,7,0))</f>
        <v>0.17200000000000001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7.215240335990929</v>
      </c>
      <c r="CL68" s="21">
        <f>EXP(-LN(2)/25)*CL67+(1-EXP(-LN(2)/25))/(LN(2)/25)*Calculateur!CG68*Calculateur!CI68*VLOOKUP('Données projet'!$B$12,Paramètres!$A$1:$I$89,3,0)*0.475*44/12</f>
        <v>13.699126333141974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20.914366669132903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6.9975961538461569</v>
      </c>
      <c r="CT68" s="12">
        <f>IF('Données projet'!$A$140&gt;35,CT67+CS68-DB67,IF(A68&lt;'Données projet'!$A$140,$CQ$205^A68,IF(A68='Données projet'!$A$140,'Données projet'!$B$140,CT67+CS68-DB67)))</f>
        <v>201.08573717948732</v>
      </c>
      <c r="CU68" s="17">
        <f>CT68*VLOOKUP('Données projet'!$B$13,Paramètres!$A$1:$I$89,3,0)*VLOOKUP('Données projet'!$B$13,Paramètres!$A$1:$I$89,5,0)</f>
        <v>181.94237500000011</v>
      </c>
      <c r="CV68" s="13">
        <f t="shared" si="41"/>
        <v>45.754058501074866</v>
      </c>
      <c r="CW68" s="20">
        <f t="shared" ref="CW68:CW131" si="67">(CU68+CV68)*0.475*44/12</f>
        <v>396.5712883477056</v>
      </c>
      <c r="CX68" s="59">
        <f t="shared" ref="CX68:CX131" si="68">CW68+(CO68+CP68)*44/12</f>
        <v>689.90462168103886</v>
      </c>
      <c r="CY68" s="59">
        <f ca="1">AVERAGE(OFFSET($CX$3,0,0,'Données projet'!$E$13+1,1))-AVERAGE(OFFSET($H$3,0,0,'Données projet'!$E$13+1,1))</f>
        <v>318.01858325056168</v>
      </c>
      <c r="CZ68" s="59">
        <f t="shared" si="42"/>
        <v>119.46953274700951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30.887999999999998</v>
      </c>
      <c r="D69" s="11">
        <f t="shared" ref="D69:D132" si="86">IFERROR(EXP(-1.0587+0.8836*LN(C69)+0.284),0)</f>
        <v>9.5483937995519046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312.14058371583923</v>
      </c>
      <c r="H69" s="67">
        <f t="shared" si="56"/>
        <v>363.76005253421954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200.15574321350221</v>
      </c>
      <c r="T69" s="59">
        <f t="shared" ref="T69:T132" si="88">$T$3</f>
        <v>200.70728852570426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115.18835651570551</v>
      </c>
      <c r="AA69" s="21">
        <f>EXP(-LN(2)/25)*AA68+(1-EXP(-LN(2)/25))/(LN(2)/25)*Calculateur!V69*Calculateur!X69*VLOOKUP('Données projet'!$B$9,Paramètres!$A$1:$I$89,3,0)*0.475*44/12</f>
        <v>30.599837064642102</v>
      </c>
      <c r="AB69" s="21">
        <f>EXP(-LN(2)/2)*AB68+(1-EXP(-LN(2)/2))/(LN(2)/2)*V69*Y69*VLOOKUP('Données projet'!$B$9,Paramètres!$A$1:$I$89,3,0)*0.475*44/12</f>
        <v>3.9953560612472736</v>
      </c>
      <c r="AC69" s="22">
        <f t="shared" si="57"/>
        <v>149.78354964159487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45.407317338461951</v>
      </c>
      <c r="AO69" s="59">
        <f t="shared" ref="AO69:AO132" si="90">$AO$3</f>
        <v>149.88701606165358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14.427634018261225</v>
      </c>
      <c r="AV69" s="21">
        <f>EXP(-LN(2)/25)*AV68+(1-EXP(-LN(2)/25))/(LN(2)/25)*Calculateur!AQ69*Calculateur!AS69*VLOOKUP('Données projet'!$B$10,Paramètres!$A$1:$I$89,3,0)*0.475*44/12</f>
        <v>2.1390414921934022</v>
      </c>
      <c r="AW69" s="21">
        <f>EXP(-LN(2)/2)*AW68+(1-EXP(-LN(2)/2))/(LN(2)/2)*AQ69*AT69*VLOOKUP('Données projet'!$B$10,Paramètres!$A$1:$I$89,3,0)*0.475*44/12</f>
        <v>1.3037484081985428E-6</v>
      </c>
      <c r="AX69" s="21">
        <f t="shared" si="60"/>
        <v>16.566676814203035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10.314743589743591</v>
      </c>
      <c r="BD69" s="12">
        <f>IF('Données projet'!$A$88&gt;35,BD68+BC69-BL68,IF(A69&lt;'Données projet'!$A$88,$BA$205^A69,IF(A69='Données projet'!$A$88,'Données projet'!$B$88,BD68+BC69-BL68)))</f>
        <v>285.92756410256436</v>
      </c>
      <c r="BE69" s="13">
        <f>BD69*VLOOKUP('Données projet'!$B$11,Paramètres!$A$1:$I$89,3,0)*VLOOKUP('Données projet'!$B$11,Paramètres!$A$1:$I$89,5,0)</f>
        <v>133.81410000000011</v>
      </c>
      <c r="BF69" s="13">
        <f t="shared" ref="BF69:BF132" si="91">EXP(-1.0587+0.8836*LN(BE69)+0.284)</f>
        <v>34.876197134679366</v>
      </c>
      <c r="BG69" s="20">
        <f t="shared" si="61"/>
        <v>293.80226750956672</v>
      </c>
      <c r="BH69" s="59">
        <f t="shared" si="62"/>
        <v>587.13560084289998</v>
      </c>
      <c r="BI69" s="59">
        <f ca="1">AVERAGE(OFFSET($BH$3,0,0,'Données projet'!$E$11+1,1))-AVERAGE(OFFSET($H$3,0,0,'Données projet'!$E$11+1,1))</f>
        <v>183.67580045784649</v>
      </c>
      <c r="BJ69" s="59">
        <f t="shared" ref="BJ69:BJ132" si="92">$BJ$3</f>
        <v>121.08269345608767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20.51458599262028</v>
      </c>
      <c r="BQ69" s="21">
        <f>EXP(-LN(2)/25)*BQ68+(1-EXP(-LN(2)/25))/(LN(2)/25)*Calculateur!BL69*Calculateur!BN69*VLOOKUP('Données projet'!$B$11,Paramètres!$A$1:$I$89,3,0)*0.475*44/12</f>
        <v>26.095994649214216</v>
      </c>
      <c r="BR69" s="21">
        <f>EXP(-LN(2)/2)*BR68+(1-EXP(-LN(2)/2))/(LN(2)/2)*BL69*BO69*VLOOKUP('Données projet'!$B$11,Paramètres!$A$1:$I$89,3,0)*0.475*44/12</f>
        <v>1.3908538772722636</v>
      </c>
      <c r="BS69" s="22">
        <f t="shared" si="63"/>
        <v>48.001434519106759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4.2</v>
      </c>
      <c r="BY69" s="12">
        <f>IF('Données projet'!$A$114&gt;35,BY68+BX69-CG68,IF(A69&lt;'Données projet'!$A$114,$BV$205^A69,IF(A69='Données projet'!$A$114,'Données projet'!$B$114,BY68+BX69-CG68)))</f>
        <v>184.2</v>
      </c>
      <c r="BZ69" s="13">
        <f>BY69*VLOOKUP('Données projet'!$B$12,Paramètres!$A$1:$I$89,3,0)*VLOOKUP('Données projet'!$B$12,Paramètres!$A$1:$I$89,5,0)</f>
        <v>160.91712000000001</v>
      </c>
      <c r="CA69" s="13">
        <f t="shared" ref="CA69:CA132" si="93">EXP(-1.0587+0.8836*LN(BZ69)+0.284)</f>
        <v>41.049305520788089</v>
      </c>
      <c r="CB69" s="20">
        <f t="shared" si="64"/>
        <v>351.75819111537254</v>
      </c>
      <c r="CC69" s="59">
        <f t="shared" si="65"/>
        <v>645.09152444870585</v>
      </c>
      <c r="CD69" s="59">
        <f ca="1">AVERAGE(OFFSET($CC$3,0,0,'Données projet'!$E$12+1,1))-AVERAGE(OFFSET($H$3,0,0,'Données projet'!$E$12+1,1))</f>
        <v>216.10252108537389</v>
      </c>
      <c r="CE69" s="59">
        <f t="shared" ref="CE69:CE132" si="94">$CE$3</f>
        <v>196.91968622092054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7.0737538738642032</v>
      </c>
      <c r="CL69" s="21">
        <f>EXP(-LN(2)/25)*CL68+(1-EXP(-LN(2)/25))/(LN(2)/25)*Calculateur!CG69*Calculateur!CI69*VLOOKUP('Données projet'!$B$12,Paramètres!$A$1:$I$89,3,0)*0.475*44/12</f>
        <v>13.324523003156463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20.398276877020667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208.08333333333334</v>
      </c>
      <c r="CR69" s="12">
        <f>VLOOKUP(A69,'Données projet'!$A$139:$I$159,9,0)</f>
        <v>6.9975961538461569</v>
      </c>
      <c r="CS69" s="12">
        <f t="array" ref="CS69">INDEX(CR:CR,MIN(IF(ISNUMBER(CR69:CR265),ROW(CR69:CR265),"")))</f>
        <v>6.9975961538461569</v>
      </c>
      <c r="CT69" s="12">
        <f>IF('Données projet'!$A$140&gt;35,CT68+CS69-DB68,IF(A69&lt;'Données projet'!$A$140,$CQ$205^A69,IF(A69='Données projet'!$A$140,'Données projet'!$B$140,CT68+CS69-DB68)))</f>
        <v>208.08333333333348</v>
      </c>
      <c r="CU69" s="17">
        <f>CT69*VLOOKUP('Données projet'!$B$13,Paramètres!$A$1:$I$89,3,0)*VLOOKUP('Données projet'!$B$13,Paramètres!$A$1:$I$89,5,0)</f>
        <v>188.27380000000014</v>
      </c>
      <c r="CV69" s="13">
        <f t="shared" ref="CV69:CV132" si="95">EXP(-1.0587+0.8836*LN(CU69)+0.284)</f>
        <v>47.158112058671726</v>
      </c>
      <c r="CW69" s="20">
        <f t="shared" si="67"/>
        <v>410.0439135021868</v>
      </c>
      <c r="CX69" s="59">
        <f t="shared" si="68"/>
        <v>703.37724683552005</v>
      </c>
      <c r="CY69" s="59">
        <f ca="1">AVERAGE(OFFSET($CX$3,0,0,'Données projet'!$E$13+1,1))-AVERAGE(OFFSET($H$3,0,0,'Données projet'!$E$13+1,1))</f>
        <v>318.01858325056168</v>
      </c>
      <c r="CZ69" s="59">
        <f t="shared" ref="CZ69:CZ132" si="96">$CZ$3</f>
        <v>119.46953274700951</v>
      </c>
      <c r="DA69" s="15">
        <f>IF(ISNA(VLOOKUP(A69,'Données projet'!$A$139:$I$159,3,0)),0,VLOOKUP(A69,'Données projet'!$A$139:$I$159,3,0))</f>
        <v>4</v>
      </c>
      <c r="DB69" s="15">
        <f>IF(ISNA(VLOOKUP(A69,'Données projet'!$A$139:$I$159,4,0)),0,VLOOKUP(A69,'Données projet'!$A$139:$I$159,4,0))</f>
        <v>39.166666666666664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31.355999999999998</v>
      </c>
      <c r="D70" s="11">
        <f t="shared" si="86"/>
        <v>9.6761144436663837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316.73912903882825</v>
      </c>
      <c r="H70" s="67">
        <f t="shared" si="56"/>
        <v>364.79759932271895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200.15574321350221</v>
      </c>
      <c r="T70" s="59">
        <f t="shared" si="88"/>
        <v>200.70728852570426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112.9295831023926</v>
      </c>
      <c r="AA70" s="21">
        <f>EXP(-LN(2)/25)*AA69+(1-EXP(-LN(2)/25))/(LN(2)/25)*Calculateur!V70*Calculateur!X70*VLOOKUP('Données projet'!$B$9,Paramètres!$A$1:$I$89,3,0)*0.475*44/12</f>
        <v>29.763082910933971</v>
      </c>
      <c r="AB70" s="21">
        <f>EXP(-LN(2)/2)*AB69+(1-EXP(-LN(2)/2))/(LN(2)/2)*V70*Y70*VLOOKUP('Données projet'!$B$9,Paramètres!$A$1:$I$89,3,0)*0.475*44/12</f>
        <v>2.8251433641627224</v>
      </c>
      <c r="AC70" s="22">
        <f t="shared" si="57"/>
        <v>145.5178093774893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45.407317338461951</v>
      </c>
      <c r="AO70" s="59">
        <f t="shared" si="90"/>
        <v>149.88701606165358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14.144716915150946</v>
      </c>
      <c r="AV70" s="21">
        <f>EXP(-LN(2)/25)*AV69+(1-EXP(-LN(2)/25))/(LN(2)/25)*Calculateur!AQ70*Calculateur!AS70*VLOOKUP('Données projet'!$B$10,Paramètres!$A$1:$I$89,3,0)*0.475*44/12</f>
        <v>2.0805492901020703</v>
      </c>
      <c r="AW70" s="21">
        <f>EXP(-LN(2)/2)*AW69+(1-EXP(-LN(2)/2))/(LN(2)/2)*AQ70*AT70*VLOOKUP('Données projet'!$B$10,Paramètres!$A$1:$I$89,3,0)*0.475*44/12</f>
        <v>9.2188934039835673E-7</v>
      </c>
      <c r="AX70" s="21">
        <f t="shared" si="60"/>
        <v>16.225267127142359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10.314743589743591</v>
      </c>
      <c r="BD70" s="12">
        <f>IF('Données projet'!$A$88&gt;35,BD69+BC70-BL69,IF(A70&lt;'Données projet'!$A$88,$BA$205^A70,IF(A70='Données projet'!$A$88,'Données projet'!$B$88,BD69+BC70-BL69)))</f>
        <v>296.24230769230797</v>
      </c>
      <c r="BE70" s="13">
        <f>BD70*VLOOKUP('Données projet'!$B$11,Paramètres!$A$1:$I$89,3,0)*VLOOKUP('Données projet'!$B$11,Paramètres!$A$1:$I$89,5,0)</f>
        <v>138.64140000000015</v>
      </c>
      <c r="BF70" s="13">
        <f t="shared" si="91"/>
        <v>35.985592892108897</v>
      </c>
      <c r="BG70" s="20">
        <f t="shared" si="61"/>
        <v>304.14201262042326</v>
      </c>
      <c r="BH70" s="59">
        <f t="shared" si="62"/>
        <v>597.47534595375657</v>
      </c>
      <c r="BI70" s="59">
        <f ca="1">AVERAGE(OFFSET($BH$3,0,0,'Données projet'!$E$11+1,1))-AVERAGE(OFFSET($H$3,0,0,'Données projet'!$E$11+1,1))</f>
        <v>183.67580045784649</v>
      </c>
      <c r="BJ70" s="59">
        <f t="shared" si="92"/>
        <v>121.08269345608767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20.112307473966929</v>
      </c>
      <c r="BQ70" s="21">
        <f>EXP(-LN(2)/25)*BQ69+(1-EXP(-LN(2)/25))/(LN(2)/25)*Calculateur!BL70*Calculateur!BN70*VLOOKUP('Données projet'!$B$11,Paramètres!$A$1:$I$89,3,0)*0.475*44/12</f>
        <v>25.382398303202738</v>
      </c>
      <c r="BR70" s="21">
        <f>EXP(-LN(2)/2)*BR69+(1-EXP(-LN(2)/2))/(LN(2)/2)*BL70*BO70*VLOOKUP('Données projet'!$B$11,Paramètres!$A$1:$I$89,3,0)*0.475*44/12</f>
        <v>0.98348220825881982</v>
      </c>
      <c r="BS70" s="22">
        <f t="shared" si="63"/>
        <v>46.478187985428491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4.2</v>
      </c>
      <c r="BY70" s="12">
        <f>IF('Données projet'!$A$114&gt;35,BY69+BX70-CG69,IF(A70&lt;'Données projet'!$A$114,$BV$205^A70,IF(A70='Données projet'!$A$114,'Données projet'!$B$114,BY69+BX70-CG69)))</f>
        <v>188.39999999999998</v>
      </c>
      <c r="BZ70" s="13">
        <f>BY70*VLOOKUP('Données projet'!$B$12,Paramètres!$A$1:$I$89,3,0)*VLOOKUP('Données projet'!$B$12,Paramètres!$A$1:$I$89,5,0)</f>
        <v>164.58624</v>
      </c>
      <c r="CA70" s="13">
        <f t="shared" si="93"/>
        <v>41.875247075991886</v>
      </c>
      <c r="CB70" s="20">
        <f t="shared" si="64"/>
        <v>359.58708999068585</v>
      </c>
      <c r="CC70" s="59">
        <f t="shared" si="65"/>
        <v>652.92042332401911</v>
      </c>
      <c r="CD70" s="59">
        <f ca="1">AVERAGE(OFFSET($CC$3,0,0,'Données projet'!$E$12+1,1))-AVERAGE(OFFSET($H$3,0,0,'Données projet'!$E$12+1,1))</f>
        <v>216.10252108537389</v>
      </c>
      <c r="CE70" s="59">
        <f t="shared" si="94"/>
        <v>196.91968622092054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6.935041874961561</v>
      </c>
      <c r="CL70" s="21">
        <f>EXP(-LN(2)/25)*CL69+(1-EXP(-LN(2)/25))/(LN(2)/25)*Calculateur!CG70*Calculateur!CI70*VLOOKUP('Données projet'!$B$12,Paramètres!$A$1:$I$89,3,0)*0.475*44/12</f>
        <v>12.960163220928939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19.8952050958905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6.6995192307692264</v>
      </c>
      <c r="CT70" s="12">
        <f>IF('Données projet'!$A$140&gt;35,CT69+CS70-DB69,IF(A70&lt;'Données projet'!$A$140,$CQ$205^A70,IF(A70='Données projet'!$A$140,'Données projet'!$B$140,CT69+CS70-DB69)))</f>
        <v>175.61618589743605</v>
      </c>
      <c r="CU70" s="17">
        <f>CT70*VLOOKUP('Données projet'!$B$13,Paramètres!$A$1:$I$89,3,0)*VLOOKUP('Données projet'!$B$13,Paramètres!$A$1:$I$89,5,0)</f>
        <v>158.89752500000012</v>
      </c>
      <c r="CV70" s="13">
        <f t="shared" si="95"/>
        <v>40.593749114952736</v>
      </c>
      <c r="CW70" s="20">
        <f t="shared" si="67"/>
        <v>347.44730241687625</v>
      </c>
      <c r="CX70" s="59">
        <f t="shared" si="68"/>
        <v>640.78063575020951</v>
      </c>
      <c r="CY70" s="59">
        <f ca="1">AVERAGE(OFFSET($CX$3,0,0,'Données projet'!$E$13+1,1))-AVERAGE(OFFSET($H$3,0,0,'Données projet'!$E$13+1,1))</f>
        <v>318.01858325056168</v>
      </c>
      <c r="CZ70" s="59">
        <f t="shared" si="96"/>
        <v>119.46953274700951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31.823999999999998</v>
      </c>
      <c r="D71" s="11">
        <f t="shared" si="86"/>
        <v>9.8036133809220889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321.33596294045122</v>
      </c>
      <c r="H71" s="67">
        <f t="shared" si="56"/>
        <v>365.8347599717726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200.15574321350221</v>
      </c>
      <c r="T71" s="59">
        <f t="shared" si="88"/>
        <v>200.70728852570426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110.71510285799901</v>
      </c>
      <c r="AA71" s="21">
        <f>EXP(-LN(2)/25)*AA70+(1-EXP(-LN(2)/25))/(LN(2)/25)*Calculateur!V71*Calculateur!X71*VLOOKUP('Données projet'!$B$9,Paramètres!$A$1:$I$89,3,0)*0.475*44/12</f>
        <v>28.949209843561974</v>
      </c>
      <c r="AB71" s="21">
        <f>EXP(-LN(2)/2)*AB70+(1-EXP(-LN(2)/2))/(LN(2)/2)*V71*Y71*VLOOKUP('Données projet'!$B$9,Paramètres!$A$1:$I$89,3,0)*0.475*44/12</f>
        <v>1.997678030623637</v>
      </c>
      <c r="AC71" s="22">
        <f t="shared" si="57"/>
        <v>141.66199073218462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45.407317338461951</v>
      </c>
      <c r="AO71" s="59">
        <f t="shared" si="90"/>
        <v>149.88701606165358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13.867347643870266</v>
      </c>
      <c r="AV71" s="21">
        <f>EXP(-LN(2)/25)*AV70+(1-EXP(-LN(2)/25))/(LN(2)/25)*Calculateur!AQ71*Calculateur!AS71*VLOOKUP('Données projet'!$B$10,Paramètres!$A$1:$I$89,3,0)*0.475*44/12</f>
        <v>2.0236565603528973</v>
      </c>
      <c r="AW71" s="21">
        <f>EXP(-LN(2)/2)*AW70+(1-EXP(-LN(2)/2))/(LN(2)/2)*AQ71*AT71*VLOOKUP('Données projet'!$B$10,Paramètres!$A$1:$I$89,3,0)*0.475*44/12</f>
        <v>6.518742040992715E-7</v>
      </c>
      <c r="AX71" s="21">
        <f t="shared" si="60"/>
        <v>15.891004856097368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10.314743589743591</v>
      </c>
      <c r="BD71" s="12">
        <f>IF('Données projet'!$A$88&gt;35,BD70+BC71-BL70,IF(A71&lt;'Données projet'!$A$88,$BA$205^A71,IF(A71='Données projet'!$A$88,'Données projet'!$B$88,BD70+BC71-BL70)))</f>
        <v>306.55705128205159</v>
      </c>
      <c r="BE71" s="13">
        <f>BD71*VLOOKUP('Données projet'!$B$11,Paramètres!$A$1:$I$89,3,0)*VLOOKUP('Données projet'!$B$11,Paramètres!$A$1:$I$89,5,0)</f>
        <v>143.46870000000015</v>
      </c>
      <c r="BF71" s="13">
        <f t="shared" si="91"/>
        <v>37.090500536695636</v>
      </c>
      <c r="BG71" s="20">
        <f t="shared" si="61"/>
        <v>314.47394093474514</v>
      </c>
      <c r="BH71" s="59">
        <f t="shared" si="62"/>
        <v>607.80727426807846</v>
      </c>
      <c r="BI71" s="59">
        <f ca="1">AVERAGE(OFFSET($BH$3,0,0,'Données projet'!$E$11+1,1))-AVERAGE(OFFSET($H$3,0,0,'Données projet'!$E$11+1,1))</f>
        <v>183.67580045784649</v>
      </c>
      <c r="BJ71" s="59">
        <f t="shared" si="92"/>
        <v>121.08269345608767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19.717917391698702</v>
      </c>
      <c r="BQ71" s="21">
        <f>EXP(-LN(2)/25)*BQ70+(1-EXP(-LN(2)/25))/(LN(2)/25)*Calculateur!BL71*Calculateur!BN71*VLOOKUP('Données projet'!$B$11,Paramètres!$A$1:$I$89,3,0)*0.475*44/12</f>
        <v>24.688315286799345</v>
      </c>
      <c r="BR71" s="21">
        <f>EXP(-LN(2)/2)*BR70+(1-EXP(-LN(2)/2))/(LN(2)/2)*BL71*BO71*VLOOKUP('Données projet'!$B$11,Paramètres!$A$1:$I$89,3,0)*0.475*44/12</f>
        <v>0.69542693863613192</v>
      </c>
      <c r="BS71" s="22">
        <f t="shared" si="63"/>
        <v>45.101659617134175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4.2</v>
      </c>
      <c r="BY71" s="12">
        <f>IF('Données projet'!$A$114&gt;35,BY70+BX71-CG70,IF(A71&lt;'Données projet'!$A$114,$BV$205^A71,IF(A71='Données projet'!$A$114,'Données projet'!$B$114,BY70+BX71-CG70)))</f>
        <v>192.59999999999997</v>
      </c>
      <c r="BZ71" s="13">
        <f>BY71*VLOOKUP('Données projet'!$B$12,Paramètres!$A$1:$I$89,3,0)*VLOOKUP('Données projet'!$B$12,Paramètres!$A$1:$I$89,5,0)</f>
        <v>168.25536</v>
      </c>
      <c r="CA71" s="13">
        <f t="shared" si="93"/>
        <v>42.699047982710887</v>
      </c>
      <c r="CB71" s="20">
        <f t="shared" si="64"/>
        <v>367.41226056988808</v>
      </c>
      <c r="CC71" s="59">
        <f t="shared" si="65"/>
        <v>660.74559390322133</v>
      </c>
      <c r="CD71" s="59">
        <f ca="1">AVERAGE(OFFSET($CC$3,0,0,'Données projet'!$E$12+1,1))-AVERAGE(OFFSET($H$3,0,0,'Données projet'!$E$12+1,1))</f>
        <v>216.10252108537389</v>
      </c>
      <c r="CE71" s="59">
        <f t="shared" si="94"/>
        <v>196.91968622092054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6.7990499337514345</v>
      </c>
      <c r="CL71" s="21">
        <f>EXP(-LN(2)/25)*CL70+(1-EXP(-LN(2)/25))/(LN(2)/25)*Calculateur!CG71*Calculateur!CI71*VLOOKUP('Données projet'!$B$12,Paramètres!$A$1:$I$89,3,0)*0.475*44/12</f>
        <v>12.605766876107275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19.404816809858708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6.6995192307692264</v>
      </c>
      <c r="CT71" s="12">
        <f>IF('Données projet'!$A$140&gt;35,CT70+CS71-DB70,IF(A71&lt;'Données projet'!$A$140,$CQ$205^A71,IF(A71='Données projet'!$A$140,'Données projet'!$B$140,CT70+CS71-DB70)))</f>
        <v>182.31570512820528</v>
      </c>
      <c r="CU71" s="17">
        <f>CT71*VLOOKUP('Données projet'!$B$13,Paramètres!$A$1:$I$89,3,0)*VLOOKUP('Données projet'!$B$13,Paramètres!$A$1:$I$89,5,0)</f>
        <v>164.95925000000014</v>
      </c>
      <c r="CV71" s="13">
        <f t="shared" si="95"/>
        <v>41.959093163339809</v>
      </c>
      <c r="CW71" s="20">
        <f t="shared" si="67"/>
        <v>360.38278100948378</v>
      </c>
      <c r="CX71" s="59">
        <f t="shared" si="68"/>
        <v>653.71611434281704</v>
      </c>
      <c r="CY71" s="59">
        <f ca="1">AVERAGE(OFFSET($CX$3,0,0,'Données projet'!$E$13+1,1))-AVERAGE(OFFSET($H$3,0,0,'Données projet'!$E$13+1,1))</f>
        <v>318.01858325056168</v>
      </c>
      <c r="CZ71" s="59">
        <f t="shared" si="96"/>
        <v>119.46953274700951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32.292000000000002</v>
      </c>
      <c r="D72" s="11">
        <f t="shared" si="86"/>
        <v>9.9308942483743401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325.93111349622302</v>
      </c>
      <c r="H72" s="67">
        <f t="shared" si="56"/>
        <v>366.87154081591865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200.15574321350221</v>
      </c>
      <c r="T72" s="59">
        <f t="shared" si="88"/>
        <v>200.70728852570426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108.54404722049841</v>
      </c>
      <c r="AA72" s="21">
        <f>EXP(-LN(2)/25)*AA71+(1-EXP(-LN(2)/25))/(LN(2)/25)*Calculateur!V72*Calculateur!X72*VLOOKUP('Données projet'!$B$9,Paramètres!$A$1:$I$89,3,0)*0.475*44/12</f>
        <v>28.157592178016991</v>
      </c>
      <c r="AB72" s="21">
        <f>EXP(-LN(2)/2)*AB71+(1-EXP(-LN(2)/2))/(LN(2)/2)*V72*Y72*VLOOKUP('Données projet'!$B$9,Paramètres!$A$1:$I$89,3,0)*0.475*44/12</f>
        <v>1.4125716820813614</v>
      </c>
      <c r="AC72" s="22">
        <f t="shared" si="57"/>
        <v>138.11421108059676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45.407317338461951</v>
      </c>
      <c r="AO72" s="59">
        <f t="shared" si="90"/>
        <v>149.88701606165358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13.595417414820851</v>
      </c>
      <c r="AV72" s="21">
        <f>EXP(-LN(2)/25)*AV71+(1-EXP(-LN(2)/25))/(LN(2)/25)*Calculateur!AQ72*Calculateur!AS72*VLOOKUP('Données projet'!$B$10,Paramètres!$A$1:$I$89,3,0)*0.475*44/12</f>
        <v>1.9683195652905741</v>
      </c>
      <c r="AW72" s="21">
        <f>EXP(-LN(2)/2)*AW71+(1-EXP(-LN(2)/2))/(LN(2)/2)*AQ72*AT72*VLOOKUP('Données projet'!$B$10,Paramètres!$A$1:$I$89,3,0)*0.475*44/12</f>
        <v>4.6094467019917842E-7</v>
      </c>
      <c r="AX72" s="21">
        <f t="shared" si="60"/>
        <v>15.563737441056096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10.314743589743591</v>
      </c>
      <c r="BD72" s="12">
        <f>IF('Données projet'!$A$88&gt;35,BD71+BC72-BL71,IF(A72&lt;'Données projet'!$A$88,$BA$205^A72,IF(A72='Données projet'!$A$88,'Données projet'!$B$88,BD71+BC72-BL71)))</f>
        <v>316.8717948717952</v>
      </c>
      <c r="BE72" s="13">
        <f>BD72*VLOOKUP('Données projet'!$B$11,Paramètres!$A$1:$I$89,3,0)*VLOOKUP('Données projet'!$B$11,Paramètres!$A$1:$I$89,5,0)</f>
        <v>148.29600000000016</v>
      </c>
      <c r="BF72" s="13">
        <f t="shared" si="91"/>
        <v>38.191088392826394</v>
      </c>
      <c r="BG72" s="20">
        <f t="shared" si="61"/>
        <v>324.79834561750624</v>
      </c>
      <c r="BH72" s="59">
        <f t="shared" si="62"/>
        <v>618.13167895083961</v>
      </c>
      <c r="BI72" s="59">
        <f ca="1">AVERAGE(OFFSET($BH$3,0,0,'Données projet'!$E$11+1,1))-AVERAGE(OFFSET($H$3,0,0,'Données projet'!$E$11+1,1))</f>
        <v>183.67580045784649</v>
      </c>
      <c r="BJ72" s="59">
        <f t="shared" si="92"/>
        <v>121.08269345608767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19.331261058389558</v>
      </c>
      <c r="BQ72" s="21">
        <f>EXP(-LN(2)/25)*BQ71+(1-EXP(-LN(2)/25))/(LN(2)/25)*Calculateur!BL72*Calculateur!BN72*VLOOKUP('Données projet'!$B$11,Paramètres!$A$1:$I$89,3,0)*0.475*44/12</f>
        <v>24.013212006979742</v>
      </c>
      <c r="BR72" s="21">
        <f>EXP(-LN(2)/2)*BR71+(1-EXP(-LN(2)/2))/(LN(2)/2)*BL72*BO72*VLOOKUP('Données projet'!$B$11,Paramètres!$A$1:$I$89,3,0)*0.475*44/12</f>
        <v>0.49174110412940997</v>
      </c>
      <c r="BS72" s="22">
        <f t="shared" si="63"/>
        <v>43.83621416949871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4.2</v>
      </c>
      <c r="BY72" s="12">
        <f>IF('Données projet'!$A$114&gt;35,BY71+BX72-CG71,IF(A72&lt;'Données projet'!$A$114,$BV$205^A72,IF(A72='Données projet'!$A$114,'Données projet'!$B$114,BY71+BX72-CG71)))</f>
        <v>196.79999999999995</v>
      </c>
      <c r="BZ72" s="13">
        <f>BY72*VLOOKUP('Données projet'!$B$12,Paramètres!$A$1:$I$89,3,0)*VLOOKUP('Données projet'!$B$12,Paramètres!$A$1:$I$89,5,0)</f>
        <v>171.92447999999999</v>
      </c>
      <c r="CA72" s="13">
        <f t="shared" si="93"/>
        <v>43.520760297647755</v>
      </c>
      <c r="CB72" s="20">
        <f t="shared" si="64"/>
        <v>375.23379351840316</v>
      </c>
      <c r="CC72" s="59">
        <f t="shared" si="65"/>
        <v>668.56712685173648</v>
      </c>
      <c r="CD72" s="59">
        <f ca="1">AVERAGE(OFFSET($CC$3,0,0,'Données projet'!$E$12+1,1))-AVERAGE(OFFSET($H$3,0,0,'Données projet'!$E$12+1,1))</f>
        <v>216.10252108537389</v>
      </c>
      <c r="CE72" s="59">
        <f t="shared" si="94"/>
        <v>196.91968622092054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6.6657247115615448</v>
      </c>
      <c r="CL72" s="21">
        <f>EXP(-LN(2)/25)*CL71+(1-EXP(-LN(2)/25))/(LN(2)/25)*Calculateur!CG72*Calculateur!CI72*VLOOKUP('Données projet'!$B$12,Paramètres!$A$1:$I$89,3,0)*0.475*44/12</f>
        <v>12.261061517971653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18.926786229533199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6.6995192307692264</v>
      </c>
      <c r="CT72" s="12">
        <f>IF('Données projet'!$A$140&gt;35,CT71+CS72-DB71,IF(A72&lt;'Données projet'!$A$140,$CQ$205^A72,IF(A72='Données projet'!$A$140,'Données projet'!$B$140,CT71+CS72-DB71)))</f>
        <v>189.01522435897451</v>
      </c>
      <c r="CU72" s="17">
        <f>CT72*VLOOKUP('Données projet'!$B$13,Paramètres!$A$1:$I$89,3,0)*VLOOKUP('Données projet'!$B$13,Paramètres!$A$1:$I$89,5,0)</f>
        <v>171.02097500000013</v>
      </c>
      <c r="CV72" s="13">
        <f t="shared" si="95"/>
        <v>43.318608274033679</v>
      </c>
      <c r="CW72" s="20">
        <f t="shared" si="67"/>
        <v>373.30810753560894</v>
      </c>
      <c r="CX72" s="59">
        <f t="shared" si="68"/>
        <v>666.64144086894225</v>
      </c>
      <c r="CY72" s="59">
        <f ca="1">AVERAGE(OFFSET($CX$3,0,0,'Données projet'!$E$13+1,1))-AVERAGE(OFFSET($H$3,0,0,'Données projet'!$E$13+1,1))</f>
        <v>318.01858325056168</v>
      </c>
      <c r="CZ72" s="59">
        <f t="shared" si="96"/>
        <v>119.46953274700951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32.760000000000005</v>
      </c>
      <c r="D73" s="11">
        <f t="shared" si="86"/>
        <v>10.057960571603429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330.52460792114931</v>
      </c>
      <c r="H73" s="67">
        <f t="shared" si="56"/>
        <v>367.9079479955426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200.15574321350221</v>
      </c>
      <c r="T73" s="59">
        <f t="shared" si="88"/>
        <v>200.70728852570426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106.41556465983601</v>
      </c>
      <c r="AA73" s="21">
        <f>EXP(-LN(2)/25)*AA72+(1-EXP(-LN(2)/25))/(LN(2)/25)*Calculateur!V73*Calculateur!X73*VLOOKUP('Données projet'!$B$9,Paramètres!$A$1:$I$89,3,0)*0.475*44/12</f>
        <v>27.387621339165698</v>
      </c>
      <c r="AB73" s="21">
        <f>EXP(-LN(2)/2)*AB72+(1-EXP(-LN(2)/2))/(LN(2)/2)*V73*Y73*VLOOKUP('Données projet'!$B$9,Paramètres!$A$1:$I$89,3,0)*0.475*44/12</f>
        <v>0.99883901531181862</v>
      </c>
      <c r="AC73" s="22">
        <f t="shared" si="57"/>
        <v>134.80202501431353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45.407317338461951</v>
      </c>
      <c r="AO73" s="59">
        <f t="shared" si="90"/>
        <v>149.88701606165358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13.328819571702033</v>
      </c>
      <c r="AV73" s="21">
        <f>EXP(-LN(2)/25)*AV72+(1-EXP(-LN(2)/25))/(LN(2)/25)*Calculateur!AQ73*Calculateur!AS73*VLOOKUP('Données projet'!$B$10,Paramètres!$A$1:$I$89,3,0)*0.475*44/12</f>
        <v>1.914495763268276</v>
      </c>
      <c r="AW73" s="21">
        <f>EXP(-LN(2)/2)*AW72+(1-EXP(-LN(2)/2))/(LN(2)/2)*AQ73*AT73*VLOOKUP('Données projet'!$B$10,Paramètres!$A$1:$I$89,3,0)*0.475*44/12</f>
        <v>3.259371020496358E-7</v>
      </c>
      <c r="AX73" s="21">
        <f t="shared" si="60"/>
        <v>15.24331566090741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10.314743589743591</v>
      </c>
      <c r="BD73" s="12">
        <f>IF('Données projet'!$A$88&gt;35,BD72+BC73-BL72,IF(A73&lt;'Données projet'!$A$88,$BA$205^A73,IF(A73='Données projet'!$A$88,'Données projet'!$B$88,BD72+BC73-BL72)))</f>
        <v>327.18653846153882</v>
      </c>
      <c r="BE73" s="13">
        <f>BD73*VLOOKUP('Données projet'!$B$11,Paramètres!$A$1:$I$89,3,0)*VLOOKUP('Données projet'!$B$11,Paramètres!$A$1:$I$89,5,0)</f>
        <v>153.12330000000017</v>
      </c>
      <c r="BF73" s="13">
        <f t="shared" si="91"/>
        <v>39.287513204310343</v>
      </c>
      <c r="BG73" s="20">
        <f t="shared" si="61"/>
        <v>335.11549966417408</v>
      </c>
      <c r="BH73" s="59">
        <f t="shared" si="62"/>
        <v>628.44883299750745</v>
      </c>
      <c r="BI73" s="59">
        <f ca="1">AVERAGE(OFFSET($BH$3,0,0,'Données projet'!$E$11+1,1))-AVERAGE(OFFSET($H$3,0,0,'Données projet'!$E$11+1,1))</f>
        <v>183.67580045784649</v>
      </c>
      <c r="BJ73" s="59">
        <f t="shared" si="92"/>
        <v>121.08269345608767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18.952186819939527</v>
      </c>
      <c r="BQ73" s="21">
        <f>EXP(-LN(2)/25)*BQ72+(1-EXP(-LN(2)/25))/(LN(2)/25)*Calculateur!BL73*Calculateur!BN73*VLOOKUP('Données projet'!$B$11,Paramètres!$A$1:$I$89,3,0)*0.475*44/12</f>
        <v>23.356569461848945</v>
      </c>
      <c r="BR73" s="21">
        <f>EXP(-LN(2)/2)*BR72+(1-EXP(-LN(2)/2))/(LN(2)/2)*BL73*BO73*VLOOKUP('Données projet'!$B$11,Paramètres!$A$1:$I$89,3,0)*0.475*44/12</f>
        <v>0.34771346931806602</v>
      </c>
      <c r="BS73" s="22">
        <f t="shared" si="63"/>
        <v>42.656469751106542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201</v>
      </c>
      <c r="BW73" s="12">
        <f>VLOOKUP(A73,'Données projet'!$A$113:$I$133,9,0)</f>
        <v>4.2</v>
      </c>
      <c r="BX73" s="12">
        <f t="array" ref="BX73">INDEX(BW:BW,MIN(IF(ISNUMBER(BW73:BW269),ROW(BW73:BW269),"")))</f>
        <v>4.2</v>
      </c>
      <c r="BY73" s="12">
        <f>IF('Données projet'!$A$114&gt;35,BY72+BX73-CG72,IF(A73&lt;'Données projet'!$A$114,$BV$205^A73,IF(A73='Données projet'!$A$114,'Données projet'!$B$114,BY72+BX73-CG72)))</f>
        <v>200.99999999999994</v>
      </c>
      <c r="BZ73" s="13">
        <f>BY73*VLOOKUP('Données projet'!$B$12,Paramètres!$A$1:$I$89,3,0)*VLOOKUP('Données projet'!$B$12,Paramètres!$A$1:$I$89,5,0)</f>
        <v>175.59359999999995</v>
      </c>
      <c r="CA73" s="13">
        <f t="shared" si="93"/>
        <v>44.340433728638573</v>
      </c>
      <c r="CB73" s="20">
        <f t="shared" si="64"/>
        <v>383.05177541071203</v>
      </c>
      <c r="CC73" s="59">
        <f t="shared" si="65"/>
        <v>676.38510874404528</v>
      </c>
      <c r="CD73" s="59">
        <f ca="1">AVERAGE(OFFSET($CC$3,0,0,'Données projet'!$E$12+1,1))-AVERAGE(OFFSET($H$3,0,0,'Données projet'!$E$12+1,1))</f>
        <v>216.10252108537389</v>
      </c>
      <c r="CE73" s="59">
        <f t="shared" si="94"/>
        <v>196.91968622092054</v>
      </c>
      <c r="CF73" s="15">
        <f>IF(ISNA(VLOOKUP(A73,'Données projet'!$A$113:$I$133,3,0)),0,VLOOKUP(A73,'Données projet'!$A$113:$I$133,3,0))</f>
        <v>11</v>
      </c>
      <c r="CG73" s="15" t="str">
        <f>IF(ISNA(VLOOKUP(A73,'Données projet'!$A$113:$I$133,4,0)),0,VLOOKUP(A73,'Données projet'!$A$113:$I$133,4,0))</f>
        <v>14</v>
      </c>
      <c r="CH73" s="16">
        <f>IF(ISNA(VLOOKUP(A73,'Données projet'!$A$113:$I$133,5,0)),0%,VLOOKUP(A73,'Données projet'!$A$113:$I$133,5,0)*VLOOKUP('Données projet'!$B$12,Paramètres!$A$1:$I$89,7,0))</f>
        <v>0.17200000000000001</v>
      </c>
      <c r="CI73" s="16">
        <f>IF(ISNA(VLOOKUP(A73,'Données projet'!$A$113:$I$133,6,0)),0%,VLOOKUP(A73,'Données projet'!$A$113:$I$133,6,0)*VLOOKUP('Données projet'!$B$12,Paramètres!$A$1:$I$89,7,0))</f>
        <v>0.17200000000000001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8.8605132435908889</v>
      </c>
      <c r="CL73" s="21">
        <f>EXP(-LN(2)/25)*CL72+(1-EXP(-LN(2)/25))/(LN(2)/25)*Calculateur!CG73*Calculateur!CI73*VLOOKUP('Données projet'!$B$12,Paramètres!$A$1:$I$89,3,0)*0.475*44/12</f>
        <v>14.24212509697518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23.102638340566067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6.6995192307692264</v>
      </c>
      <c r="CT73" s="12">
        <f>IF('Données projet'!$A$140&gt;35,CT72+CS73-DB72,IF(A73&lt;'Données projet'!$A$140,$CQ$205^A73,IF(A73='Données projet'!$A$140,'Données projet'!$B$140,CT72+CS73-DB72)))</f>
        <v>195.71474358974373</v>
      </c>
      <c r="CU73" s="17">
        <f>CT73*VLOOKUP('Données projet'!$B$13,Paramètres!$A$1:$I$89,3,0)*VLOOKUP('Données projet'!$B$13,Paramètres!$A$1:$I$89,5,0)</f>
        <v>177.08270000000013</v>
      </c>
      <c r="CV73" s="13">
        <f t="shared" si="95"/>
        <v>44.672524721320137</v>
      </c>
      <c r="CW73" s="20">
        <f t="shared" si="67"/>
        <v>386.22368305629948</v>
      </c>
      <c r="CX73" s="59">
        <f t="shared" si="68"/>
        <v>679.55701638963274</v>
      </c>
      <c r="CY73" s="59">
        <f ca="1">AVERAGE(OFFSET($CX$3,0,0,'Données projet'!$E$13+1,1))-AVERAGE(OFFSET($H$3,0,0,'Données projet'!$E$13+1,1))</f>
        <v>318.01858325056168</v>
      </c>
      <c r="CZ73" s="59">
        <f t="shared" si="96"/>
        <v>119.46953274700951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33.228000000000009</v>
      </c>
      <c r="D74" s="11">
        <f t="shared" si="86"/>
        <v>10.184815769674017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335.11647260801004</v>
      </c>
      <c r="H74" s="67">
        <f t="shared" si="56"/>
        <v>368.94398746551559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200.15574321350221</v>
      </c>
      <c r="T74" s="59">
        <f t="shared" si="88"/>
        <v>200.70728852570426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104.32882034394203</v>
      </c>
      <c r="AA74" s="21">
        <f>EXP(-LN(2)/25)*AA73+(1-EXP(-LN(2)/25))/(LN(2)/25)*Calculateur!V74*Calculateur!X74*VLOOKUP('Données projet'!$B$9,Paramètres!$A$1:$I$89,3,0)*0.475*44/12</f>
        <v>26.638705393393799</v>
      </c>
      <c r="AB74" s="21">
        <f>EXP(-LN(2)/2)*AB73+(1-EXP(-LN(2)/2))/(LN(2)/2)*V74*Y74*VLOOKUP('Données projet'!$B$9,Paramètres!$A$1:$I$89,3,0)*0.475*44/12</f>
        <v>0.70628584104068082</v>
      </c>
      <c r="AC74" s="22">
        <f t="shared" si="57"/>
        <v>131.6738115783765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45.407317338461951</v>
      </c>
      <c r="AO74" s="59">
        <f t="shared" si="90"/>
        <v>149.88701606165358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13.067449549678146</v>
      </c>
      <c r="AV74" s="21">
        <f>EXP(-LN(2)/25)*AV73+(1-EXP(-LN(2)/25))/(LN(2)/25)*Calculateur!AQ74*Calculateur!AS74*VLOOKUP('Données projet'!$B$10,Paramètres!$A$1:$I$89,3,0)*0.475*44/12</f>
        <v>1.8621437759427484</v>
      </c>
      <c r="AW74" s="21">
        <f>EXP(-LN(2)/2)*AW73+(1-EXP(-LN(2)/2))/(LN(2)/2)*AQ74*AT74*VLOOKUP('Données projet'!$B$10,Paramètres!$A$1:$I$89,3,0)*0.475*44/12</f>
        <v>2.3047233509958926E-7</v>
      </c>
      <c r="AX74" s="21">
        <f t="shared" si="60"/>
        <v>14.929593556093229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10.314743589743591</v>
      </c>
      <c r="BD74" s="12">
        <f>IF('Données projet'!$A$88&gt;35,BD73+BC74-BL73,IF(A74&lt;'Données projet'!$A$88,$BA$205^A74,IF(A74='Données projet'!$A$88,'Données projet'!$B$88,BD73+BC74-BL73)))</f>
        <v>337.50128205128243</v>
      </c>
      <c r="BE74" s="13">
        <f>BD74*VLOOKUP('Données projet'!$B$11,Paramètres!$A$1:$I$89,3,0)*VLOOKUP('Données projet'!$B$11,Paramètres!$A$1:$I$89,5,0)</f>
        <v>157.95060000000018</v>
      </c>
      <c r="BF74" s="13">
        <f t="shared" si="91"/>
        <v>40.379921270810129</v>
      </c>
      <c r="BG74" s="20">
        <f t="shared" si="61"/>
        <v>345.42565787999462</v>
      </c>
      <c r="BH74" s="59">
        <f t="shared" si="62"/>
        <v>638.75899121332793</v>
      </c>
      <c r="BI74" s="59">
        <f ca="1">AVERAGE(OFFSET($BH$3,0,0,'Données projet'!$E$11+1,1))-AVERAGE(OFFSET($H$3,0,0,'Données projet'!$E$11+1,1))</f>
        <v>183.67580045784649</v>
      </c>
      <c r="BJ74" s="59">
        <f t="shared" si="92"/>
        <v>121.08269345608767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18.580545996093047</v>
      </c>
      <c r="BQ74" s="21">
        <f>EXP(-LN(2)/25)*BQ73+(1-EXP(-LN(2)/25))/(LN(2)/25)*Calculateur!BL74*Calculateur!BN74*VLOOKUP('Données projet'!$B$11,Paramètres!$A$1:$I$89,3,0)*0.475*44/12</f>
        <v>22.71788284164608</v>
      </c>
      <c r="BR74" s="21">
        <f>EXP(-LN(2)/2)*BR73+(1-EXP(-LN(2)/2))/(LN(2)/2)*BL74*BO74*VLOOKUP('Données projet'!$B$11,Paramètres!$A$1:$I$89,3,0)*0.475*44/12</f>
        <v>0.24587055206470504</v>
      </c>
      <c r="BS74" s="22">
        <f t="shared" si="63"/>
        <v>41.544299389803825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190.39999999999995</v>
      </c>
      <c r="BZ74" s="13">
        <f>BY74*VLOOKUP('Données projet'!$B$12,Paramètres!$A$1:$I$89,3,0)*VLOOKUP('Données projet'!$B$12,Paramètres!$A$1:$I$89,5,0)</f>
        <v>166.33343999999997</v>
      </c>
      <c r="CA74" s="13">
        <f t="shared" si="93"/>
        <v>42.267796944897761</v>
      </c>
      <c r="CB74" s="20">
        <f t="shared" si="64"/>
        <v>363.31382101236346</v>
      </c>
      <c r="CC74" s="59">
        <f t="shared" si="65"/>
        <v>656.64715434569678</v>
      </c>
      <c r="CD74" s="59">
        <f ca="1">AVERAGE(OFFSET($CC$3,0,0,'Données projet'!$E$12+1,1))-AVERAGE(OFFSET($H$3,0,0,'Données projet'!$E$12+1,1))</f>
        <v>216.10252108537389</v>
      </c>
      <c r="CE74" s="59">
        <f t="shared" si="94"/>
        <v>196.91968622092054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8.6867639832635124</v>
      </c>
      <c r="CL74" s="21">
        <f>EXP(-LN(2)/25)*CL73+(1-EXP(-LN(2)/25))/(LN(2)/25)*Calculateur!CG74*Calculateur!CI74*VLOOKUP('Données projet'!$B$12,Paramètres!$A$1:$I$89,3,0)*0.475*44/12</f>
        <v>13.852673437237586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22.539437420501098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6.6995192307692264</v>
      </c>
      <c r="CT74" s="12">
        <f>IF('Données projet'!$A$140&gt;35,CT73+CS74-DB73,IF(A74&lt;'Données projet'!$A$140,$CQ$205^A74,IF(A74='Données projet'!$A$140,'Données projet'!$B$140,CT73+CS74-DB73)))</f>
        <v>202.41426282051296</v>
      </c>
      <c r="CU74" s="17">
        <f>CT74*VLOOKUP('Données projet'!$B$13,Paramètres!$A$1:$I$89,3,0)*VLOOKUP('Données projet'!$B$13,Paramètres!$A$1:$I$89,5,0)</f>
        <v>183.14442500000013</v>
      </c>
      <c r="CV74" s="13">
        <f t="shared" si="95"/>
        <v>46.02105612019141</v>
      </c>
      <c r="CW74" s="20">
        <f t="shared" si="67"/>
        <v>399.12987961766686</v>
      </c>
      <c r="CX74" s="59">
        <f t="shared" si="68"/>
        <v>692.46321295100017</v>
      </c>
      <c r="CY74" s="59">
        <f ca="1">AVERAGE(OFFSET($CX$3,0,0,'Données projet'!$E$13+1,1))-AVERAGE(OFFSET($H$3,0,0,'Données projet'!$E$13+1,1))</f>
        <v>318.01858325056168</v>
      </c>
      <c r="CZ74" s="59">
        <f t="shared" si="96"/>
        <v>119.46953274700951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33.696000000000012</v>
      </c>
      <c r="D75" s="11">
        <f t="shared" si="86"/>
        <v>10.311463159807191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339.70673316342402</v>
      </c>
      <c r="H75" s="67">
        <f t="shared" si="56"/>
        <v>369.97966500333087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200.15574321350221</v>
      </c>
      <c r="T75" s="59">
        <f t="shared" si="88"/>
        <v>200.70728852570426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102.28299581129437</v>
      </c>
      <c r="AA75" s="21">
        <f>EXP(-LN(2)/25)*AA74+(1-EXP(-LN(2)/25))/(LN(2)/25)*Calculateur!V75*Calculateur!X75*VLOOKUP('Données projet'!$B$9,Paramètres!$A$1:$I$89,3,0)*0.475*44/12</f>
        <v>25.910268593542813</v>
      </c>
      <c r="AB75" s="21">
        <f>EXP(-LN(2)/2)*AB74+(1-EXP(-LN(2)/2))/(LN(2)/2)*V75*Y75*VLOOKUP('Données projet'!$B$9,Paramètres!$A$1:$I$89,3,0)*0.475*44/12</f>
        <v>0.49941950765590942</v>
      </c>
      <c r="AC75" s="22">
        <f t="shared" si="57"/>
        <v>128.6926839124931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45.407317338461951</v>
      </c>
      <c r="AO75" s="59">
        <f t="shared" si="90"/>
        <v>149.88701606165358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12.811204834366176</v>
      </c>
      <c r="AV75" s="21">
        <f>EXP(-LN(2)/25)*AV74+(1-EXP(-LN(2)/25))/(LN(2)/25)*Calculateur!AQ75*Calculateur!AS75*VLOOKUP('Données projet'!$B$10,Paramètres!$A$1:$I$89,3,0)*0.475*44/12</f>
        <v>1.8112233564637088</v>
      </c>
      <c r="AW75" s="21">
        <f>EXP(-LN(2)/2)*AW74+(1-EXP(-LN(2)/2))/(LN(2)/2)*AQ75*AT75*VLOOKUP('Données projet'!$B$10,Paramètres!$A$1:$I$89,3,0)*0.475*44/12</f>
        <v>1.6296855102481793E-7</v>
      </c>
      <c r="AX75" s="21">
        <f t="shared" si="60"/>
        <v>14.622428353798435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10.314743589743591</v>
      </c>
      <c r="BD75" s="12">
        <f>IF('Données projet'!$A$88&gt;35,BD74+BC75-BL74,IF(A75&lt;'Données projet'!$A$88,$BA$205^A75,IF(A75='Données projet'!$A$88,'Données projet'!$B$88,BD74+BC75-BL74)))</f>
        <v>347.81602564102604</v>
      </c>
      <c r="BE75" s="13">
        <f>BD75*VLOOKUP('Données projet'!$B$11,Paramètres!$A$1:$I$89,3,0)*VLOOKUP('Données projet'!$B$11,Paramètres!$A$1:$I$89,5,0)</f>
        <v>162.77790000000019</v>
      </c>
      <c r="BF75" s="13">
        <f t="shared" si="91"/>
        <v>41.468449441443113</v>
      </c>
      <c r="BG75" s="20">
        <f t="shared" si="61"/>
        <v>355.72905861051368</v>
      </c>
      <c r="BH75" s="59">
        <f t="shared" si="62"/>
        <v>649.06239194384693</v>
      </c>
      <c r="BI75" s="59">
        <f ca="1">AVERAGE(OFFSET($BH$3,0,0,'Données projet'!$E$11+1,1))-AVERAGE(OFFSET($H$3,0,0,'Données projet'!$E$11+1,1))</f>
        <v>183.67580045784649</v>
      </c>
      <c r="BJ75" s="59">
        <f t="shared" si="92"/>
        <v>121.08269345608767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18.216192822123677</v>
      </c>
      <c r="BQ75" s="21">
        <f>EXP(-LN(2)/25)*BQ74+(1-EXP(-LN(2)/25))/(LN(2)/25)*Calculateur!BL75*Calculateur!BN75*VLOOKUP('Données projet'!$B$11,Paramètres!$A$1:$I$89,3,0)*0.475*44/12</f>
        <v>22.096661140659734</v>
      </c>
      <c r="BR75" s="21">
        <f>EXP(-LN(2)/2)*BR74+(1-EXP(-LN(2)/2))/(LN(2)/2)*BL75*BO75*VLOOKUP('Données projet'!$B$11,Paramètres!$A$1:$I$89,3,0)*0.475*44/12</f>
        <v>0.17385673465903304</v>
      </c>
      <c r="BS75" s="22">
        <f t="shared" si="63"/>
        <v>40.48671069744244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193.79999999999995</v>
      </c>
      <c r="BZ75" s="13">
        <f>BY75*VLOOKUP('Données projet'!$B$12,Paramètres!$A$1:$I$89,3,0)*VLOOKUP('Données projet'!$B$12,Paramètres!$A$1:$I$89,5,0)</f>
        <v>169.30367999999999</v>
      </c>
      <c r="CA75" s="13">
        <f t="shared" si="93"/>
        <v>42.934033834973214</v>
      </c>
      <c r="CB75" s="20">
        <f t="shared" si="64"/>
        <v>369.64735159591163</v>
      </c>
      <c r="CC75" s="59">
        <f t="shared" si="65"/>
        <v>662.98068492924494</v>
      </c>
      <c r="CD75" s="59">
        <f ca="1">AVERAGE(OFFSET($CC$3,0,0,'Données projet'!$E$12+1,1))-AVERAGE(OFFSET($H$3,0,0,'Données projet'!$E$12+1,1))</f>
        <v>216.10252108537389</v>
      </c>
      <c r="CE75" s="59">
        <f t="shared" si="94"/>
        <v>196.91968622092054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8.516421839954571</v>
      </c>
      <c r="CL75" s="21">
        <f>EXP(-LN(2)/25)*CL74+(1-EXP(-LN(2)/25))/(LN(2)/25)*Calculateur!CG75*Calculateur!CI75*VLOOKUP('Données projet'!$B$12,Paramètres!$A$1:$I$89,3,0)*0.475*44/12</f>
        <v>13.473871353615889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21.990293193570459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6.6995192307692264</v>
      </c>
      <c r="CT75" s="12">
        <f>IF('Données projet'!$A$140&gt;35,CT74+CS75-DB74,IF(A75&lt;'Données projet'!$A$140,$CQ$205^A75,IF(A75='Données projet'!$A$140,'Données projet'!$B$140,CT74+CS75-DB74)))</f>
        <v>209.11378205128219</v>
      </c>
      <c r="CU75" s="17">
        <f>CT75*VLOOKUP('Données projet'!$B$13,Paramètres!$A$1:$I$89,3,0)*VLOOKUP('Données projet'!$B$13,Paramètres!$A$1:$I$89,5,0)</f>
        <v>189.20615000000009</v>
      </c>
      <c r="CV75" s="13">
        <f t="shared" si="95"/>
        <v>47.364401142673302</v>
      </c>
      <c r="CW75" s="20">
        <f t="shared" si="67"/>
        <v>412.02704324015616</v>
      </c>
      <c r="CX75" s="59">
        <f t="shared" si="68"/>
        <v>705.36037657348948</v>
      </c>
      <c r="CY75" s="59">
        <f ca="1">AVERAGE(OFFSET($CX$3,0,0,'Données projet'!$E$13+1,1))-AVERAGE(OFFSET($H$3,0,0,'Données projet'!$E$13+1,1))</f>
        <v>318.01858325056168</v>
      </c>
      <c r="CZ75" s="59">
        <f t="shared" si="96"/>
        <v>119.46953274700951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34.164000000000016</v>
      </c>
      <c r="D76" s="11">
        <f t="shared" si="86"/>
        <v>10.437905961785614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344.29541444185406</v>
      </c>
      <c r="H76" s="67">
        <f t="shared" si="56"/>
        <v>371.01498621677661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200.15574321350221</v>
      </c>
      <c r="T76" s="59">
        <f t="shared" si="88"/>
        <v>200.70728852570426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100.27728864990218</v>
      </c>
      <c r="AA76" s="21">
        <f>EXP(-LN(2)/25)*AA75+(1-EXP(-LN(2)/25))/(LN(2)/25)*Calculateur!V76*Calculateur!X76*VLOOKUP('Données projet'!$B$9,Paramètres!$A$1:$I$89,3,0)*0.475*44/12</f>
        <v>25.20175093629058</v>
      </c>
      <c r="AB76" s="21">
        <f>EXP(-LN(2)/2)*AB75+(1-EXP(-LN(2)/2))/(LN(2)/2)*V76*Y76*VLOOKUP('Données projet'!$B$9,Paramètres!$A$1:$I$89,3,0)*0.475*44/12</f>
        <v>0.35314292052034046</v>
      </c>
      <c r="AC76" s="22">
        <f t="shared" si="57"/>
        <v>125.8321825067131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45.407317338461951</v>
      </c>
      <c r="AO76" s="59">
        <f t="shared" si="90"/>
        <v>149.88701606165358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12.559984921627629</v>
      </c>
      <c r="AV76" s="21">
        <f>EXP(-LN(2)/25)*AV75+(1-EXP(-LN(2)/25))/(LN(2)/25)*Calculateur!AQ76*Calculateur!AS76*VLOOKUP('Données projet'!$B$10,Paramètres!$A$1:$I$89,3,0)*0.475*44/12</f>
        <v>1.7616953585331119</v>
      </c>
      <c r="AW76" s="21">
        <f>EXP(-LN(2)/2)*AW75+(1-EXP(-LN(2)/2))/(LN(2)/2)*AQ76*AT76*VLOOKUP('Données projet'!$B$10,Paramètres!$A$1:$I$89,3,0)*0.475*44/12</f>
        <v>1.1523616754979464E-7</v>
      </c>
      <c r="AX76" s="21">
        <f t="shared" si="60"/>
        <v>14.321680395396909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>
        <f>VLOOKUP(A76,'Données projet'!$A$87:$I$107,2,0)</f>
        <v>358.13076923076926</v>
      </c>
      <c r="BB76" s="12">
        <f>VLOOKUP(A76,'Données projet'!$A$87:$I$107,9,0)</f>
        <v>10.314743589743591</v>
      </c>
      <c r="BC76" s="12">
        <f t="array" ref="BC76">INDEX(BB:BB,MIN(IF(ISNUMBER(BB76:BB272),ROW(BB76:BB272),"")))</f>
        <v>10.314743589743591</v>
      </c>
      <c r="BD76" s="12">
        <f>IF('Données projet'!$A$88&gt;35,BD75+BC76-BL75,IF(A76&lt;'Données projet'!$A$88,$BA$205^A76,IF(A76='Données projet'!$A$88,'Données projet'!$B$88,BD75+BC76-BL75)))</f>
        <v>358.13076923076966</v>
      </c>
      <c r="BE76" s="13">
        <f>BD76*VLOOKUP('Données projet'!$B$11,Paramètres!$A$1:$I$89,3,0)*VLOOKUP('Données projet'!$B$11,Paramètres!$A$1:$I$89,5,0)</f>
        <v>167.6052000000002</v>
      </c>
      <c r="BF76" s="13">
        <f t="shared" si="91"/>
        <v>42.553225987206773</v>
      </c>
      <c r="BG76" s="20">
        <f t="shared" si="61"/>
        <v>366.02592526105212</v>
      </c>
      <c r="BH76" s="59">
        <f t="shared" si="62"/>
        <v>659.35925859438544</v>
      </c>
      <c r="BI76" s="59">
        <f ca="1">AVERAGE(OFFSET($BH$3,0,0,'Données projet'!$E$11+1,1))-AVERAGE(OFFSET($H$3,0,0,'Données projet'!$E$11+1,1))</f>
        <v>183.67580045784649</v>
      </c>
      <c r="BJ76" s="59">
        <f t="shared" si="92"/>
        <v>121.08269345608767</v>
      </c>
      <c r="BK76" s="15">
        <f>IF(ISNA(VLOOKUP(A76,'Données projet'!$A$87:$I$107,3,0)),0,VLOOKUP(A76,'Données projet'!$A$87:$I$107,3,0))</f>
        <v>3</v>
      </c>
      <c r="BL76" s="15">
        <f>IF(ISNA(VLOOKUP(A76,'Données projet'!$A$87:$I$107,4,0)),0,VLOOKUP(A76,'Données projet'!$A$87:$I$107,4,0))</f>
        <v>93.584615384615375</v>
      </c>
      <c r="BM76" s="16">
        <f>IF(ISNA(VLOOKUP(A76,'Données projet'!$A$87:$I$107,5,0)),0%,VLOOKUP(A76,'Données projet'!$A$87:$I$107,5,0)*VLOOKUP('Données projet'!$B$11,Paramètres!$A$1:$I$89,7,0))</f>
        <v>0.38500000000000001</v>
      </c>
      <c r="BN76" s="16">
        <f>IF(ISNA(VLOOKUP(A76,'Données projet'!$A$87:$I$107,6,0)),0%,VLOOKUP(A76,'Données projet'!$A$87:$I$107,6,0)*VLOOKUP('Données projet'!$B$11,Paramètres!$A$1:$I$89,7,0))</f>
        <v>9.240000000000001E-2</v>
      </c>
      <c r="BO76" s="16">
        <f>IF(ISNA(VLOOKUP(A76,'Données projet'!$A$87:$I$107,7,0)),0%,VLOOKUP(A76,'Données projet'!$A$87:$I$107,7,0))</f>
        <v>0.13200000000000001</v>
      </c>
      <c r="BP76" s="21">
        <f>EXP(-LN(2)/35)*BP75+(1-EXP(-LN(2)/35))/(LN(2)/35)*BL76*BM76*VLOOKUP('Données projet'!$B$11,Paramètres!$A$1:$I$89,3,0)*0.475*44/12</f>
        <v>40.227615058182487</v>
      </c>
      <c r="BQ76" s="21">
        <f>EXP(-LN(2)/25)*BQ75+(1-EXP(-LN(2)/25))/(LN(2)/25)*Calculateur!BL76*Calculateur!BN76*VLOOKUP('Données projet'!$B$11,Paramètres!$A$1:$I$89,3,0)*0.475*44/12</f>
        <v>26.839760422428181</v>
      </c>
      <c r="BR76" s="21">
        <f>EXP(-LN(2)/2)*BR75+(1-EXP(-LN(2)/2))/(LN(2)/2)*BL76*BO76*VLOOKUP('Données projet'!$B$11,Paramètres!$A$1:$I$89,3,0)*0.475*44/12</f>
        <v>6.6686908362195103</v>
      </c>
      <c r="BS76" s="22">
        <f t="shared" si="63"/>
        <v>73.736066316830176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197.19999999999996</v>
      </c>
      <c r="BZ76" s="13">
        <f>BY76*VLOOKUP('Données projet'!$B$12,Paramètres!$A$1:$I$89,3,0)*VLOOKUP('Données projet'!$B$12,Paramètres!$A$1:$I$89,5,0)</f>
        <v>172.27391999999998</v>
      </c>
      <c r="CA76" s="13">
        <f t="shared" si="93"/>
        <v>43.598911513699605</v>
      </c>
      <c r="CB76" s="20">
        <f t="shared" si="64"/>
        <v>375.97851488636002</v>
      </c>
      <c r="CC76" s="59">
        <f t="shared" si="65"/>
        <v>669.31184821969327</v>
      </c>
      <c r="CD76" s="59">
        <f ca="1">AVERAGE(OFFSET($CC$3,0,0,'Données projet'!$E$12+1,1))-AVERAGE(OFFSET($H$3,0,0,'Données projet'!$E$12+1,1))</f>
        <v>216.10252108537389</v>
      </c>
      <c r="CE76" s="59">
        <f t="shared" si="94"/>
        <v>196.91968622092054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8.3494200021774692</v>
      </c>
      <c r="CL76" s="21">
        <f>EXP(-LN(2)/25)*CL75+(1-EXP(-LN(2)/25))/(LN(2)/25)*Calculateur!CG76*Calculateur!CI76*VLOOKUP('Données projet'!$B$12,Paramètres!$A$1:$I$89,3,0)*0.475*44/12</f>
        <v>13.105427632891164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21.454847635068631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6.6995192307692264</v>
      </c>
      <c r="CT76" s="12">
        <f>IF('Données projet'!$A$140&gt;35,CT75+CS76-DB75,IF(A76&lt;'Données projet'!$A$140,$CQ$205^A76,IF(A76='Données projet'!$A$140,'Données projet'!$B$140,CT75+CS76-DB75)))</f>
        <v>215.81330128205141</v>
      </c>
      <c r="CU76" s="17">
        <f>CT76*VLOOKUP('Données projet'!$B$13,Paramètres!$A$1:$I$89,3,0)*VLOOKUP('Données projet'!$B$13,Paramètres!$A$1:$I$89,5,0)</f>
        <v>195.26787500000012</v>
      </c>
      <c r="CV76" s="13">
        <f t="shared" si="95"/>
        <v>48.702745008025673</v>
      </c>
      <c r="CW76" s="20">
        <f t="shared" si="67"/>
        <v>424.91549651397821</v>
      </c>
      <c r="CX76" s="59">
        <f t="shared" si="68"/>
        <v>718.24882984731153</v>
      </c>
      <c r="CY76" s="59">
        <f ca="1">AVERAGE(OFFSET($CX$3,0,0,'Données projet'!$E$13+1,1))-AVERAGE(OFFSET($H$3,0,0,'Données projet'!$E$13+1,1))</f>
        <v>318.01858325056168</v>
      </c>
      <c r="CZ76" s="59">
        <f t="shared" si="96"/>
        <v>119.46953274700951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77" s="11">
        <f t="shared" si="86"/>
        <v>10.564147302110397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348.88254057769444</v>
      </c>
      <c r="H77" s="67">
        <f t="shared" si="56"/>
        <v>372.04995655117563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200.15574321350221</v>
      </c>
      <c r="T77" s="59">
        <f t="shared" si="88"/>
        <v>200.70728852570426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98.310912182584318</v>
      </c>
      <c r="AA77" s="21">
        <f>EXP(-LN(2)/25)*AA76+(1-EXP(-LN(2)/25))/(LN(2)/25)*Calculateur!V77*Calculateur!X77*VLOOKUP('Données projet'!$B$9,Paramètres!$A$1:$I$89,3,0)*0.475*44/12</f>
        <v>24.512607731635232</v>
      </c>
      <c r="AB77" s="21">
        <f>EXP(-LN(2)/2)*AB76+(1-EXP(-LN(2)/2))/(LN(2)/2)*V77*Y77*VLOOKUP('Données projet'!$B$9,Paramètres!$A$1:$I$89,3,0)*0.475*44/12</f>
        <v>0.24970975382795474</v>
      </c>
      <c r="AC77" s="22">
        <f t="shared" si="57"/>
        <v>123.0732296680475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45.407317338461951</v>
      </c>
      <c r="AO77" s="59">
        <f t="shared" si="90"/>
        <v>149.88701606165358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12.31369127814887</v>
      </c>
      <c r="AV77" s="21">
        <f>EXP(-LN(2)/25)*AV76+(1-EXP(-LN(2)/25))/(LN(2)/25)*Calculateur!AQ77*Calculateur!AS77*VLOOKUP('Données projet'!$B$10,Paramètres!$A$1:$I$89,3,0)*0.475*44/12</f>
        <v>1.7135217063104915</v>
      </c>
      <c r="AW77" s="21">
        <f>EXP(-LN(2)/2)*AW76+(1-EXP(-LN(2)/2))/(LN(2)/2)*AQ77*AT77*VLOOKUP('Données projet'!$B$10,Paramètres!$A$1:$I$89,3,0)*0.475*44/12</f>
        <v>8.1484275512408977E-8</v>
      </c>
      <c r="AX77" s="21">
        <f t="shared" si="60"/>
        <v>14.027213065943636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9.5237179487179446</v>
      </c>
      <c r="BD77" s="12">
        <f>IF('Données projet'!$A$88&gt;35,BD76+BC77-BL76,IF(A77&lt;'Données projet'!$A$88,$BA$205^A77,IF(A77='Données projet'!$A$88,'Données projet'!$B$88,BD76+BC77-BL76)))</f>
        <v>274.06987179487226</v>
      </c>
      <c r="BE77" s="13">
        <f>BD77*VLOOKUP('Données projet'!$B$11,Paramètres!$A$1:$I$89,3,0)*VLOOKUP('Données projet'!$B$11,Paramètres!$A$1:$I$89,5,0)</f>
        <v>128.26470000000023</v>
      </c>
      <c r="BF77" s="13">
        <f t="shared" si="91"/>
        <v>33.595069382484709</v>
      </c>
      <c r="BG77" s="20">
        <f t="shared" si="61"/>
        <v>281.90576500782794</v>
      </c>
      <c r="BH77" s="59">
        <f t="shared" si="62"/>
        <v>575.23909834116125</v>
      </c>
      <c r="BI77" s="59">
        <f ca="1">AVERAGE(OFFSET($BH$3,0,0,'Données projet'!$E$11+1,1))-AVERAGE(OFFSET($H$3,0,0,'Données projet'!$E$11+1,1))</f>
        <v>183.67580045784649</v>
      </c>
      <c r="BJ77" s="59">
        <f t="shared" si="92"/>
        <v>121.08269345608767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39.438776063313945</v>
      </c>
      <c r="BQ77" s="21">
        <f>EXP(-LN(2)/25)*BQ76+(1-EXP(-LN(2)/25))/(LN(2)/25)*Calculateur!BL77*Calculateur!BN77*VLOOKUP('Données projet'!$B$11,Paramètres!$A$1:$I$89,3,0)*0.475*44/12</f>
        <v>26.105825762235224</v>
      </c>
      <c r="BR77" s="21">
        <f>EXP(-LN(2)/2)*BR76+(1-EXP(-LN(2)/2))/(LN(2)/2)*BL77*BO77*VLOOKUP('Données projet'!$B$11,Paramètres!$A$1:$I$89,3,0)*0.475*44/12</f>
        <v>4.7154765119274042</v>
      </c>
      <c r="BS77" s="22">
        <f t="shared" si="63"/>
        <v>70.260078337476571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200.59999999999997</v>
      </c>
      <c r="BZ77" s="13">
        <f>BY77*VLOOKUP('Données projet'!$B$12,Paramètres!$A$1:$I$89,3,0)*VLOOKUP('Données projet'!$B$12,Paramètres!$A$1:$I$89,5,0)</f>
        <v>175.24415999999999</v>
      </c>
      <c r="CA77" s="13">
        <f t="shared" si="93"/>
        <v>44.262456119927037</v>
      </c>
      <c r="CB77" s="20">
        <f t="shared" si="64"/>
        <v>382.30735640887292</v>
      </c>
      <c r="CC77" s="59">
        <f t="shared" si="65"/>
        <v>675.64068974220618</v>
      </c>
      <c r="CD77" s="59">
        <f ca="1">AVERAGE(OFFSET($CC$3,0,0,'Données projet'!$E$12+1,1))-AVERAGE(OFFSET($H$3,0,0,'Données projet'!$E$12+1,1))</f>
        <v>216.10252108537389</v>
      </c>
      <c r="CE77" s="59">
        <f t="shared" si="94"/>
        <v>196.91968622092054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8.1856929685781132</v>
      </c>
      <c r="CL77" s="21">
        <f>EXP(-LN(2)/25)*CL76+(1-EXP(-LN(2)/25))/(LN(2)/25)*Calculateur!CG77*Calculateur!CI77*VLOOKUP('Données projet'!$B$12,Paramètres!$A$1:$I$89,3,0)*0.475*44/12</f>
        <v>12.747059025085269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20.932751993663381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222.5128205128205</v>
      </c>
      <c r="CR77" s="12">
        <f>VLOOKUP(A77,'Données projet'!$A$139:$I$159,9,0)</f>
        <v>6.6995192307692264</v>
      </c>
      <c r="CS77" s="12">
        <f t="array" ref="CS77">INDEX(CR:CR,MIN(IF(ISNUMBER(CR77:CR273),ROW(CR77:CR273),"")))</f>
        <v>6.6995192307692264</v>
      </c>
      <c r="CT77" s="12">
        <f>IF('Données projet'!$A$140&gt;35,CT76+CS77-DB76,IF(A77&lt;'Données projet'!$A$140,$CQ$205^A77,IF(A77='Données projet'!$A$140,'Données projet'!$B$140,CT76+CS77-DB76)))</f>
        <v>222.51282051282064</v>
      </c>
      <c r="CU77" s="17">
        <f>CT77*VLOOKUP('Données projet'!$B$13,Paramètres!$A$1:$I$89,3,0)*VLOOKUP('Données projet'!$B$13,Paramètres!$A$1:$I$89,5,0)</f>
        <v>201.32960000000011</v>
      </c>
      <c r="CV77" s="13">
        <f t="shared" si="95"/>
        <v>50.0362607827022</v>
      </c>
      <c r="CW77" s="20">
        <f t="shared" si="67"/>
        <v>437.79554086320655</v>
      </c>
      <c r="CX77" s="59">
        <f t="shared" si="68"/>
        <v>731.12887419653987</v>
      </c>
      <c r="CY77" s="59">
        <f ca="1">AVERAGE(OFFSET($CX$3,0,0,'Données projet'!$E$13+1,1))-AVERAGE(OFFSET($H$3,0,0,'Données projet'!$E$13+1,1))</f>
        <v>318.01858325056168</v>
      </c>
      <c r="CZ77" s="59">
        <f t="shared" si="96"/>
        <v>119.46953274700951</v>
      </c>
      <c r="DA77" s="15">
        <f>IF(ISNA(VLOOKUP(A77,'Données projet'!$A$139:$I$159,3,0)),0,VLOOKUP(A77,'Données projet'!$A$139:$I$159,3,0))</f>
        <v>5</v>
      </c>
      <c r="DB77" s="15">
        <f>IF(ISNA(VLOOKUP(A77,'Données projet'!$A$139:$I$159,4,0)),0,VLOOKUP(A77,'Données projet'!$A$139:$I$159,4,0))</f>
        <v>36.865384615384613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35.100000000000023</v>
      </c>
      <c r="D78" s="11">
        <f t="shared" si="86"/>
        <v>10.690190217926903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353.46813501557631</v>
      </c>
      <c r="H78" s="67">
        <f t="shared" si="56"/>
        <v>373.08458129622272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200.15574321350221</v>
      </c>
      <c r="T78" s="59">
        <f t="shared" si="88"/>
        <v>200.70728852570426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96.383095158419337</v>
      </c>
      <c r="AA78" s="21">
        <f>EXP(-LN(2)/25)*AA77+(1-EXP(-LN(2)/25))/(LN(2)/25)*Calculateur!V78*Calculateur!X78*VLOOKUP('Données projet'!$B$9,Paramètres!$A$1:$I$89,3,0)*0.475*44/12</f>
        <v>23.842309184151649</v>
      </c>
      <c r="AB78" s="21">
        <f>EXP(-LN(2)/2)*AB77+(1-EXP(-LN(2)/2))/(LN(2)/2)*V78*Y78*VLOOKUP('Données projet'!$B$9,Paramètres!$A$1:$I$89,3,0)*0.475*44/12</f>
        <v>0.17657146026017026</v>
      </c>
      <c r="AC78" s="22">
        <f t="shared" si="57"/>
        <v>120.40197580283115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45.407317338461951</v>
      </c>
      <c r="AO78" s="59">
        <f t="shared" si="90"/>
        <v>149.88701606165358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12.072227302794438</v>
      </c>
      <c r="AV78" s="21">
        <f>EXP(-LN(2)/25)*AV77+(1-EXP(-LN(2)/25))/(LN(2)/25)*Calculateur!AQ78*Calculateur!AS78*VLOOKUP('Données projet'!$B$10,Paramètres!$A$1:$I$89,3,0)*0.475*44/12</f>
        <v>1.6666653651412409</v>
      </c>
      <c r="AW78" s="21">
        <f>EXP(-LN(2)/2)*AW77+(1-EXP(-LN(2)/2))/(LN(2)/2)*AQ78*AT78*VLOOKUP('Données projet'!$B$10,Paramètres!$A$1:$I$89,3,0)*0.475*44/12</f>
        <v>5.7618083774897329E-8</v>
      </c>
      <c r="AX78" s="21">
        <f t="shared" si="60"/>
        <v>13.738892725553765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9.5237179487179446</v>
      </c>
      <c r="BD78" s="12">
        <f>IF('Données projet'!$A$88&gt;35,BD77+BC78-BL77,IF(A78&lt;'Données projet'!$A$88,$BA$205^A78,IF(A78='Données projet'!$A$88,'Données projet'!$B$88,BD77+BC78-BL77)))</f>
        <v>283.5935897435902</v>
      </c>
      <c r="BE78" s="13">
        <f>BD78*VLOOKUP('Données projet'!$B$11,Paramètres!$A$1:$I$89,3,0)*VLOOKUP('Données projet'!$B$11,Paramètres!$A$1:$I$89,5,0)</f>
        <v>132.7218000000002</v>
      </c>
      <c r="BF78" s="13">
        <f t="shared" si="91"/>
        <v>34.624526937018011</v>
      </c>
      <c r="BG78" s="20">
        <f t="shared" si="61"/>
        <v>291.46151941530667</v>
      </c>
      <c r="BH78" s="59">
        <f t="shared" si="62"/>
        <v>584.79485274863998</v>
      </c>
      <c r="BI78" s="59">
        <f ca="1">AVERAGE(OFFSET($BH$3,0,0,'Données projet'!$E$11+1,1))-AVERAGE(OFFSET($H$3,0,0,'Données projet'!$E$11+1,1))</f>
        <v>183.67580045784649</v>
      </c>
      <c r="BJ78" s="59">
        <f t="shared" si="92"/>
        <v>121.08269345608767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38.665405719990495</v>
      </c>
      <c r="BQ78" s="21">
        <f>EXP(-LN(2)/25)*BQ77+(1-EXP(-LN(2)/25))/(LN(2)/25)*Calculateur!BL78*Calculateur!BN78*VLOOKUP('Données projet'!$B$11,Paramètres!$A$1:$I$89,3,0)*0.475*44/12</f>
        <v>25.39196058392119</v>
      </c>
      <c r="BR78" s="21">
        <f>EXP(-LN(2)/2)*BR77+(1-EXP(-LN(2)/2))/(LN(2)/2)*BL78*BO78*VLOOKUP('Données projet'!$B$11,Paramètres!$A$1:$I$89,3,0)*0.475*44/12</f>
        <v>3.3343454181097556</v>
      </c>
      <c r="BS78" s="22">
        <f t="shared" si="63"/>
        <v>67.391711722021455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204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203.99999999999997</v>
      </c>
      <c r="BZ78" s="13">
        <f>BY78*VLOOKUP('Données projet'!$B$12,Paramètres!$A$1:$I$89,3,0)*VLOOKUP('Données projet'!$B$12,Paramètres!$A$1:$I$89,5,0)</f>
        <v>178.21440000000001</v>
      </c>
      <c r="CA78" s="13">
        <f t="shared" si="93"/>
        <v>44.924692855664368</v>
      </c>
      <c r="CB78" s="20">
        <f t="shared" si="64"/>
        <v>388.63392005694874</v>
      </c>
      <c r="CC78" s="59">
        <f t="shared" si="65"/>
        <v>681.96725339028205</v>
      </c>
      <c r="CD78" s="59">
        <f ca="1">AVERAGE(OFFSET($CC$3,0,0,'Données projet'!$E$12+1,1))-AVERAGE(OFFSET($H$3,0,0,'Données projet'!$E$12+1,1))</f>
        <v>216.10252108537389</v>
      </c>
      <c r="CE78" s="59">
        <f t="shared" si="94"/>
        <v>196.91968622092054</v>
      </c>
      <c r="CF78" s="15">
        <f>IF(ISNA(VLOOKUP(A78,'Données projet'!$A$113:$I$133,3,0)),0,VLOOKUP(A78,'Données projet'!$A$113:$I$133,3,0))</f>
        <v>12</v>
      </c>
      <c r="CG78" s="15" t="str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0.17200000000000001</v>
      </c>
      <c r="CI78" s="16">
        <f>IF(ISNA(VLOOKUP(A78,'Données projet'!$A$113:$I$133,6,0)),0%,VLOOKUP(A78,'Données projet'!$A$113:$I$133,6,0)*VLOOKUP('Données projet'!$B$12,Paramètres!$A$1:$I$89,7,0))</f>
        <v>0.17200000000000001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10.018461660471822</v>
      </c>
      <c r="CL78" s="21">
        <f>EXP(-LN(2)/25)*CL77+(1-EXP(-LN(2)/25))/(LN(2)/25)*Calculateur!CG78*Calculateur!CI78*VLOOKUP('Données projet'!$B$12,Paramètres!$A$1:$I$89,3,0)*0.475*44/12</f>
        <v>14.383926840843039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24.40238850131486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6.5339743589743566</v>
      </c>
      <c r="CT78" s="12">
        <f>IF('Données projet'!$A$140&gt;35,CT77+CS78-DB77,IF(A78&lt;'Données projet'!$A$140,$CQ$205^A78,IF(A78='Données projet'!$A$140,'Données projet'!$B$140,CT77+CS78-DB77)))</f>
        <v>192.18141025641037</v>
      </c>
      <c r="CU78" s="17">
        <f>CT78*VLOOKUP('Données projet'!$B$13,Paramètres!$A$1:$I$89,3,0)*VLOOKUP('Données projet'!$B$13,Paramètres!$A$1:$I$89,5,0)</f>
        <v>173.88574000000008</v>
      </c>
      <c r="CV78" s="13">
        <f t="shared" si="95"/>
        <v>43.959152089733649</v>
      </c>
      <c r="CW78" s="20">
        <f t="shared" si="67"/>
        <v>379.41318705628618</v>
      </c>
      <c r="CX78" s="59">
        <f t="shared" si="68"/>
        <v>672.74652038961949</v>
      </c>
      <c r="CY78" s="59">
        <f ca="1">AVERAGE(OFFSET($CX$3,0,0,'Données projet'!$E$13+1,1))-AVERAGE(OFFSET($H$3,0,0,'Données projet'!$E$13+1,1))</f>
        <v>318.01858325056168</v>
      </c>
      <c r="CZ78" s="59">
        <f t="shared" si="96"/>
        <v>119.46953274700951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35.568000000000026</v>
      </c>
      <c r="D79" s="11">
        <f t="shared" si="86"/>
        <v>10.816037660735214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358.05222053900889</v>
      </c>
      <c r="H79" s="67">
        <f t="shared" si="56"/>
        <v>374.11886559244721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200.15574321350221</v>
      </c>
      <c r="T79" s="59">
        <f t="shared" si="88"/>
        <v>200.70728852570426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94.493081450245953</v>
      </c>
      <c r="AA79" s="21">
        <f>EXP(-LN(2)/25)*AA78+(1-EXP(-LN(2)/25))/(LN(2)/25)*Calculateur!V79*Calculateur!X79*VLOOKUP('Données projet'!$B$9,Paramètres!$A$1:$I$89,3,0)*0.475*44/12</f>
        <v>23.190339985698476</v>
      </c>
      <c r="AB79" s="21">
        <f>EXP(-LN(2)/2)*AB78+(1-EXP(-LN(2)/2))/(LN(2)/2)*V79*Y79*VLOOKUP('Données projet'!$B$9,Paramètres!$A$1:$I$89,3,0)*0.475*44/12</f>
        <v>0.1248548769139774</v>
      </c>
      <c r="AC79" s="22">
        <f t="shared" si="57"/>
        <v>117.8082763128584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45.407317338461951</v>
      </c>
      <c r="AO79" s="59">
        <f t="shared" si="90"/>
        <v>149.88701606165358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11.835498288718226</v>
      </c>
      <c r="AV79" s="21">
        <f>EXP(-LN(2)/25)*AV78+(1-EXP(-LN(2)/25))/(LN(2)/25)*Calculateur!AQ79*Calculateur!AS79*VLOOKUP('Données projet'!$B$10,Paramètres!$A$1:$I$89,3,0)*0.475*44/12</f>
        <v>1.6210903130853314</v>
      </c>
      <c r="AW79" s="21">
        <f>EXP(-LN(2)/2)*AW78+(1-EXP(-LN(2)/2))/(LN(2)/2)*AQ79*AT79*VLOOKUP('Données projet'!$B$10,Paramètres!$A$1:$I$89,3,0)*0.475*44/12</f>
        <v>4.0742137756204495E-8</v>
      </c>
      <c r="AX79" s="21">
        <f t="shared" si="60"/>
        <v>13.456588642545695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9.5237179487179446</v>
      </c>
      <c r="BD79" s="12">
        <f>IF('Données projet'!$A$88&gt;35,BD78+BC79-BL78,IF(A79&lt;'Données projet'!$A$88,$BA$205^A79,IF(A79='Données projet'!$A$88,'Données projet'!$B$88,BD78+BC79-BL78)))</f>
        <v>293.11730769230815</v>
      </c>
      <c r="BE79" s="13">
        <f>BD79*VLOOKUP('Données projet'!$B$11,Paramètres!$A$1:$I$89,3,0)*VLOOKUP('Données projet'!$B$11,Paramètres!$A$1:$I$89,5,0)</f>
        <v>137.17890000000023</v>
      </c>
      <c r="BF79" s="13">
        <f t="shared" si="91"/>
        <v>35.649967423044139</v>
      </c>
      <c r="BG79" s="20">
        <f t="shared" si="61"/>
        <v>301.0102774284689</v>
      </c>
      <c r="BH79" s="59">
        <f t="shared" si="62"/>
        <v>594.34361076180221</v>
      </c>
      <c r="BI79" s="59">
        <f ca="1">AVERAGE(OFFSET($BH$3,0,0,'Données projet'!$E$11+1,1))-AVERAGE(OFFSET($H$3,0,0,'Données projet'!$E$11+1,1))</f>
        <v>183.67580045784649</v>
      </c>
      <c r="BJ79" s="59">
        <f t="shared" si="92"/>
        <v>121.08269345608767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37.907200697390287</v>
      </c>
      <c r="BQ79" s="21">
        <f>EXP(-LN(2)/25)*BQ78+(1-EXP(-LN(2)/25))/(LN(2)/25)*Calculateur!BL79*Calculateur!BN79*VLOOKUP('Données projet'!$B$11,Paramètres!$A$1:$I$89,3,0)*0.475*44/12</f>
        <v>24.697616086448694</v>
      </c>
      <c r="BR79" s="21">
        <f>EXP(-LN(2)/2)*BR78+(1-EXP(-LN(2)/2))/(LN(2)/2)*BL79*BO79*VLOOKUP('Données projet'!$B$11,Paramètres!$A$1:$I$89,3,0)*0.475*44/12</f>
        <v>2.3577382559637026</v>
      </c>
      <c r="BS79" s="22">
        <f t="shared" si="63"/>
        <v>64.96255503980268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3.2</v>
      </c>
      <c r="BY79" s="12">
        <f>IF('Données projet'!$A$114&gt;35,BY78+BX79-CG78,IF(A79&lt;'Données projet'!$A$114,$BV$205^A79,IF(A79='Données projet'!$A$114,'Données projet'!$B$114,BY78+BX79-CG78)))</f>
        <v>195.19999999999996</v>
      </c>
      <c r="BZ79" s="13">
        <f>BY79*VLOOKUP('Données projet'!$B$12,Paramètres!$A$1:$I$89,3,0)*VLOOKUP('Données projet'!$B$12,Paramètres!$A$1:$I$89,5,0)</f>
        <v>170.52671999999998</v>
      </c>
      <c r="CA79" s="13">
        <f t="shared" si="93"/>
        <v>43.207970095682747</v>
      </c>
      <c r="CB79" s="20">
        <f t="shared" si="64"/>
        <v>372.25458524998072</v>
      </c>
      <c r="CC79" s="59">
        <f t="shared" si="65"/>
        <v>665.58791858331404</v>
      </c>
      <c r="CD79" s="59">
        <f ca="1">AVERAGE(OFFSET($CC$3,0,0,'Données projet'!$E$12+1,1))-AVERAGE(OFFSET($H$3,0,0,'Données projet'!$E$12+1,1))</f>
        <v>216.10252108537389</v>
      </c>
      <c r="CE79" s="59">
        <f t="shared" si="94"/>
        <v>196.91968622092054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9.8220057379682046</v>
      </c>
      <c r="CL79" s="21">
        <f>EXP(-LN(2)/25)*CL78+(1-EXP(-LN(2)/25))/(LN(2)/25)*Calculateur!CG79*Calculateur!CI79*VLOOKUP('Données projet'!$B$12,Paramètres!$A$1:$I$89,3,0)*0.475*44/12</f>
        <v>13.990597604962348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23.812603342930551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6.5339743589743566</v>
      </c>
      <c r="CT79" s="12">
        <f>IF('Données projet'!$A$140&gt;35,CT78+CS79-DB78,IF(A79&lt;'Données projet'!$A$140,$CQ$205^A79,IF(A79='Données projet'!$A$140,'Données projet'!$B$140,CT78+CS79-DB78)))</f>
        <v>198.71538461538472</v>
      </c>
      <c r="CU79" s="17">
        <f>CT79*VLOOKUP('Données projet'!$B$13,Paramètres!$A$1:$I$89,3,0)*VLOOKUP('Données projet'!$B$13,Paramètres!$A$1:$I$89,5,0)</f>
        <v>179.7976800000001</v>
      </c>
      <c r="CV79" s="13">
        <f t="shared" si="95"/>
        <v>45.277170748284568</v>
      </c>
      <c r="CW79" s="20">
        <f t="shared" si="67"/>
        <v>392.00536505326244</v>
      </c>
      <c r="CX79" s="59">
        <f t="shared" si="68"/>
        <v>685.33869838659575</v>
      </c>
      <c r="CY79" s="59">
        <f ca="1">AVERAGE(OFFSET($CX$3,0,0,'Données projet'!$E$13+1,1))-AVERAGE(OFFSET($H$3,0,0,'Données projet'!$E$13+1,1))</f>
        <v>318.01858325056168</v>
      </c>
      <c r="CZ79" s="59">
        <f t="shared" si="96"/>
        <v>119.46953274700951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36.03600000000003</v>
      </c>
      <c r="D80" s="11">
        <f t="shared" si="86"/>
        <v>10.941692499899752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362.63481929747201</v>
      </c>
      <c r="H80" s="67">
        <f t="shared" si="56"/>
        <v>375.15281443732545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200.15574321350221</v>
      </c>
      <c r="T80" s="59">
        <f t="shared" si="88"/>
        <v>200.70728852570426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92.640129758095327</v>
      </c>
      <c r="AA80" s="21">
        <f>EXP(-LN(2)/25)*AA79+(1-EXP(-LN(2)/25))/(LN(2)/25)*Calculateur!V80*Calculateur!X80*VLOOKUP('Données projet'!$B$9,Paramètres!$A$1:$I$89,3,0)*0.475*44/12</f>
        <v>22.556198919262574</v>
      </c>
      <c r="AB80" s="21">
        <f>EXP(-LN(2)/2)*AB79+(1-EXP(-LN(2)/2))/(LN(2)/2)*V80*Y80*VLOOKUP('Données projet'!$B$9,Paramètres!$A$1:$I$89,3,0)*0.475*44/12</f>
        <v>8.8285730130085144E-2</v>
      </c>
      <c r="AC80" s="22">
        <f t="shared" si="57"/>
        <v>115.28461440748798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45.407317338461951</v>
      </c>
      <c r="AO80" s="59">
        <f t="shared" si="90"/>
        <v>149.88701606165358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11.603411386217607</v>
      </c>
      <c r="AV80" s="21">
        <f>EXP(-LN(2)/25)*AV79+(1-EXP(-LN(2)/25))/(LN(2)/25)*Calculateur!AQ80*Calculateur!AS80*VLOOKUP('Données projet'!$B$10,Paramètres!$A$1:$I$89,3,0)*0.475*44/12</f>
        <v>1.5767615132245785</v>
      </c>
      <c r="AW80" s="21">
        <f>EXP(-LN(2)/2)*AW79+(1-EXP(-LN(2)/2))/(LN(2)/2)*AQ80*AT80*VLOOKUP('Données projet'!$B$10,Paramètres!$A$1:$I$89,3,0)*0.475*44/12</f>
        <v>2.8809041887448671E-8</v>
      </c>
      <c r="AX80" s="21">
        <f t="shared" si="60"/>
        <v>13.180172928251228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9.5237179487179446</v>
      </c>
      <c r="BD80" s="12">
        <f>IF('Données projet'!$A$88&gt;35,BD79+BC80-BL79,IF(A80&lt;'Données projet'!$A$88,$BA$205^A80,IF(A80='Données projet'!$A$88,'Données projet'!$B$88,BD79+BC80-BL79)))</f>
        <v>302.64102564102609</v>
      </c>
      <c r="BE80" s="13">
        <f>BD80*VLOOKUP('Données projet'!$B$11,Paramètres!$A$1:$I$89,3,0)*VLOOKUP('Données projet'!$B$11,Paramètres!$A$1:$I$89,5,0)</f>
        <v>141.63600000000019</v>
      </c>
      <c r="BF80" s="13">
        <f t="shared" si="91"/>
        <v>36.671536328944448</v>
      </c>
      <c r="BG80" s="20">
        <f t="shared" si="61"/>
        <v>310.55229243957859</v>
      </c>
      <c r="BH80" s="59">
        <f t="shared" si="62"/>
        <v>603.88562577291191</v>
      </c>
      <c r="BI80" s="59">
        <f ca="1">AVERAGE(OFFSET($BH$3,0,0,'Données projet'!$E$11+1,1))-AVERAGE(OFFSET($H$3,0,0,'Données projet'!$E$11+1,1))</f>
        <v>183.67580045784649</v>
      </c>
      <c r="BJ80" s="59">
        <f t="shared" si="92"/>
        <v>121.08269345608767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37.163863612823867</v>
      </c>
      <c r="BQ80" s="21">
        <f>EXP(-LN(2)/25)*BQ79+(1-EXP(-LN(2)/25))/(LN(2)/25)*Calculateur!BL80*Calculateur!BN80*VLOOKUP('Données projet'!$B$11,Paramètres!$A$1:$I$89,3,0)*0.475*44/12</f>
        <v>24.022258475773572</v>
      </c>
      <c r="BR80" s="21">
        <f>EXP(-LN(2)/2)*BR79+(1-EXP(-LN(2)/2))/(LN(2)/2)*BL80*BO80*VLOOKUP('Données projet'!$B$11,Paramètres!$A$1:$I$89,3,0)*0.475*44/12</f>
        <v>1.667172709054878</v>
      </c>
      <c r="BS80" s="22">
        <f t="shared" si="63"/>
        <v>62.853294797652325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3.2</v>
      </c>
      <c r="BY80" s="12">
        <f>IF('Données projet'!$A$114&gt;35,BY79+BX80-CG79,IF(A80&lt;'Données projet'!$A$114,$BV$205^A80,IF(A80='Données projet'!$A$114,'Données projet'!$B$114,BY79+BX80-CG79)))</f>
        <v>198.39999999999995</v>
      </c>
      <c r="BZ80" s="13">
        <f>BY80*VLOOKUP('Données projet'!$B$12,Paramètres!$A$1:$I$89,3,0)*VLOOKUP('Données projet'!$B$12,Paramètres!$A$1:$I$89,5,0)</f>
        <v>173.32223999999999</v>
      </c>
      <c r="CA80" s="13">
        <f t="shared" si="93"/>
        <v>43.833254629845122</v>
      </c>
      <c r="CB80" s="20">
        <f t="shared" si="64"/>
        <v>378.2124864803136</v>
      </c>
      <c r="CC80" s="59">
        <f t="shared" si="65"/>
        <v>671.54581981364686</v>
      </c>
      <c r="CD80" s="59">
        <f ca="1">AVERAGE(OFFSET($CC$3,0,0,'Données projet'!$E$12+1,1))-AVERAGE(OFFSET($H$3,0,0,'Données projet'!$E$12+1,1))</f>
        <v>216.10252108537389</v>
      </c>
      <c r="CE80" s="59">
        <f t="shared" si="94"/>
        <v>196.91968622092054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9.6294021962786029</v>
      </c>
      <c r="CL80" s="21">
        <f>EXP(-LN(2)/25)*CL79+(1-EXP(-LN(2)/25))/(LN(2)/25)*Calculateur!CG80*Calculateur!CI80*VLOOKUP('Données projet'!$B$12,Paramètres!$A$1:$I$89,3,0)*0.475*44/12</f>
        <v>13.6080239777211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23.237426173999701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6.5339743589743566</v>
      </c>
      <c r="CT80" s="12">
        <f>IF('Données projet'!$A$140&gt;35,CT79+CS80-DB79,IF(A80&lt;'Données projet'!$A$140,$CQ$205^A80,IF(A80='Données projet'!$A$140,'Données projet'!$B$140,CT79+CS80-DB79)))</f>
        <v>205.24935897435907</v>
      </c>
      <c r="CU80" s="17">
        <f>CT80*VLOOKUP('Données projet'!$B$13,Paramètres!$A$1:$I$89,3,0)*VLOOKUP('Données projet'!$B$13,Paramètres!$A$1:$I$89,5,0)</f>
        <v>185.70962000000009</v>
      </c>
      <c r="CV80" s="13">
        <f t="shared" si="95"/>
        <v>46.590153562220287</v>
      </c>
      <c r="CW80" s="20">
        <f t="shared" si="67"/>
        <v>404.5887722875338</v>
      </c>
      <c r="CX80" s="59">
        <f t="shared" si="68"/>
        <v>697.92210562086711</v>
      </c>
      <c r="CY80" s="59">
        <f ca="1">AVERAGE(OFFSET($CX$3,0,0,'Données projet'!$E$13+1,1))-AVERAGE(OFFSET($H$3,0,0,'Données projet'!$E$13+1,1))</f>
        <v>318.01858325056168</v>
      </c>
      <c r="CZ80" s="59">
        <f t="shared" si="96"/>
        <v>119.46953274700951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36.504000000000033</v>
      </c>
      <c r="D81" s="11">
        <f t="shared" si="86"/>
        <v>11.067157525971385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367.21595283206005</v>
      </c>
      <c r="H81" s="67">
        <f t="shared" si="56"/>
        <v>376.18643269106684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200.15574321350221</v>
      </c>
      <c r="T81" s="59">
        <f t="shared" si="88"/>
        <v>200.70728852570426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90.823513318438827</v>
      </c>
      <c r="AA81" s="21">
        <f>EXP(-LN(2)/25)*AA80+(1-EXP(-LN(2)/25))/(LN(2)/25)*Calculateur!V81*Calculateur!X81*VLOOKUP('Données projet'!$B$9,Paramètres!$A$1:$I$89,3,0)*0.475*44/12</f>
        <v>21.939398473636391</v>
      </c>
      <c r="AB81" s="21">
        <f>EXP(-LN(2)/2)*AB80+(1-EXP(-LN(2)/2))/(LN(2)/2)*V81*Y81*VLOOKUP('Données projet'!$B$9,Paramètres!$A$1:$I$89,3,0)*0.475*44/12</f>
        <v>6.2427438456988706E-2</v>
      </c>
      <c r="AC81" s="22">
        <f t="shared" si="57"/>
        <v>112.82533923053221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45.407317338461951</v>
      </c>
      <c r="AO81" s="59">
        <f t="shared" si="90"/>
        <v>149.88701606165358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11.375875566315992</v>
      </c>
      <c r="AV81" s="21">
        <f>EXP(-LN(2)/25)*AV80+(1-EXP(-LN(2)/25))/(LN(2)/25)*Calculateur!AQ81*Calculateur!AS81*VLOOKUP('Données projet'!$B$10,Paramètres!$A$1:$I$89,3,0)*0.475*44/12</f>
        <v>1.5336448867271681</v>
      </c>
      <c r="AW81" s="21">
        <f>EXP(-LN(2)/2)*AW80+(1-EXP(-LN(2)/2))/(LN(2)/2)*AQ81*AT81*VLOOKUP('Données projet'!$B$10,Paramètres!$A$1:$I$89,3,0)*0.475*44/12</f>
        <v>2.0371068878102251E-8</v>
      </c>
      <c r="AX81" s="21">
        <f t="shared" si="60"/>
        <v>12.909520473414229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9.5237179487179446</v>
      </c>
      <c r="BD81" s="12">
        <f>IF('Données projet'!$A$88&gt;35,BD80+BC81-BL80,IF(A81&lt;'Données projet'!$A$88,$BA$205^A81,IF(A81='Données projet'!$A$88,'Données projet'!$B$88,BD80+BC81-BL80)))</f>
        <v>312.16474358974403</v>
      </c>
      <c r="BE81" s="13">
        <f>BD81*VLOOKUP('Données projet'!$B$11,Paramètres!$A$1:$I$89,3,0)*VLOOKUP('Données projet'!$B$11,Paramètres!$A$1:$I$89,5,0)</f>
        <v>146.09310000000022</v>
      </c>
      <c r="BF81" s="13">
        <f t="shared" si="91"/>
        <v>37.689369466401502</v>
      </c>
      <c r="BG81" s="20">
        <f t="shared" si="61"/>
        <v>320.08780098731637</v>
      </c>
      <c r="BH81" s="59">
        <f t="shared" si="62"/>
        <v>613.42113432064968</v>
      </c>
      <c r="BI81" s="59">
        <f ca="1">AVERAGE(OFFSET($BH$3,0,0,'Données projet'!$E$11+1,1))-AVERAGE(OFFSET($H$3,0,0,'Données projet'!$E$11+1,1))</f>
        <v>183.67580045784649</v>
      </c>
      <c r="BJ81" s="59">
        <f t="shared" si="92"/>
        <v>121.08269345608767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36.435102915094944</v>
      </c>
      <c r="BQ81" s="21">
        <f>EXP(-LN(2)/25)*BQ80+(1-EXP(-LN(2)/25))/(LN(2)/25)*Calculateur!BL81*Calculateur!BN81*VLOOKUP('Données projet'!$B$11,Paramètres!$A$1:$I$89,3,0)*0.475*44/12</f>
        <v>23.365368554477875</v>
      </c>
      <c r="BR81" s="21">
        <f>EXP(-LN(2)/2)*BR80+(1-EXP(-LN(2)/2))/(LN(2)/2)*BL81*BO81*VLOOKUP('Données projet'!$B$11,Paramètres!$A$1:$I$89,3,0)*0.475*44/12</f>
        <v>1.1788691279818513</v>
      </c>
      <c r="BS81" s="22">
        <f t="shared" si="63"/>
        <v>60.979340597554668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3.2</v>
      </c>
      <c r="BY81" s="12">
        <f>IF('Données projet'!$A$114&gt;35,BY80+BX81-CG80,IF(A81&lt;'Données projet'!$A$114,$BV$205^A81,IF(A81='Données projet'!$A$114,'Données projet'!$B$114,BY80+BX81-CG80)))</f>
        <v>201.59999999999994</v>
      </c>
      <c r="BZ81" s="13">
        <f>BY81*VLOOKUP('Données projet'!$B$12,Paramètres!$A$1:$I$89,3,0)*VLOOKUP('Données projet'!$B$12,Paramètres!$A$1:$I$89,5,0)</f>
        <v>176.11775999999998</v>
      </c>
      <c r="CA81" s="13">
        <f t="shared" si="93"/>
        <v>44.457366290237204</v>
      </c>
      <c r="CB81" s="20">
        <f t="shared" si="64"/>
        <v>384.16834495549637</v>
      </c>
      <c r="CC81" s="59">
        <f t="shared" si="65"/>
        <v>677.50167828882968</v>
      </c>
      <c r="CD81" s="59">
        <f ca="1">AVERAGE(OFFSET($CC$3,0,0,'Données projet'!$E$12+1,1))-AVERAGE(OFFSET($H$3,0,0,'Données projet'!$E$12+1,1))</f>
        <v>216.10252108537389</v>
      </c>
      <c r="CE81" s="59">
        <f t="shared" si="94"/>
        <v>196.91968622092054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9.4405754925649727</v>
      </c>
      <c r="CL81" s="21">
        <f>EXP(-LN(2)/25)*CL80+(1-EXP(-LN(2)/25))/(LN(2)/25)*Calculateur!CG81*Calculateur!CI81*VLOOKUP('Données projet'!$B$12,Paramètres!$A$1:$I$89,3,0)*0.475*44/12</f>
        <v>13.235911846435437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22.67648733900041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6.5339743589743566</v>
      </c>
      <c r="CT81" s="12">
        <f>IF('Données projet'!$A$140&gt;35,CT80+CS81-DB80,IF(A81&lt;'Données projet'!$A$140,$CQ$205^A81,IF(A81='Données projet'!$A$140,'Données projet'!$B$140,CT80+CS81-DB80)))</f>
        <v>211.78333333333342</v>
      </c>
      <c r="CU81" s="17">
        <f>CT81*VLOOKUP('Données projet'!$B$13,Paramètres!$A$1:$I$89,3,0)*VLOOKUP('Données projet'!$B$13,Paramètres!$A$1:$I$89,5,0)</f>
        <v>191.62156000000007</v>
      </c>
      <c r="CV81" s="13">
        <f t="shared" si="95"/>
        <v>47.898279234721343</v>
      </c>
      <c r="CW81" s="20">
        <f t="shared" si="67"/>
        <v>417.16372000047312</v>
      </c>
      <c r="CX81" s="59">
        <f t="shared" si="68"/>
        <v>710.49705333380643</v>
      </c>
      <c r="CY81" s="59">
        <f ca="1">AVERAGE(OFFSET($CX$3,0,0,'Données projet'!$E$13+1,1))-AVERAGE(OFFSET($H$3,0,0,'Données projet'!$E$13+1,1))</f>
        <v>318.01858325056168</v>
      </c>
      <c r="CZ81" s="59">
        <f t="shared" si="96"/>
        <v>119.46953274700951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36.972000000000037</v>
      </c>
      <c r="D82" s="11">
        <f t="shared" si="86"/>
        <v>11.192435453834337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371.79564209977411</v>
      </c>
      <c r="H82" s="67">
        <f t="shared" si="56"/>
        <v>377.21972508209484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200.15574321350221</v>
      </c>
      <c r="T82" s="59">
        <f t="shared" si="88"/>
        <v>200.70728852570426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89.04251961913738</v>
      </c>
      <c r="AA82" s="21">
        <f>EXP(-LN(2)/25)*AA81+(1-EXP(-LN(2)/25))/(LN(2)/25)*Calculateur!V82*Calculateur!X82*VLOOKUP('Données projet'!$B$9,Paramètres!$A$1:$I$89,3,0)*0.475*44/12</f>
        <v>21.339464468631981</v>
      </c>
      <c r="AB82" s="21">
        <f>EXP(-LN(2)/2)*AB81+(1-EXP(-LN(2)/2))/(LN(2)/2)*V82*Y82*VLOOKUP('Données projet'!$B$9,Paramètres!$A$1:$I$89,3,0)*0.475*44/12</f>
        <v>4.4142865065042579E-2</v>
      </c>
      <c r="AC82" s="22">
        <f t="shared" si="57"/>
        <v>110.42612695283439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45.407317338461951</v>
      </c>
      <c r="AO82" s="59">
        <f t="shared" si="90"/>
        <v>149.88701606165358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11.152801585059501</v>
      </c>
      <c r="AV82" s="21">
        <f>EXP(-LN(2)/25)*AV81+(1-EXP(-LN(2)/25))/(LN(2)/25)*Calculateur!AQ82*Calculateur!AS82*VLOOKUP('Données projet'!$B$10,Paramètres!$A$1:$I$89,3,0)*0.475*44/12</f>
        <v>1.4917072866487344</v>
      </c>
      <c r="AW82" s="21">
        <f>EXP(-LN(2)/2)*AW81+(1-EXP(-LN(2)/2))/(LN(2)/2)*AQ82*AT82*VLOOKUP('Données projet'!$B$10,Paramètres!$A$1:$I$89,3,0)*0.475*44/12</f>
        <v>1.4404520943724337E-8</v>
      </c>
      <c r="AX82" s="21">
        <f t="shared" si="60"/>
        <v>12.644508886112757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9.5237179487179446</v>
      </c>
      <c r="BD82" s="12">
        <f>IF('Données projet'!$A$88&gt;35,BD81+BC82-BL81,IF(A82&lt;'Données projet'!$A$88,$BA$205^A82,IF(A82='Données projet'!$A$88,'Données projet'!$B$88,BD81+BC82-BL81)))</f>
        <v>321.68846153846198</v>
      </c>
      <c r="BE82" s="13">
        <f>BD82*VLOOKUP('Données projet'!$B$11,Paramètres!$A$1:$I$89,3,0)*VLOOKUP('Données projet'!$B$11,Paramètres!$A$1:$I$89,5,0)</f>
        <v>150.55020000000022</v>
      </c>
      <c r="BF82" s="13">
        <f t="shared" si="91"/>
        <v>38.703593889379846</v>
      </c>
      <c r="BG82" s="20">
        <f t="shared" si="61"/>
        <v>329.6170243573369</v>
      </c>
      <c r="BH82" s="59">
        <f t="shared" si="62"/>
        <v>622.95035769067022</v>
      </c>
      <c r="BI82" s="59">
        <f ca="1">AVERAGE(OFFSET($BH$3,0,0,'Données projet'!$E$11+1,1))-AVERAGE(OFFSET($H$3,0,0,'Données projet'!$E$11+1,1))</f>
        <v>183.67580045784649</v>
      </c>
      <c r="BJ82" s="59">
        <f t="shared" si="92"/>
        <v>121.08269345608767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35.720632770148349</v>
      </c>
      <c r="BQ82" s="21">
        <f>EXP(-LN(2)/25)*BQ81+(1-EXP(-LN(2)/25))/(LN(2)/25)*Calculateur!BL82*Calculateur!BN82*VLOOKUP('Données projet'!$B$11,Paramètres!$A$1:$I$89,3,0)*0.475*44/12</f>
        <v>22.726441322624346</v>
      </c>
      <c r="BR82" s="21">
        <f>EXP(-LN(2)/2)*BR81+(1-EXP(-LN(2)/2))/(LN(2)/2)*BL82*BO82*VLOOKUP('Données projet'!$B$11,Paramètres!$A$1:$I$89,3,0)*0.475*44/12</f>
        <v>0.83358635452743901</v>
      </c>
      <c r="BS82" s="22">
        <f t="shared" si="63"/>
        <v>59.280660447300136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3.2</v>
      </c>
      <c r="BY82" s="12">
        <f>IF('Données projet'!$A$114&gt;35,BY81+BX82-CG81,IF(A82&lt;'Données projet'!$A$114,$BV$205^A82,IF(A82='Données projet'!$A$114,'Données projet'!$B$114,BY81+BX82-CG81)))</f>
        <v>204.79999999999993</v>
      </c>
      <c r="BZ82" s="13">
        <f>BY82*VLOOKUP('Données projet'!$B$12,Paramètres!$A$1:$I$89,3,0)*VLOOKUP('Données projet'!$B$12,Paramètres!$A$1:$I$89,5,0)</f>
        <v>178.91327999999996</v>
      </c>
      <c r="CA82" s="13">
        <f t="shared" si="93"/>
        <v>45.080325843494805</v>
      </c>
      <c r="CB82" s="20">
        <f t="shared" si="64"/>
        <v>390.12219684408677</v>
      </c>
      <c r="CC82" s="59">
        <f t="shared" si="65"/>
        <v>683.45553017742009</v>
      </c>
      <c r="CD82" s="59">
        <f ca="1">AVERAGE(OFFSET($CC$3,0,0,'Données projet'!$E$12+1,1))-AVERAGE(OFFSET($H$3,0,0,'Données projet'!$E$12+1,1))</f>
        <v>216.10252108537389</v>
      </c>
      <c r="CE82" s="59">
        <f t="shared" si="94"/>
        <v>196.91968622092054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9.2554515653382516</v>
      </c>
      <c r="CL82" s="21">
        <f>EXP(-LN(2)/25)*CL81+(1-EXP(-LN(2)/25))/(LN(2)/25)*Calculateur!CG82*Calculateur!CI82*VLOOKUP('Données projet'!$B$12,Paramètres!$A$1:$I$89,3,0)*0.475*44/12</f>
        <v>12.873975140948307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22.129426706286559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6.5339743589743566</v>
      </c>
      <c r="CT82" s="12">
        <f>IF('Données projet'!$A$140&gt;35,CT81+CS82-DB81,IF(A82&lt;'Données projet'!$A$140,$CQ$205^A82,IF(A82='Données projet'!$A$140,'Données projet'!$B$140,CT81+CS82-DB81)))</f>
        <v>218.31730769230776</v>
      </c>
      <c r="CU82" s="17">
        <f>CT82*VLOOKUP('Données projet'!$B$13,Paramètres!$A$1:$I$89,3,0)*VLOOKUP('Données projet'!$B$13,Paramètres!$A$1:$I$89,5,0)</f>
        <v>197.53350000000006</v>
      </c>
      <c r="CV82" s="13">
        <f t="shared" si="95"/>
        <v>49.201714815770728</v>
      </c>
      <c r="CW82" s="20">
        <f t="shared" si="67"/>
        <v>429.73049913746746</v>
      </c>
      <c r="CX82" s="59">
        <f t="shared" si="68"/>
        <v>723.06383247080078</v>
      </c>
      <c r="CY82" s="59">
        <f ca="1">AVERAGE(OFFSET($CX$3,0,0,'Données projet'!$E$13+1,1))-AVERAGE(OFFSET($H$3,0,0,'Données projet'!$E$13+1,1))</f>
        <v>318.01858325056168</v>
      </c>
      <c r="CZ82" s="59">
        <f t="shared" si="96"/>
        <v>119.46953274700951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37.44000000000004</v>
      </c>
      <c r="D83" s="11">
        <f t="shared" si="86"/>
        <v>11.317528925689196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376.37390749654855</v>
      </c>
      <c r="H83" s="67">
        <f t="shared" si="56"/>
        <v>378.25269621224209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200.15574321350221</v>
      </c>
      <c r="T83" s="59">
        <f t="shared" si="88"/>
        <v>200.70728852570426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87.296450119980335</v>
      </c>
      <c r="AA83" s="21">
        <f>EXP(-LN(2)/25)*AA82+(1-EXP(-LN(2)/25))/(LN(2)/25)*Calculateur!V83*Calculateur!X83*VLOOKUP('Données projet'!$B$9,Paramètres!$A$1:$I$89,3,0)*0.475*44/12</f>
        <v>20.755935690543573</v>
      </c>
      <c r="AB83" s="21">
        <f>EXP(-LN(2)/2)*AB82+(1-EXP(-LN(2)/2))/(LN(2)/2)*V83*Y83*VLOOKUP('Données projet'!$B$9,Paramètres!$A$1:$I$89,3,0)*0.475*44/12</f>
        <v>3.1213719228494356E-2</v>
      </c>
      <c r="AC83" s="22">
        <f t="shared" si="57"/>
        <v>108.08359952975239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45.407317338461951</v>
      </c>
      <c r="AO83" s="59">
        <f t="shared" si="90"/>
        <v>149.88701606165358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10.934101948513756</v>
      </c>
      <c r="AV83" s="21">
        <f>EXP(-LN(2)/25)*AV82+(1-EXP(-LN(2)/25))/(LN(2)/25)*Calculateur!AQ83*Calculateur!AS83*VLOOKUP('Données projet'!$B$10,Paramètres!$A$1:$I$89,3,0)*0.475*44/12</f>
        <v>1.450916472449848</v>
      </c>
      <c r="AW83" s="21">
        <f>EXP(-LN(2)/2)*AW82+(1-EXP(-LN(2)/2))/(LN(2)/2)*AQ83*AT83*VLOOKUP('Données projet'!$B$10,Paramètres!$A$1:$I$89,3,0)*0.475*44/12</f>
        <v>1.0185534439051127E-8</v>
      </c>
      <c r="AX83" s="21">
        <f t="shared" si="60"/>
        <v>12.385018431149138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9.5237179487179446</v>
      </c>
      <c r="BD83" s="12">
        <f>IF('Données projet'!$A$88&gt;35,BD82+BC83-BL82,IF(A83&lt;'Données projet'!$A$88,$BA$205^A83,IF(A83='Données projet'!$A$88,'Données projet'!$B$88,BD82+BC83-BL82)))</f>
        <v>331.21217948717992</v>
      </c>
      <c r="BE83" s="13">
        <f>BD83*VLOOKUP('Données projet'!$B$11,Paramètres!$A$1:$I$89,3,0)*VLOOKUP('Données projet'!$B$11,Paramètres!$A$1:$I$89,5,0)</f>
        <v>155.00730000000019</v>
      </c>
      <c r="BF83" s="13">
        <f t="shared" si="91"/>
        <v>39.714328701221518</v>
      </c>
      <c r="BG83" s="20">
        <f t="shared" si="61"/>
        <v>339.14016998796109</v>
      </c>
      <c r="BH83" s="59">
        <f t="shared" si="62"/>
        <v>632.4735033212944</v>
      </c>
      <c r="BI83" s="59">
        <f ca="1">AVERAGE(OFFSET($BH$3,0,0,'Données projet'!$E$11+1,1))-AVERAGE(OFFSET($H$3,0,0,'Données projet'!$E$11+1,1))</f>
        <v>183.67580045784649</v>
      </c>
      <c r="BJ83" s="59">
        <f t="shared" si="92"/>
        <v>121.08269345608767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35.020172948960401</v>
      </c>
      <c r="BQ83" s="21">
        <f>EXP(-LN(2)/25)*BQ82+(1-EXP(-LN(2)/25))/(LN(2)/25)*Calculateur!BL83*Calculateur!BN83*VLOOKUP('Données projet'!$B$11,Paramètres!$A$1:$I$89,3,0)*0.475*44/12</f>
        <v>22.104985589525576</v>
      </c>
      <c r="BR83" s="21">
        <f>EXP(-LN(2)/2)*BR82+(1-EXP(-LN(2)/2))/(LN(2)/2)*BL83*BO83*VLOOKUP('Données projet'!$B$11,Paramètres!$A$1:$I$89,3,0)*0.475*44/12</f>
        <v>0.58943456399092564</v>
      </c>
      <c r="BS83" s="22">
        <f t="shared" si="63"/>
        <v>57.714593102476904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208</v>
      </c>
      <c r="BW83" s="12">
        <f>VLOOKUP(A83,'Données projet'!$A$113:$I$133,9,0)</f>
        <v>3.2</v>
      </c>
      <c r="BX83" s="12">
        <f t="array" ref="BX83">INDEX(BW:BW,MIN(IF(ISNUMBER(BW83:BW279),ROW(BW83:BW279),"")))</f>
        <v>3.2</v>
      </c>
      <c r="BY83" s="12">
        <f>IF('Données projet'!$A$114&gt;35,BY82+BX83-CG82,IF(A83&lt;'Données projet'!$A$114,$BV$205^A83,IF(A83='Données projet'!$A$114,'Données projet'!$B$114,BY82+BX83-CG82)))</f>
        <v>207.99999999999991</v>
      </c>
      <c r="BZ83" s="13">
        <f>BY83*VLOOKUP('Données projet'!$B$12,Paramètres!$A$1:$I$89,3,0)*VLOOKUP('Données projet'!$B$12,Paramètres!$A$1:$I$89,5,0)</f>
        <v>181.70879999999994</v>
      </c>
      <c r="CA83" s="13">
        <f t="shared" si="93"/>
        <v>45.702153370067769</v>
      </c>
      <c r="CB83" s="20">
        <f t="shared" si="64"/>
        <v>396.07407711953459</v>
      </c>
      <c r="CC83" s="59">
        <f t="shared" si="65"/>
        <v>689.40741045286791</v>
      </c>
      <c r="CD83" s="59">
        <f ca="1">AVERAGE(OFFSET($CC$3,0,0,'Données projet'!$E$12+1,1))-AVERAGE(OFFSET($H$3,0,0,'Données projet'!$E$12+1,1))</f>
        <v>216.10252108537389</v>
      </c>
      <c r="CE83" s="59">
        <f t="shared" si="94"/>
        <v>196.91968622092054</v>
      </c>
      <c r="CF83" s="15">
        <f>IF(ISNA(VLOOKUP(A83,'Données projet'!$A$113:$I$133,3,0)),0,VLOOKUP(A83,'Données projet'!$A$113:$I$133,3,0))</f>
        <v>13</v>
      </c>
      <c r="CG83" s="15" t="str">
        <f>IF(ISNA(VLOOKUP(A83,'Données projet'!$A$113:$I$133,4,0)),0,VLOOKUP(A83,'Données projet'!$A$113:$I$133,4,0))</f>
        <v>11</v>
      </c>
      <c r="CH83" s="16">
        <f>IF(ISNA(VLOOKUP(A83,'Données projet'!$A$113:$I$133,5,0)),0%,VLOOKUP(A83,'Données projet'!$A$113:$I$133,5,0)*VLOOKUP('Données projet'!$B$12,Paramètres!$A$1:$I$89,7,0))</f>
        <v>0.17200000000000001</v>
      </c>
      <c r="CI83" s="16">
        <f>IF(ISNA(VLOOKUP(A83,'Données projet'!$A$113:$I$133,6,0)),0%,VLOOKUP(A83,'Données projet'!$A$113:$I$133,6,0)*VLOOKUP('Données projet'!$B$12,Paramètres!$A$1:$I$89,7,0))</f>
        <v>0.17200000000000001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10.901135848785492</v>
      </c>
      <c r="CL83" s="21">
        <f>EXP(-LN(2)/25)*CL82+(1-EXP(-LN(2)/25))/(LN(2)/25)*Calculateur!CG83*Calculateur!CI83*VLOOKUP('Données projet'!$B$12,Paramètres!$A$1:$I$89,3,0)*0.475*44/12</f>
        <v>14.341919360915453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25.243055209700945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6.5339743589743566</v>
      </c>
      <c r="CT83" s="12">
        <f>IF('Données projet'!$A$140&gt;35,CT82+CS83-DB82,IF(A83&lt;'Données projet'!$A$140,$CQ$205^A83,IF(A83='Données projet'!$A$140,'Données projet'!$B$140,CT82+CS83-DB82)))</f>
        <v>224.85128205128211</v>
      </c>
      <c r="CU83" s="17">
        <f>CT83*VLOOKUP('Données projet'!$B$13,Paramètres!$A$1:$I$89,3,0)*VLOOKUP('Données projet'!$B$13,Paramètres!$A$1:$I$89,5,0)</f>
        <v>203.44544000000002</v>
      </c>
      <c r="CV83" s="13">
        <f t="shared" si="95"/>
        <v>50.50061678781659</v>
      </c>
      <c r="CW83" s="20">
        <f t="shared" si="67"/>
        <v>442.28938223878066</v>
      </c>
      <c r="CX83" s="59">
        <f t="shared" si="68"/>
        <v>735.62271557211398</v>
      </c>
      <c r="CY83" s="59">
        <f ca="1">AVERAGE(OFFSET($CX$3,0,0,'Données projet'!$E$13+1,1))-AVERAGE(OFFSET($H$3,0,0,'Données projet'!$E$13+1,1))</f>
        <v>318.01858325056168</v>
      </c>
      <c r="CZ83" s="59">
        <f t="shared" si="96"/>
        <v>119.46953274700951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37.908000000000044</v>
      </c>
      <c r="D84" s="11">
        <f t="shared" si="86"/>
        <v>11.442440513882541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380.95076887909363</v>
      </c>
      <c r="H84" s="67">
        <f t="shared" si="56"/>
        <v>379.2853505616788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200.15574321350221</v>
      </c>
      <c r="T84" s="59">
        <f t="shared" si="88"/>
        <v>200.70728852570426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85.584619978704524</v>
      </c>
      <c r="AA84" s="21">
        <f>EXP(-LN(2)/25)*AA83+(1-EXP(-LN(2)/25))/(LN(2)/25)*Calculateur!V84*Calculateur!X84*VLOOKUP('Données projet'!$B$9,Paramètres!$A$1:$I$89,3,0)*0.475*44/12</f>
        <v>20.188363537578439</v>
      </c>
      <c r="AB84" s="21">
        <f>EXP(-LN(2)/2)*AB83+(1-EXP(-LN(2)/2))/(LN(2)/2)*V84*Y84*VLOOKUP('Données projet'!$B$9,Paramètres!$A$1:$I$89,3,0)*0.475*44/12</f>
        <v>2.2071432532521293E-2</v>
      </c>
      <c r="AC84" s="22">
        <f t="shared" si="57"/>
        <v>105.79505494881549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45.407317338461951</v>
      </c>
      <c r="AO84" s="59">
        <f t="shared" si="90"/>
        <v>149.88701606165358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10.719690878447068</v>
      </c>
      <c r="AV84" s="21">
        <f>EXP(-LN(2)/25)*AV83+(1-EXP(-LN(2)/25))/(LN(2)/25)*Calculateur!AQ84*Calculateur!AS84*VLOOKUP('Données projet'!$B$10,Paramètres!$A$1:$I$89,3,0)*0.475*44/12</f>
        <v>1.4112410852103257</v>
      </c>
      <c r="AW84" s="21">
        <f>EXP(-LN(2)/2)*AW83+(1-EXP(-LN(2)/2))/(LN(2)/2)*AQ84*AT84*VLOOKUP('Données projet'!$B$10,Paramètres!$A$1:$I$89,3,0)*0.475*44/12</f>
        <v>7.2022604718621702E-9</v>
      </c>
      <c r="AX84" s="21">
        <f t="shared" si="60"/>
        <v>12.130931970859654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9.5237179487179446</v>
      </c>
      <c r="BD84" s="12">
        <f>IF('Données projet'!$A$88&gt;35,BD83+BC84-BL83,IF(A84&lt;'Données projet'!$A$88,$BA$205^A84,IF(A84='Données projet'!$A$88,'Données projet'!$B$88,BD83+BC84-BL83)))</f>
        <v>340.73589743589787</v>
      </c>
      <c r="BE84" s="13">
        <f>BD84*VLOOKUP('Données projet'!$B$11,Paramètres!$A$1:$I$89,3,0)*VLOOKUP('Données projet'!$B$11,Paramètres!$A$1:$I$89,5,0)</f>
        <v>159.46440000000021</v>
      </c>
      <c r="BF84" s="13">
        <f t="shared" si="91"/>
        <v>40.721685766303303</v>
      </c>
      <c r="BG84" s="20">
        <f t="shared" si="61"/>
        <v>348.65743270964526</v>
      </c>
      <c r="BH84" s="59">
        <f t="shared" si="62"/>
        <v>641.99076604297852</v>
      </c>
      <c r="BI84" s="59">
        <f ca="1">AVERAGE(OFFSET($BH$3,0,0,'Données projet'!$E$11+1,1))-AVERAGE(OFFSET($H$3,0,0,'Données projet'!$E$11+1,1))</f>
        <v>183.67580045784649</v>
      </c>
      <c r="BJ84" s="59">
        <f t="shared" si="92"/>
        <v>121.08269345608767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34.33344871762764</v>
      </c>
      <c r="BQ84" s="21">
        <f>EXP(-LN(2)/25)*BQ83+(1-EXP(-LN(2)/25))/(LN(2)/25)*Calculateur!BL84*Calculateur!BN84*VLOOKUP('Données projet'!$B$11,Paramètres!$A$1:$I$89,3,0)*0.475*44/12</f>
        <v>21.50052359612933</v>
      </c>
      <c r="BR84" s="21">
        <f>EXP(-LN(2)/2)*BR83+(1-EXP(-LN(2)/2))/(LN(2)/2)*BL84*BO84*VLOOKUP('Données projet'!$B$11,Paramètres!$A$1:$I$89,3,0)*0.475*44/12</f>
        <v>0.41679317726371951</v>
      </c>
      <c r="BS84" s="22">
        <f t="shared" si="63"/>
        <v>56.250765491020694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2.8</v>
      </c>
      <c r="BY84" s="12">
        <f>IF('Données projet'!$A$114&gt;35,BY83+BX84-CG83,IF(A84&lt;'Données projet'!$A$114,$BV$205^A84,IF(A84='Données projet'!$A$114,'Données projet'!$B$114,BY83+BX84-CG83)))</f>
        <v>199.79999999999993</v>
      </c>
      <c r="BZ84" s="13">
        <f>BY84*VLOOKUP('Données projet'!$B$12,Paramètres!$A$1:$I$89,3,0)*VLOOKUP('Données projet'!$B$12,Paramètres!$A$1:$I$89,5,0)</f>
        <v>174.54527999999993</v>
      </c>
      <c r="CA84" s="13">
        <f t="shared" si="93"/>
        <v>44.106446559111959</v>
      </c>
      <c r="CB84" s="20">
        <f t="shared" si="64"/>
        <v>380.81842375711989</v>
      </c>
      <c r="CC84" s="59">
        <f t="shared" si="65"/>
        <v>674.1517570904532</v>
      </c>
      <c r="CD84" s="59">
        <f ca="1">AVERAGE(OFFSET($CC$3,0,0,'Données projet'!$E$12+1,1))-AVERAGE(OFFSET($H$3,0,0,'Données projet'!$E$12+1,1))</f>
        <v>216.10252108537389</v>
      </c>
      <c r="CE84" s="59">
        <f t="shared" si="94"/>
        <v>196.91968622092054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10.687371223827139</v>
      </c>
      <c r="CL84" s="21">
        <f>EXP(-LN(2)/25)*CL83+(1-EXP(-LN(2)/25))/(LN(2)/25)*Calculateur!CG84*Calculateur!CI84*VLOOKUP('Données projet'!$B$12,Paramètres!$A$1:$I$89,3,0)*0.475*44/12</f>
        <v>13.949738821782459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24.637110045609596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6.5339743589743566</v>
      </c>
      <c r="CT84" s="12">
        <f>IF('Données projet'!$A$140&gt;35,CT83+CS84-DB83,IF(A84&lt;'Données projet'!$A$140,$CQ$205^A84,IF(A84='Données projet'!$A$140,'Données projet'!$B$140,CT83+CS84-DB83)))</f>
        <v>231.38525641025646</v>
      </c>
      <c r="CU84" s="17">
        <f>CT84*VLOOKUP('Données projet'!$B$13,Paramètres!$A$1:$I$89,3,0)*VLOOKUP('Données projet'!$B$13,Paramètres!$A$1:$I$89,5,0)</f>
        <v>209.35738000000003</v>
      </c>
      <c r="CV84" s="13">
        <f t="shared" si="95"/>
        <v>51.79513202169526</v>
      </c>
      <c r="CW84" s="20">
        <f t="shared" si="67"/>
        <v>454.84062510445273</v>
      </c>
      <c r="CX84" s="59">
        <f t="shared" si="68"/>
        <v>748.17395843778604</v>
      </c>
      <c r="CY84" s="59">
        <f ca="1">AVERAGE(OFFSET($CX$3,0,0,'Données projet'!$E$13+1,1))-AVERAGE(OFFSET($H$3,0,0,'Données projet'!$E$13+1,1))</f>
        <v>318.01858325056168</v>
      </c>
      <c r="CZ84" s="59">
        <f t="shared" si="96"/>
        <v>119.46953274700951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38.376000000000047</v>
      </c>
      <c r="D85" s="11">
        <f t="shared" si="86"/>
        <v>11.567172723592876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385.52624558562957</v>
      </c>
      <c r="H85" s="67">
        <f t="shared" si="56"/>
        <v>380.31769249359098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200.15574321350221</v>
      </c>
      <c r="T85" s="59">
        <f t="shared" si="88"/>
        <v>200.70728852570426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83.906357782385854</v>
      </c>
      <c r="AA85" s="21">
        <f>EXP(-LN(2)/25)*AA84+(1-EXP(-LN(2)/25))/(LN(2)/25)*Calculateur!V85*Calculateur!X85*VLOOKUP('Données projet'!$B$9,Paramètres!$A$1:$I$89,3,0)*0.475*44/12</f>
        <v>19.63631167498346</v>
      </c>
      <c r="AB85" s="21">
        <f>EXP(-LN(2)/2)*AB84+(1-EXP(-LN(2)/2))/(LN(2)/2)*V85*Y85*VLOOKUP('Données projet'!$B$9,Paramètres!$A$1:$I$89,3,0)*0.475*44/12</f>
        <v>1.5606859614247182E-2</v>
      </c>
      <c r="AC85" s="22">
        <f t="shared" si="57"/>
        <v>103.55827631698357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45.407317338461951</v>
      </c>
      <c r="AO85" s="59">
        <f t="shared" si="90"/>
        <v>149.88701606165358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10.509484278686546</v>
      </c>
      <c r="AV85" s="21">
        <f>EXP(-LN(2)/25)*AV84+(1-EXP(-LN(2)/25))/(LN(2)/25)*Calculateur!AQ85*Calculateur!AS85*VLOOKUP('Données projet'!$B$10,Paramètres!$A$1:$I$89,3,0)*0.475*44/12</f>
        <v>1.3726506235213061</v>
      </c>
      <c r="AW85" s="21">
        <f>EXP(-LN(2)/2)*AW84+(1-EXP(-LN(2)/2))/(LN(2)/2)*AQ85*AT85*VLOOKUP('Données projet'!$B$10,Paramètres!$A$1:$I$89,3,0)*0.475*44/12</f>
        <v>5.0927672195255644E-9</v>
      </c>
      <c r="AX85" s="21">
        <f t="shared" si="60"/>
        <v>11.882134907300619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9.5237179487179446</v>
      </c>
      <c r="BD85" s="12">
        <f>IF('Données projet'!$A$88&gt;35,BD84+BC85-BL84,IF(A85&lt;'Données projet'!$A$88,$BA$205^A85,IF(A85='Données projet'!$A$88,'Données projet'!$B$88,BD84+BC85-BL84)))</f>
        <v>350.25961538461581</v>
      </c>
      <c r="BE85" s="13">
        <f>BD85*VLOOKUP('Données projet'!$B$11,Paramètres!$A$1:$I$89,3,0)*VLOOKUP('Données projet'!$B$11,Paramètres!$A$1:$I$89,5,0)</f>
        <v>163.92150000000018</v>
      </c>
      <c r="BF85" s="13">
        <f t="shared" si="91"/>
        <v>41.725770339892605</v>
      </c>
      <c r="BG85" s="20">
        <f t="shared" si="61"/>
        <v>358.16899584197989</v>
      </c>
      <c r="BH85" s="59">
        <f t="shared" si="62"/>
        <v>651.50232917531321</v>
      </c>
      <c r="BI85" s="59">
        <f ca="1">AVERAGE(OFFSET($BH$3,0,0,'Données projet'!$E$11+1,1))-AVERAGE(OFFSET($H$3,0,0,'Données projet'!$E$11+1,1))</f>
        <v>183.67580045784649</v>
      </c>
      <c r="BJ85" s="59">
        <f t="shared" si="92"/>
        <v>121.08269345608767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33.660190729610896</v>
      </c>
      <c r="BQ85" s="21">
        <f>EXP(-LN(2)/25)*BQ84+(1-EXP(-LN(2)/25))/(LN(2)/25)*Calculateur!BL85*Calculateur!BN85*VLOOKUP('Données projet'!$B$11,Paramètres!$A$1:$I$89,3,0)*0.475*44/12</f>
        <v>20.912590647729779</v>
      </c>
      <c r="BR85" s="21">
        <f>EXP(-LN(2)/2)*BR84+(1-EXP(-LN(2)/2))/(LN(2)/2)*BL85*BO85*VLOOKUP('Données projet'!$B$11,Paramètres!$A$1:$I$89,3,0)*0.475*44/12</f>
        <v>0.29471728199546282</v>
      </c>
      <c r="BS85" s="22">
        <f t="shared" si="63"/>
        <v>54.867498659336135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2.8</v>
      </c>
      <c r="BY85" s="12">
        <f>IF('Données projet'!$A$114&gt;35,BY84+BX85-CG84,IF(A85&lt;'Données projet'!$A$114,$BV$205^A85,IF(A85='Données projet'!$A$114,'Données projet'!$B$114,BY84+BX85-CG84)))</f>
        <v>202.59999999999994</v>
      </c>
      <c r="BZ85" s="13">
        <f>BY85*VLOOKUP('Données projet'!$B$12,Paramètres!$A$1:$I$89,3,0)*VLOOKUP('Données projet'!$B$12,Paramètres!$A$1:$I$89,5,0)</f>
        <v>176.99135999999996</v>
      </c>
      <c r="CA85" s="13">
        <f t="shared" si="93"/>
        <v>44.65216395512175</v>
      </c>
      <c r="CB85" s="20">
        <f t="shared" si="64"/>
        <v>386.02913755517028</v>
      </c>
      <c r="CC85" s="59">
        <f t="shared" si="65"/>
        <v>679.36247088850359</v>
      </c>
      <c r="CD85" s="59">
        <f ca="1">AVERAGE(OFFSET($CC$3,0,0,'Données projet'!$E$12+1,1))-AVERAGE(OFFSET($H$3,0,0,'Données projet'!$E$12+1,1))</f>
        <v>216.10252108537389</v>
      </c>
      <c r="CE85" s="59">
        <f t="shared" si="94"/>
        <v>196.91968622092054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10.477798392780672</v>
      </c>
      <c r="CL85" s="21">
        <f>EXP(-LN(2)/25)*CL84+(1-EXP(-LN(2)/25))/(LN(2)/25)*Calculateur!CG85*Calculateur!CI85*VLOOKUP('Données projet'!$B$12,Paramètres!$A$1:$I$89,3,0)*0.475*44/12</f>
        <v>13.568282480115936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24.04608087289661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6.5339743589743566</v>
      </c>
      <c r="CT85" s="12">
        <f>IF('Données projet'!$A$140&gt;35,CT84+CS85-DB84,IF(A85&lt;'Données projet'!$A$140,$CQ$205^A85,IF(A85='Données projet'!$A$140,'Données projet'!$B$140,CT84+CS85-DB84)))</f>
        <v>237.91923076923081</v>
      </c>
      <c r="CU85" s="17">
        <f>CT85*VLOOKUP('Données projet'!$B$13,Paramètres!$A$1:$I$89,3,0)*VLOOKUP('Données projet'!$B$13,Paramètres!$A$1:$I$89,5,0)</f>
        <v>215.26932000000002</v>
      </c>
      <c r="CV85" s="13">
        <f t="shared" si="95"/>
        <v>53.085398621543455</v>
      </c>
      <c r="CW85" s="20">
        <f t="shared" si="67"/>
        <v>467.38446826585488</v>
      </c>
      <c r="CX85" s="59">
        <f t="shared" si="68"/>
        <v>760.71780159918819</v>
      </c>
      <c r="CY85" s="59">
        <f ca="1">AVERAGE(OFFSET($CX$3,0,0,'Données projet'!$E$13+1,1))-AVERAGE(OFFSET($H$3,0,0,'Données projet'!$E$13+1,1))</f>
        <v>318.01858325056168</v>
      </c>
      <c r="CZ85" s="59">
        <f t="shared" si="96"/>
        <v>119.46953274700951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38.844000000000051</v>
      </c>
      <c r="D86" s="11">
        <f t="shared" si="86"/>
        <v>11.691727995381735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390.10035645557872</v>
      </c>
      <c r="H86" s="67">
        <f t="shared" si="56"/>
        <v>381.34972625862326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200.15574321350221</v>
      </c>
      <c r="T86" s="59">
        <f t="shared" si="88"/>
        <v>200.70728852570426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82.261005284098118</v>
      </c>
      <c r="AA86" s="21">
        <f>EXP(-LN(2)/25)*AA85+(1-EXP(-LN(2)/25))/(LN(2)/25)*Calculateur!V86*Calculateur!X86*VLOOKUP('Données projet'!$B$9,Paramètres!$A$1:$I$89,3,0)*0.475*44/12</f>
        <v>19.099355699602285</v>
      </c>
      <c r="AB86" s="21">
        <f>EXP(-LN(2)/2)*AB85+(1-EXP(-LN(2)/2))/(LN(2)/2)*V86*Y86*VLOOKUP('Données projet'!$B$9,Paramètres!$A$1:$I$89,3,0)*0.475*44/12</f>
        <v>1.1035716266260648E-2</v>
      </c>
      <c r="AC86" s="22">
        <f t="shared" si="57"/>
        <v>101.37139669996667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45.407317338461951</v>
      </c>
      <c r="AO86" s="59">
        <f t="shared" si="90"/>
        <v>149.88701606165358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10.303399702133964</v>
      </c>
      <c r="AV86" s="21">
        <f>EXP(-LN(2)/25)*AV85+(1-EXP(-LN(2)/25))/(LN(2)/25)*Calculateur!AQ86*Calculateur!AS86*VLOOKUP('Données projet'!$B$10,Paramètres!$A$1:$I$89,3,0)*0.475*44/12</f>
        <v>1.3351154200365569</v>
      </c>
      <c r="AW86" s="21">
        <f>EXP(-LN(2)/2)*AW85+(1-EXP(-LN(2)/2))/(LN(2)/2)*AQ86*AT86*VLOOKUP('Données projet'!$B$10,Paramètres!$A$1:$I$89,3,0)*0.475*44/12</f>
        <v>3.6011302359310855E-9</v>
      </c>
      <c r="AX86" s="21">
        <f t="shared" si="60"/>
        <v>11.638515125771651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9.5237179487179446</v>
      </c>
      <c r="BD86" s="12">
        <f>IF('Données projet'!$A$88&gt;35,BD85+BC86-BL85,IF(A86&lt;'Données projet'!$A$88,$BA$205^A86,IF(A86='Données projet'!$A$88,'Données projet'!$B$88,BD85+BC86-BL85)))</f>
        <v>359.78333333333376</v>
      </c>
      <c r="BE86" s="13">
        <f>BD86*VLOOKUP('Données projet'!$B$11,Paramètres!$A$1:$I$89,3,0)*VLOOKUP('Données projet'!$B$11,Paramètres!$A$1:$I$89,5,0)</f>
        <v>168.3786000000002</v>
      </c>
      <c r="BF86" s="13">
        <f t="shared" si="91"/>
        <v>42.726681627572944</v>
      </c>
      <c r="BG86" s="20">
        <f t="shared" si="61"/>
        <v>367.67503216802317</v>
      </c>
      <c r="BH86" s="59">
        <f t="shared" si="62"/>
        <v>661.00836550135648</v>
      </c>
      <c r="BI86" s="59">
        <f ca="1">AVERAGE(OFFSET($BH$3,0,0,'Données projet'!$E$11+1,1))-AVERAGE(OFFSET($H$3,0,0,'Données projet'!$E$11+1,1))</f>
        <v>183.67580045784649</v>
      </c>
      <c r="BJ86" s="59">
        <f t="shared" si="92"/>
        <v>121.08269345608767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33.000134920092336</v>
      </c>
      <c r="BQ86" s="21">
        <f>EXP(-LN(2)/25)*BQ85+(1-EXP(-LN(2)/25))/(LN(2)/25)*Calculateur!BL86*Calculateur!BN86*VLOOKUP('Données projet'!$B$11,Paramètres!$A$1:$I$89,3,0)*0.475*44/12</f>
        <v>20.340734756722263</v>
      </c>
      <c r="BR86" s="21">
        <f>EXP(-LN(2)/2)*BR85+(1-EXP(-LN(2)/2))/(LN(2)/2)*BL86*BO86*VLOOKUP('Données projet'!$B$11,Paramètres!$A$1:$I$89,3,0)*0.475*44/12</f>
        <v>0.20839658863185975</v>
      </c>
      <c r="BS86" s="22">
        <f t="shared" si="63"/>
        <v>53.549266265446455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2.8</v>
      </c>
      <c r="BY86" s="12">
        <f>IF('Données projet'!$A$114&gt;35,BY85+BX86-CG85,IF(A86&lt;'Données projet'!$A$114,$BV$205^A86,IF(A86='Données projet'!$A$114,'Données projet'!$B$114,BY85+BX86-CG85)))</f>
        <v>205.39999999999995</v>
      </c>
      <c r="BZ86" s="13">
        <f>BY86*VLOOKUP('Données projet'!$B$12,Paramètres!$A$1:$I$89,3,0)*VLOOKUP('Données projet'!$B$12,Paramètres!$A$1:$I$89,5,0)</f>
        <v>179.43743999999998</v>
      </c>
      <c r="CA86" s="13">
        <f t="shared" si="93"/>
        <v>45.197004138831623</v>
      </c>
      <c r="CB86" s="20">
        <f t="shared" si="64"/>
        <v>391.23832354179837</v>
      </c>
      <c r="CC86" s="59">
        <f t="shared" si="65"/>
        <v>684.57165687513168</v>
      </c>
      <c r="CD86" s="59">
        <f ca="1">AVERAGE(OFFSET($CC$3,0,0,'Données projet'!$E$12+1,1))-AVERAGE(OFFSET($H$3,0,0,'Données projet'!$E$12+1,1))</f>
        <v>216.10252108537389</v>
      </c>
      <c r="CE86" s="59">
        <f t="shared" si="94"/>
        <v>196.91968622092054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10.272335157124221</v>
      </c>
      <c r="CL86" s="21">
        <f>EXP(-LN(2)/25)*CL85+(1-EXP(-LN(2)/25))/(LN(2)/25)*Calculateur!CG86*Calculateur!CI86*VLOOKUP('Données projet'!$B$12,Paramètres!$A$1:$I$89,3,0)*0.475*44/12</f>
        <v>13.197257082172202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23.469592239296425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6.5339743589743566</v>
      </c>
      <c r="CT86" s="12">
        <f>IF('Données projet'!$A$140&gt;35,CT85+CS86-DB85,IF(A86&lt;'Données projet'!$A$140,$CQ$205^A86,IF(A86='Données projet'!$A$140,'Données projet'!$B$140,CT85+CS86-DB85)))</f>
        <v>244.45320512820516</v>
      </c>
      <c r="CU86" s="17">
        <f>CT86*VLOOKUP('Données projet'!$B$13,Paramètres!$A$1:$I$89,3,0)*VLOOKUP('Données projet'!$B$13,Paramètres!$A$1:$I$89,5,0)</f>
        <v>221.18126000000004</v>
      </c>
      <c r="CV86" s="13">
        <f t="shared" si="95"/>
        <v>54.371546674285838</v>
      </c>
      <c r="CW86" s="20">
        <f t="shared" si="67"/>
        <v>479.92113829104784</v>
      </c>
      <c r="CX86" s="59">
        <f t="shared" si="68"/>
        <v>773.25447162438115</v>
      </c>
      <c r="CY86" s="59">
        <f ca="1">AVERAGE(OFFSET($CX$3,0,0,'Données projet'!$E$13+1,1))-AVERAGE(OFFSET($H$3,0,0,'Données projet'!$E$13+1,1))</f>
        <v>318.01858325056168</v>
      </c>
      <c r="CZ86" s="59">
        <f t="shared" si="96"/>
        <v>119.46953274700951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39.312000000000054</v>
      </c>
      <c r="D87" s="11">
        <f t="shared" si="86"/>
        <v>11.816108707618415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394.67311984828297</v>
      </c>
      <c r="H87" s="67">
        <f t="shared" si="56"/>
        <v>382.38145599910212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200.15574321350221</v>
      </c>
      <c r="T87" s="59">
        <f t="shared" si="88"/>
        <v>200.70728852570426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80.647917144735885</v>
      </c>
      <c r="AA87" s="21">
        <f>EXP(-LN(2)/25)*AA86+(1-EXP(-LN(2)/25))/(LN(2)/25)*Calculateur!V87*Calculateur!X87*VLOOKUP('Données projet'!$B$9,Paramètres!$A$1:$I$89,3,0)*0.475*44/12</f>
        <v>18.577082813605195</v>
      </c>
      <c r="AB87" s="21">
        <f>EXP(-LN(2)/2)*AB86+(1-EXP(-LN(2)/2))/(LN(2)/2)*V87*Y87*VLOOKUP('Données projet'!$B$9,Paramètres!$A$1:$I$89,3,0)*0.475*44/12</f>
        <v>7.8034298071235917E-3</v>
      </c>
      <c r="AC87" s="22">
        <f t="shared" si="57"/>
        <v>99.232803388148199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45.407317338461951</v>
      </c>
      <c r="AO87" s="59">
        <f t="shared" si="90"/>
        <v>149.88701606165358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10.101356318428397</v>
      </c>
      <c r="AV87" s="21">
        <f>EXP(-LN(2)/25)*AV86+(1-EXP(-LN(2)/25))/(LN(2)/25)*Calculateur!AQ87*Calculateur!AS87*VLOOKUP('Données projet'!$B$10,Paramètres!$A$1:$I$89,3,0)*0.475*44/12</f>
        <v>1.2986066186649887</v>
      </c>
      <c r="AW87" s="21">
        <f>EXP(-LN(2)/2)*AW86+(1-EXP(-LN(2)/2))/(LN(2)/2)*AQ87*AT87*VLOOKUP('Données projet'!$B$10,Paramètres!$A$1:$I$89,3,0)*0.475*44/12</f>
        <v>2.5463836097627826E-9</v>
      </c>
      <c r="AX87" s="21">
        <f t="shared" si="60"/>
        <v>11.399962939639771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9.5237179487179446</v>
      </c>
      <c r="BD87" s="12">
        <f>IF('Données projet'!$A$88&gt;35,BD86+BC87-BL86,IF(A87&lt;'Données projet'!$A$88,$BA$205^A87,IF(A87='Données projet'!$A$88,'Données projet'!$B$88,BD86+BC87-BL86)))</f>
        <v>369.3070512820517</v>
      </c>
      <c r="BE87" s="13">
        <f>BD87*VLOOKUP('Données projet'!$B$11,Paramètres!$A$1:$I$89,3,0)*VLOOKUP('Données projet'!$B$11,Paramètres!$A$1:$I$89,5,0)</f>
        <v>172.83570000000017</v>
      </c>
      <c r="BF87" s="13">
        <f t="shared" si="91"/>
        <v>43.724513283769518</v>
      </c>
      <c r="BG87" s="20">
        <f t="shared" si="61"/>
        <v>377.17570480256546</v>
      </c>
      <c r="BH87" s="59">
        <f t="shared" si="62"/>
        <v>670.50903813589878</v>
      </c>
      <c r="BI87" s="59">
        <f ca="1">AVERAGE(OFFSET($BH$3,0,0,'Données projet'!$E$11+1,1))-AVERAGE(OFFSET($H$3,0,0,'Données projet'!$E$11+1,1))</f>
        <v>183.67580045784649</v>
      </c>
      <c r="BJ87" s="59">
        <f t="shared" si="92"/>
        <v>121.08269345608767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32.353022402404143</v>
      </c>
      <c r="BQ87" s="21">
        <f>EXP(-LN(2)/25)*BQ86+(1-EXP(-LN(2)/25))/(LN(2)/25)*Calculateur!BL87*Calculateur!BN87*VLOOKUP('Données projet'!$B$11,Paramètres!$A$1:$I$89,3,0)*0.475*44/12</f>
        <v>19.784516295126942</v>
      </c>
      <c r="BR87" s="21">
        <f>EXP(-LN(2)/2)*BR86+(1-EXP(-LN(2)/2))/(LN(2)/2)*BL87*BO87*VLOOKUP('Données projet'!$B$11,Paramètres!$A$1:$I$89,3,0)*0.475*44/12</f>
        <v>0.14735864099773141</v>
      </c>
      <c r="BS87" s="22">
        <f t="shared" si="63"/>
        <v>52.284897338528815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2.8</v>
      </c>
      <c r="BY87" s="12">
        <f>IF('Données projet'!$A$114&gt;35,BY86+BX87-CG86,IF(A87&lt;'Données projet'!$A$114,$BV$205^A87,IF(A87='Données projet'!$A$114,'Données projet'!$B$114,BY86+BX87-CG86)))</f>
        <v>208.19999999999996</v>
      </c>
      <c r="BZ87" s="13">
        <f>BY87*VLOOKUP('Données projet'!$B$12,Paramètres!$A$1:$I$89,3,0)*VLOOKUP('Données projet'!$B$12,Paramètres!$A$1:$I$89,5,0)</f>
        <v>181.88351999999998</v>
      </c>
      <c r="CA87" s="13">
        <f t="shared" si="93"/>
        <v>45.740980450513447</v>
      </c>
      <c r="CB87" s="20">
        <f t="shared" si="64"/>
        <v>396.4460049513109</v>
      </c>
      <c r="CC87" s="59">
        <f t="shared" si="65"/>
        <v>689.77933828464415</v>
      </c>
      <c r="CD87" s="59">
        <f ca="1">AVERAGE(OFFSET($CC$3,0,0,'Données projet'!$E$12+1,1))-AVERAGE(OFFSET($H$3,0,0,'Données projet'!$E$12+1,1))</f>
        <v>216.10252108537389</v>
      </c>
      <c r="CE87" s="59">
        <f t="shared" si="94"/>
        <v>196.91968622092054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10.070900930198794</v>
      </c>
      <c r="CL87" s="21">
        <f>EXP(-LN(2)/25)*CL86+(1-EXP(-LN(2)/25))/(LN(2)/25)*Calculateur!CG87*Calculateur!CI87*VLOOKUP('Données projet'!$B$12,Paramètres!$A$1:$I$89,3,0)*0.475*44/12</f>
        <v>12.836377393246616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22.907278323445411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250.98717948717945</v>
      </c>
      <c r="CR87" s="12">
        <f>VLOOKUP(A87,'Données projet'!$A$139:$I$159,9,0)</f>
        <v>6.5339743589743566</v>
      </c>
      <c r="CS87" s="12">
        <f t="array" ref="CS87">INDEX(CR:CR,MIN(IF(ISNUMBER(CR87:CR283),ROW(CR87:CR283),"")))</f>
        <v>6.5339743589743566</v>
      </c>
      <c r="CT87" s="12">
        <f>IF('Données projet'!$A$140&gt;35,CT86+CS87-DB86,IF(A87&lt;'Données projet'!$A$140,$CQ$205^A87,IF(A87='Données projet'!$A$140,'Données projet'!$B$140,CT86+CS87-DB86)))</f>
        <v>250.9871794871795</v>
      </c>
      <c r="CU87" s="17">
        <f>CT87*VLOOKUP('Données projet'!$B$13,Paramètres!$A$1:$I$89,3,0)*VLOOKUP('Données projet'!$B$13,Paramètres!$A$1:$I$89,5,0)</f>
        <v>227.09320000000002</v>
      </c>
      <c r="CV87" s="13">
        <f t="shared" si="95"/>
        <v>55.653698916736445</v>
      </c>
      <c r="CW87" s="20">
        <f t="shared" si="67"/>
        <v>492.45084894664933</v>
      </c>
      <c r="CX87" s="59">
        <f t="shared" si="68"/>
        <v>785.78418227998259</v>
      </c>
      <c r="CY87" s="59">
        <f ca="1">AVERAGE(OFFSET($CX$3,0,0,'Données projet'!$E$13+1,1))-AVERAGE(OFFSET($H$3,0,0,'Données projet'!$E$13+1,1))</f>
        <v>318.01858325056168</v>
      </c>
      <c r="CZ87" s="59">
        <f t="shared" si="96"/>
        <v>119.46953274700951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47.256410256410255</v>
      </c>
      <c r="DC87" s="16">
        <f>IF(ISNA(VLOOKUP(A87,'Données projet'!$A$139:$I$159,5,0)),0%,VLOOKUP(A87,'Données projet'!$A$139:$I$159,5,0)*VLOOKUP('Données projet'!$B$13,Paramètres!$A$1:$I$89,7,0))</f>
        <v>0.30099999999999999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14.227445350275339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14.227445350275339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39.780000000000058</v>
      </c>
      <c r="D88" s="11">
        <f t="shared" si="86"/>
        <v>11.940317178785941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399.24455366080423</v>
      </c>
      <c r="H88" s="67">
        <f t="shared" si="56"/>
        <v>383.41288575305225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200.15574321350221</v>
      </c>
      <c r="T88" s="59">
        <f t="shared" si="88"/>
        <v>200.70728852570426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79.066460679899933</v>
      </c>
      <c r="AA88" s="21">
        <f>EXP(-LN(2)/25)*AA87+(1-EXP(-LN(2)/25))/(LN(2)/25)*Calculateur!V88*Calculateur!X88*VLOOKUP('Données projet'!$B$9,Paramètres!$A$1:$I$89,3,0)*0.475*44/12</f>
        <v>18.069091507140833</v>
      </c>
      <c r="AB88" s="21">
        <f>EXP(-LN(2)/2)*AB87+(1-EXP(-LN(2)/2))/(LN(2)/2)*V88*Y88*VLOOKUP('Données projet'!$B$9,Paramètres!$A$1:$I$89,3,0)*0.475*44/12</f>
        <v>5.517858133130325E-3</v>
      </c>
      <c r="AC88" s="22">
        <f t="shared" si="57"/>
        <v>97.14107004517389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45.407317338461951</v>
      </c>
      <c r="AO88" s="59">
        <f t="shared" si="90"/>
        <v>149.88701606165358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9.9032748822430001</v>
      </c>
      <c r="AV88" s="21">
        <f>EXP(-LN(2)/25)*AV87+(1-EXP(-LN(2)/25))/(LN(2)/25)*Calculateur!AQ88*Calculateur!AS88*VLOOKUP('Données projet'!$B$10,Paramètres!$A$1:$I$89,3,0)*0.475*44/12</f>
        <v>1.2630961523868405</v>
      </c>
      <c r="AW88" s="21">
        <f>EXP(-LN(2)/2)*AW87+(1-EXP(-LN(2)/2))/(LN(2)/2)*AQ88*AT88*VLOOKUP('Données projet'!$B$10,Paramètres!$A$1:$I$89,3,0)*0.475*44/12</f>
        <v>1.800565117965543E-9</v>
      </c>
      <c r="AX88" s="21">
        <f t="shared" si="60"/>
        <v>11.166371036430405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378.83076923076919</v>
      </c>
      <c r="BB88" s="12">
        <f>VLOOKUP(A88,'Données projet'!$A$87:$I$107,9,0)</f>
        <v>9.5237179487179446</v>
      </c>
      <c r="BC88" s="12">
        <f t="array" ref="BC88">INDEX(BB:BB,MIN(IF(ISNUMBER(BB88:BB284),ROW(BB88:BB284),"")))</f>
        <v>9.5237179487179446</v>
      </c>
      <c r="BD88" s="12">
        <f>IF('Données projet'!$A$88&gt;35,BD87+BC88-BL87,IF(A88&lt;'Données projet'!$A$88,$BA$205^A88,IF(A88='Données projet'!$A$88,'Données projet'!$B$88,BD87+BC88-BL87)))</f>
        <v>378.83076923076965</v>
      </c>
      <c r="BE88" s="13">
        <f>BD88*VLOOKUP('Données projet'!$B$11,Paramètres!$A$1:$I$89,3,0)*VLOOKUP('Données projet'!$B$11,Paramètres!$A$1:$I$89,5,0)</f>
        <v>177.2928000000002</v>
      </c>
      <c r="BF88" s="13">
        <f t="shared" si="91"/>
        <v>44.719353857403945</v>
      </c>
      <c r="BG88" s="20">
        <f t="shared" si="61"/>
        <v>386.67116796831215</v>
      </c>
      <c r="BH88" s="59">
        <f t="shared" si="62"/>
        <v>680.0045013016454</v>
      </c>
      <c r="BI88" s="59">
        <f ca="1">AVERAGE(OFFSET($BH$3,0,0,'Données projet'!$E$11+1,1))-AVERAGE(OFFSET($H$3,0,0,'Données projet'!$E$11+1,1))</f>
        <v>183.67580045784649</v>
      </c>
      <c r="BJ88" s="59">
        <f t="shared" si="92"/>
        <v>121.08269345608767</v>
      </c>
      <c r="BK88" s="15">
        <f>IF(ISNA(VLOOKUP(A88,'Données projet'!$A$87:$I$107,3,0)),0,VLOOKUP(A88,'Données projet'!$A$87:$I$107,3,0))</f>
        <v>4</v>
      </c>
      <c r="BL88" s="15">
        <f>IF(ISNA(VLOOKUP(A88,'Données projet'!$A$87:$I$107,4,0)),0,VLOOKUP(A88,'Données projet'!$A$87:$I$107,4,0))</f>
        <v>85.207692307692298</v>
      </c>
      <c r="BM88" s="16">
        <f>IF(ISNA(VLOOKUP(A88,'Données projet'!$A$87:$I$107,5,0)),0%,VLOOKUP(A88,'Données projet'!$A$87:$I$107,5,0)*VLOOKUP('Données projet'!$B$11,Paramètres!$A$1:$I$89,7,0))</f>
        <v>0.38500000000000001</v>
      </c>
      <c r="BN88" s="16">
        <f>IF(ISNA(VLOOKUP(A88,'Données projet'!$A$87:$I$107,6,0)),0%,VLOOKUP(A88,'Données projet'!$A$87:$I$107,6,0)*VLOOKUP('Données projet'!$B$11,Paramètres!$A$1:$I$89,7,0))</f>
        <v>9.240000000000001E-2</v>
      </c>
      <c r="BO88" s="16">
        <f>IF(ISNA(VLOOKUP(A88,'Données projet'!$A$87:$I$107,7,0)),0%,VLOOKUP(A88,'Données projet'!$A$87:$I$107,7,0))</f>
        <v>0.13200000000000001</v>
      </c>
      <c r="BP88" s="21">
        <f>EXP(-LN(2)/35)*BP87+(1-EXP(-LN(2)/35))/(LN(2)/35)*BL88*BM88*VLOOKUP('Données projet'!$B$11,Paramètres!$A$1:$I$89,3,0)*0.475*44/12</f>
        <v>52.084974665932798</v>
      </c>
      <c r="BQ88" s="21">
        <f>EXP(-LN(2)/25)*BQ87+(1-EXP(-LN(2)/25))/(LN(2)/25)*Calculateur!BL88*Calculateur!BN88*VLOOKUP('Données projet'!$B$11,Paramètres!$A$1:$I$89,3,0)*0.475*44/12</f>
        <v>24.11219208534061</v>
      </c>
      <c r="BR88" s="21">
        <f>EXP(-LN(2)/2)*BR87+(1-EXP(-LN(2)/2))/(LN(2)/2)*BL88*BO88*VLOOKUP('Données projet'!$B$11,Paramètres!$A$1:$I$89,3,0)*0.475*44/12</f>
        <v>6.0640317926056841</v>
      </c>
      <c r="BS88" s="22">
        <f t="shared" si="63"/>
        <v>82.261198543879104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211</v>
      </c>
      <c r="BW88" s="12">
        <f>VLOOKUP(A88,'Données projet'!$A$113:$I$133,9,0)</f>
        <v>2.8</v>
      </c>
      <c r="BX88" s="12">
        <f t="array" ref="BX88">INDEX(BW:BW,MIN(IF(ISNUMBER(BW88:BW284),ROW(BW88:BW284),"")))</f>
        <v>2.8</v>
      </c>
      <c r="BY88" s="12">
        <f>IF('Données projet'!$A$114&gt;35,BY87+BX88-CG87,IF(A88&lt;'Données projet'!$A$114,$BV$205^A88,IF(A88='Données projet'!$A$114,'Données projet'!$B$114,BY87+BX88-CG87)))</f>
        <v>210.99999999999997</v>
      </c>
      <c r="BZ88" s="13">
        <f>BY88*VLOOKUP('Données projet'!$B$12,Paramètres!$A$1:$I$89,3,0)*VLOOKUP('Données projet'!$B$12,Paramètres!$A$1:$I$89,5,0)</f>
        <v>184.3296</v>
      </c>
      <c r="CA88" s="13">
        <f t="shared" si="93"/>
        <v>46.284105851003062</v>
      </c>
      <c r="CB88" s="20">
        <f t="shared" si="64"/>
        <v>401.65220435716361</v>
      </c>
      <c r="CC88" s="59">
        <f t="shared" si="65"/>
        <v>694.98553769049693</v>
      </c>
      <c r="CD88" s="59">
        <f ca="1">AVERAGE(OFFSET($CC$3,0,0,'Données projet'!$E$12+1,1))-AVERAGE(OFFSET($H$3,0,0,'Données projet'!$E$12+1,1))</f>
        <v>216.10252108537389</v>
      </c>
      <c r="CE88" s="59">
        <f t="shared" si="94"/>
        <v>196.91968622092054</v>
      </c>
      <c r="CF88" s="15">
        <f>IF(ISNA(VLOOKUP(A88,'Données projet'!$A$113:$I$133,3,0)),0,VLOOKUP(A88,'Données projet'!$A$113:$I$133,3,0))</f>
        <v>14</v>
      </c>
      <c r="CG88" s="15" t="str">
        <f>IF(ISNA(VLOOKUP(A88,'Données projet'!$A$113:$I$133,4,0)),0,VLOOKUP(A88,'Données projet'!$A$113:$I$133,4,0))</f>
        <v>10</v>
      </c>
      <c r="CH88" s="16">
        <f>IF(ISNA(VLOOKUP(A88,'Données projet'!$A$113:$I$133,5,0)),0%,VLOOKUP(A88,'Données projet'!$A$113:$I$133,5,0)*VLOOKUP('Données projet'!$B$12,Paramètres!$A$1:$I$89,7,0))</f>
        <v>0.215</v>
      </c>
      <c r="CI88" s="16">
        <f>IF(ISNA(VLOOKUP(A88,'Données projet'!$A$113:$I$133,6,0)),0%,VLOOKUP(A88,'Données projet'!$A$113:$I$133,6,0)*VLOOKUP('Données projet'!$B$12,Paramètres!$A$1:$I$89,7,0))</f>
        <v>0.17200000000000001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11.949755391254595</v>
      </c>
      <c r="CL88" s="21">
        <f>EXP(-LN(2)/25)*CL87+(1-EXP(-LN(2)/25))/(LN(2)/25)*Calculateur!CG88*Calculateur!CI88*VLOOKUP('Données projet'!$B$12,Paramètres!$A$1:$I$89,3,0)*0.475*44/12</f>
        <v>14.139896657673725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26.089652048928322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6.2512820512820522</v>
      </c>
      <c r="CT88" s="12">
        <f>IF('Données projet'!$A$140&gt;35,CT87+CS88-DB87,IF(A88&lt;'Données projet'!$A$140,$CQ$205^A88,IF(A88='Données projet'!$A$140,'Données projet'!$B$140,CT87+CS88-DB87)))</f>
        <v>209.98205128205129</v>
      </c>
      <c r="CU88" s="17">
        <f>CT88*VLOOKUP('Données projet'!$B$13,Paramètres!$A$1:$I$89,3,0)*VLOOKUP('Données projet'!$B$13,Paramètres!$A$1:$I$89,5,0)</f>
        <v>189.99176</v>
      </c>
      <c r="CV88" s="13">
        <f t="shared" si="95"/>
        <v>47.538131099623079</v>
      </c>
      <c r="CW88" s="20">
        <f t="shared" si="67"/>
        <v>413.69789366517688</v>
      </c>
      <c r="CX88" s="59">
        <f t="shared" si="68"/>
        <v>707.03122699851019</v>
      </c>
      <c r="CY88" s="59">
        <f ca="1">AVERAGE(OFFSET($CX$3,0,0,'Données projet'!$E$13+1,1))-AVERAGE(OFFSET($H$3,0,0,'Données projet'!$E$13+1,1))</f>
        <v>318.01858325056168</v>
      </c>
      <c r="CZ88" s="59">
        <f t="shared" si="96"/>
        <v>119.46953274700951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13.948453824841232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13.948453824841232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40.248000000000062</v>
      </c>
      <c r="D89" s="11">
        <f t="shared" si="86"/>
        <v>12.064355669675374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403.81467534486302</v>
      </c>
      <c r="H89" s="67">
        <f t="shared" si="56"/>
        <v>384.44401945801803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200.15574321350221</v>
      </c>
      <c r="T89" s="59">
        <f t="shared" si="88"/>
        <v>200.70728852570426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77.516015611746212</v>
      </c>
      <c r="AA89" s="21">
        <f>EXP(-LN(2)/25)*AA88+(1-EXP(-LN(2)/25))/(LN(2)/25)*Calculateur!V89*Calculateur!X89*VLOOKUP('Données projet'!$B$9,Paramètres!$A$1:$I$89,3,0)*0.475*44/12</f>
        <v>17.574991249665842</v>
      </c>
      <c r="AB89" s="21">
        <f>EXP(-LN(2)/2)*AB88+(1-EXP(-LN(2)/2))/(LN(2)/2)*V89*Y89*VLOOKUP('Données projet'!$B$9,Paramètres!$A$1:$I$89,3,0)*0.475*44/12</f>
        <v>3.9017149035617967E-3</v>
      </c>
      <c r="AC89" s="22">
        <f t="shared" si="57"/>
        <v>95.094908576315618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45.407317338461951</v>
      </c>
      <c r="AO89" s="59">
        <f t="shared" si="90"/>
        <v>149.88701606165358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9.7090777022034533</v>
      </c>
      <c r="AV89" s="21">
        <f>EXP(-LN(2)/25)*AV88+(1-EXP(-LN(2)/25))/(LN(2)/25)*Calculateur!AQ89*Calculateur!AS89*VLOOKUP('Données projet'!$B$10,Paramètres!$A$1:$I$89,3,0)*0.475*44/12</f>
        <v>1.2285567216764826</v>
      </c>
      <c r="AW89" s="21">
        <f>EXP(-LN(2)/2)*AW88+(1-EXP(-LN(2)/2))/(LN(2)/2)*AQ89*AT89*VLOOKUP('Données projet'!$B$10,Paramètres!$A$1:$I$89,3,0)*0.475*44/12</f>
        <v>1.2731918048813915E-9</v>
      </c>
      <c r="AX89" s="21">
        <f t="shared" si="60"/>
        <v>10.937634425153128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8.7211538461538485</v>
      </c>
      <c r="BD89" s="12">
        <f>IF('Données projet'!$A$88&gt;35,BD88+BC89-BL88,IF(A89&lt;'Données projet'!$A$88,$BA$205^A89,IF(A89='Données projet'!$A$88,'Données projet'!$B$88,BD88+BC89-BL88)))</f>
        <v>302.34423076923122</v>
      </c>
      <c r="BE89" s="13">
        <f>BD89*VLOOKUP('Données projet'!$B$11,Paramètres!$A$1:$I$89,3,0)*VLOOKUP('Données projet'!$B$11,Paramètres!$A$1:$I$89,5,0)</f>
        <v>141.49710000000022</v>
      </c>
      <c r="BF89" s="13">
        <f t="shared" si="91"/>
        <v>36.639757477223711</v>
      </c>
      <c r="BG89" s="20">
        <f t="shared" si="61"/>
        <v>310.25502677283174</v>
      </c>
      <c r="BH89" s="59">
        <f t="shared" si="62"/>
        <v>603.58836010616506</v>
      </c>
      <c r="BI89" s="59">
        <f ca="1">AVERAGE(OFFSET($BH$3,0,0,'Données projet'!$E$11+1,1))-AVERAGE(OFFSET($H$3,0,0,'Données projet'!$E$11+1,1))</f>
        <v>183.67580045784649</v>
      </c>
      <c r="BJ89" s="59">
        <f t="shared" si="92"/>
        <v>121.08269345608767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51.063620081431502</v>
      </c>
      <c r="BQ89" s="21">
        <f>EXP(-LN(2)/25)*BQ88+(1-EXP(-LN(2)/25))/(LN(2)/25)*Calculateur!BL89*Calculateur!BN89*VLOOKUP('Données projet'!$B$11,Paramètres!$A$1:$I$89,3,0)*0.475*44/12</f>
        <v>23.452842924761899</v>
      </c>
      <c r="BR89" s="21">
        <f>EXP(-LN(2)/2)*BR88+(1-EXP(-LN(2)/2))/(LN(2)/2)*BL89*BO89*VLOOKUP('Données projet'!$B$11,Paramètres!$A$1:$I$89,3,0)*0.475*44/12</f>
        <v>4.2879180018822955</v>
      </c>
      <c r="BS89" s="22">
        <f t="shared" si="63"/>
        <v>78.804381008075694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2.8</v>
      </c>
      <c r="BY89" s="12">
        <f>IF('Données projet'!$A$114&gt;35,BY88+BX89-CG88,IF(A89&lt;'Données projet'!$A$114,$BV$205^A89,IF(A89='Données projet'!$A$114,'Données projet'!$B$114,BY88+BX89-CG88)))</f>
        <v>203.79999999999998</v>
      </c>
      <c r="BZ89" s="13">
        <f>BY89*VLOOKUP('Données projet'!$B$12,Paramètres!$A$1:$I$89,3,0)*VLOOKUP('Données projet'!$B$12,Paramètres!$A$1:$I$89,5,0)</f>
        <v>178.03968</v>
      </c>
      <c r="CA89" s="13">
        <f t="shared" si="93"/>
        <v>44.885773518007284</v>
      </c>
      <c r="CB89" s="20">
        <f t="shared" si="64"/>
        <v>388.26183154386268</v>
      </c>
      <c r="CC89" s="59">
        <f t="shared" si="65"/>
        <v>681.595164877196</v>
      </c>
      <c r="CD89" s="59">
        <f ca="1">AVERAGE(OFFSET($CC$3,0,0,'Données projet'!$E$12+1,1))-AVERAGE(OFFSET($H$3,0,0,'Données projet'!$E$12+1,1))</f>
        <v>216.10252108537389</v>
      </c>
      <c r="CE89" s="59">
        <f t="shared" si="94"/>
        <v>196.91968622092054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11.715427976663188</v>
      </c>
      <c r="CL89" s="21">
        <f>EXP(-LN(2)/25)*CL88+(1-EXP(-LN(2)/25))/(LN(2)/25)*Calculateur!CG89*Calculateur!CI89*VLOOKUP('Données projet'!$B$12,Paramètres!$A$1:$I$89,3,0)*0.475*44/12</f>
        <v>13.75324043998479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25.468668416647979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6.2512820512820522</v>
      </c>
      <c r="CT89" s="12">
        <f>IF('Données projet'!$A$140&gt;35,CT88+CS89-DB88,IF(A89&lt;'Données projet'!$A$140,$CQ$205^A89,IF(A89='Données projet'!$A$140,'Données projet'!$B$140,CT88+CS89-DB88)))</f>
        <v>216.23333333333335</v>
      </c>
      <c r="CU89" s="17">
        <f>CT89*VLOOKUP('Données projet'!$B$13,Paramètres!$A$1:$I$89,3,0)*VLOOKUP('Données projet'!$B$13,Paramètres!$A$1:$I$89,5,0)</f>
        <v>195.64792</v>
      </c>
      <c r="CV89" s="13">
        <f t="shared" si="95"/>
        <v>48.786491034291537</v>
      </c>
      <c r="CW89" s="20">
        <f t="shared" si="67"/>
        <v>425.72326588472441</v>
      </c>
      <c r="CX89" s="59">
        <f t="shared" si="68"/>
        <v>719.05659921805773</v>
      </c>
      <c r="CY89" s="59">
        <f ca="1">AVERAGE(OFFSET($CX$3,0,0,'Données projet'!$E$13+1,1))-AVERAGE(OFFSET($H$3,0,0,'Données projet'!$E$13+1,1))</f>
        <v>318.01858325056168</v>
      </c>
      <c r="CZ89" s="59">
        <f t="shared" si="96"/>
        <v>119.46953274700951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13.674933153052862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13.674933153052862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40.716000000000065</v>
      </c>
      <c r="D90" s="11">
        <f t="shared" si="86"/>
        <v>12.188226385475193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408.38350192296684</v>
      </c>
      <c r="H90" s="67">
        <f t="shared" si="56"/>
        <v>385.47486095470271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200.15574321350221</v>
      </c>
      <c r="T90" s="59">
        <f t="shared" si="88"/>
        <v>200.70728852570426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75.995973825700872</v>
      </c>
      <c r="AA90" s="21">
        <f>EXP(-LN(2)/25)*AA89+(1-EXP(-LN(2)/25))/(LN(2)/25)*Calculateur!V90*Calculateur!X90*VLOOKUP('Données projet'!$B$9,Paramètres!$A$1:$I$89,3,0)*0.475*44/12</f>
        <v>17.094402189715108</v>
      </c>
      <c r="AB90" s="21">
        <f>EXP(-LN(2)/2)*AB89+(1-EXP(-LN(2)/2))/(LN(2)/2)*V90*Y90*VLOOKUP('Données projet'!$B$9,Paramètres!$A$1:$I$89,3,0)*0.475*44/12</f>
        <v>2.7589290665651629E-3</v>
      </c>
      <c r="AC90" s="22">
        <f t="shared" si="57"/>
        <v>93.093134944482543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45.407317338461951</v>
      </c>
      <c r="AO90" s="59">
        <f t="shared" si="90"/>
        <v>149.88701606165358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9.5186886104158983</v>
      </c>
      <c r="AV90" s="21">
        <f>EXP(-LN(2)/25)*AV89+(1-EXP(-LN(2)/25))/(LN(2)/25)*Calculateur!AQ90*Calculateur!AS90*VLOOKUP('Données projet'!$B$10,Paramètres!$A$1:$I$89,3,0)*0.475*44/12</f>
        <v>1.1949617735152491</v>
      </c>
      <c r="AW90" s="21">
        <f>EXP(-LN(2)/2)*AW89+(1-EXP(-LN(2)/2))/(LN(2)/2)*AQ90*AT90*VLOOKUP('Données projet'!$B$10,Paramètres!$A$1:$I$89,3,0)*0.475*44/12</f>
        <v>9.0028255898277169E-10</v>
      </c>
      <c r="AX90" s="21">
        <f t="shared" si="60"/>
        <v>10.71365038483143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8.7211538461538485</v>
      </c>
      <c r="BD90" s="12">
        <f>IF('Données projet'!$A$88&gt;35,BD89+BC90-BL89,IF(A90&lt;'Données projet'!$A$88,$BA$205^A90,IF(A90='Données projet'!$A$88,'Données projet'!$B$88,BD89+BC90-BL89)))</f>
        <v>311.06538461538508</v>
      </c>
      <c r="BE90" s="13">
        <f>BD90*VLOOKUP('Données projet'!$B$11,Paramètres!$A$1:$I$89,3,0)*VLOOKUP('Données projet'!$B$11,Paramètres!$A$1:$I$89,5,0)</f>
        <v>145.57860000000022</v>
      </c>
      <c r="BF90" s="13">
        <f t="shared" si="91"/>
        <v>37.572063695955627</v>
      </c>
      <c r="BG90" s="20">
        <f t="shared" si="61"/>
        <v>318.98740593712301</v>
      </c>
      <c r="BH90" s="59">
        <f t="shared" si="62"/>
        <v>612.32073927045633</v>
      </c>
      <c r="BI90" s="59">
        <f ca="1">AVERAGE(OFFSET($BH$3,0,0,'Données projet'!$E$11+1,1))-AVERAGE(OFFSET($H$3,0,0,'Données projet'!$E$11+1,1))</f>
        <v>183.67580045784649</v>
      </c>
      <c r="BJ90" s="59">
        <f t="shared" si="92"/>
        <v>121.08269345608767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50.062293637367496</v>
      </c>
      <c r="BQ90" s="21">
        <f>EXP(-LN(2)/25)*BQ89+(1-EXP(-LN(2)/25))/(LN(2)/25)*Calculateur!BL90*Calculateur!BN90*VLOOKUP('Données projet'!$B$11,Paramètres!$A$1:$I$89,3,0)*0.475*44/12</f>
        <v>22.811523701652877</v>
      </c>
      <c r="BR90" s="21">
        <f>EXP(-LN(2)/2)*BR89+(1-EXP(-LN(2)/2))/(LN(2)/2)*BL90*BO90*VLOOKUP('Données projet'!$B$11,Paramètres!$A$1:$I$89,3,0)*0.475*44/12</f>
        <v>3.0320158963028425</v>
      </c>
      <c r="BS90" s="22">
        <f t="shared" si="63"/>
        <v>75.905833235323215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2.8</v>
      </c>
      <c r="BY90" s="12">
        <f>IF('Données projet'!$A$114&gt;35,BY89+BX90-CG89,IF(A90&lt;'Données projet'!$A$114,$BV$205^A90,IF(A90='Données projet'!$A$114,'Données projet'!$B$114,BY89+BX90-CG89)))</f>
        <v>206.6</v>
      </c>
      <c r="BZ90" s="13">
        <f>BY90*VLOOKUP('Données projet'!$B$12,Paramètres!$A$1:$I$89,3,0)*VLOOKUP('Données projet'!$B$12,Paramètres!$A$1:$I$89,5,0)</f>
        <v>180.48576000000003</v>
      </c>
      <c r="CA90" s="13">
        <f t="shared" si="93"/>
        <v>45.430241859839441</v>
      </c>
      <c r="CB90" s="20">
        <f t="shared" si="64"/>
        <v>393.47036990588708</v>
      </c>
      <c r="CC90" s="59">
        <f t="shared" si="65"/>
        <v>686.80370323922034</v>
      </c>
      <c r="CD90" s="59">
        <f ca="1">AVERAGE(OFFSET($CC$3,0,0,'Données projet'!$E$12+1,1))-AVERAGE(OFFSET($H$3,0,0,'Données projet'!$E$12+1,1))</f>
        <v>216.10252108537389</v>
      </c>
      <c r="CE90" s="59">
        <f t="shared" si="94"/>
        <v>196.91968622092054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11.485695579746309</v>
      </c>
      <c r="CL90" s="21">
        <f>EXP(-LN(2)/25)*CL89+(1-EXP(-LN(2)/25))/(LN(2)/25)*Calculateur!CG90*Calculateur!CI90*VLOOKUP('Données projet'!$B$12,Paramètres!$A$1:$I$89,3,0)*0.475*44/12</f>
        <v>13.377157356901925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24.862852936648235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6.2512820512820522</v>
      </c>
      <c r="CT90" s="12">
        <f>IF('Données projet'!$A$140&gt;35,CT89+CS90-DB89,IF(A90&lt;'Données projet'!$A$140,$CQ$205^A90,IF(A90='Données projet'!$A$140,'Données projet'!$B$140,CT89+CS90-DB89)))</f>
        <v>222.48461538461541</v>
      </c>
      <c r="CU90" s="17">
        <f>CT90*VLOOKUP('Données projet'!$B$13,Paramètres!$A$1:$I$89,3,0)*VLOOKUP('Données projet'!$B$13,Paramètres!$A$1:$I$89,5,0)</f>
        <v>201.30408000000003</v>
      </c>
      <c r="CV90" s="13">
        <f t="shared" si="95"/>
        <v>50.030656541767812</v>
      </c>
      <c r="CW90" s="20">
        <f t="shared" si="67"/>
        <v>437.74133281024564</v>
      </c>
      <c r="CX90" s="59">
        <f t="shared" si="68"/>
        <v>731.07466614357895</v>
      </c>
      <c r="CY90" s="59">
        <f ca="1">AVERAGE(OFFSET($CX$3,0,0,'Données projet'!$E$13+1,1))-AVERAGE(OFFSET($H$3,0,0,'Données projet'!$E$13+1,1))</f>
        <v>318.01858325056168</v>
      </c>
      <c r="CZ90" s="59">
        <f t="shared" si="96"/>
        <v>119.46953274700951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13.406776054807125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13.406776054807125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41.184000000000069</v>
      </c>
      <c r="D91" s="11">
        <f t="shared" si="86"/>
        <v>12.311931477761863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412.95105000377634</v>
      </c>
      <c r="H91" s="67">
        <f t="shared" si="56"/>
        <v>386.50541399043533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200.15574321350221</v>
      </c>
      <c r="T91" s="59">
        <f t="shared" si="88"/>
        <v>200.70728852570426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74.50573913194593</v>
      </c>
      <c r="AA91" s="21">
        <f>EXP(-LN(2)/25)*AA90+(1-EXP(-LN(2)/25))/(LN(2)/25)*Calculateur!V91*Calculateur!X91*VLOOKUP('Données projet'!$B$9,Paramètres!$A$1:$I$89,3,0)*0.475*44/12</f>
        <v>16.626954862881806</v>
      </c>
      <c r="AB91" s="21">
        <f>EXP(-LN(2)/2)*AB90+(1-EXP(-LN(2)/2))/(LN(2)/2)*V91*Y91*VLOOKUP('Données projet'!$B$9,Paramètres!$A$1:$I$89,3,0)*0.475*44/12</f>
        <v>1.9508574517808986E-3</v>
      </c>
      <c r="AC91" s="22">
        <f t="shared" si="57"/>
        <v>91.134644852279507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45.407317338461951</v>
      </c>
      <c r="AO91" s="59">
        <f t="shared" si="90"/>
        <v>149.88701606165358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9.3320329325924174</v>
      </c>
      <c r="AV91" s="21">
        <f>EXP(-LN(2)/25)*AV90+(1-EXP(-LN(2)/25))/(LN(2)/25)*Calculateur!AQ91*Calculateur!AS91*VLOOKUP('Données projet'!$B$10,Paramètres!$A$1:$I$89,3,0)*0.475*44/12</f>
        <v>1.1622854809781662</v>
      </c>
      <c r="AW91" s="21">
        <f>EXP(-LN(2)/2)*AW90+(1-EXP(-LN(2)/2))/(LN(2)/2)*AQ91*AT91*VLOOKUP('Données projet'!$B$10,Paramètres!$A$1:$I$89,3,0)*0.475*44/12</f>
        <v>6.3659590244069586E-10</v>
      </c>
      <c r="AX91" s="21">
        <f t="shared" si="60"/>
        <v>10.49431841420718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8.7211538461538485</v>
      </c>
      <c r="BD91" s="12">
        <f>IF('Données projet'!$A$88&gt;35,BD90+BC91-BL90,IF(A91&lt;'Données projet'!$A$88,$BA$205^A91,IF(A91='Données projet'!$A$88,'Données projet'!$B$88,BD90+BC91-BL90)))</f>
        <v>319.78653846153895</v>
      </c>
      <c r="BE91" s="13">
        <f>BD91*VLOOKUP('Données projet'!$B$11,Paramètres!$A$1:$I$89,3,0)*VLOOKUP('Données projet'!$B$11,Paramètres!$A$1:$I$89,5,0)</f>
        <v>149.66010000000023</v>
      </c>
      <c r="BF91" s="13">
        <f t="shared" si="91"/>
        <v>38.501331930603563</v>
      </c>
      <c r="BG91" s="20">
        <f t="shared" si="61"/>
        <v>327.71449394580162</v>
      </c>
      <c r="BH91" s="59">
        <f t="shared" si="62"/>
        <v>621.04782727913494</v>
      </c>
      <c r="BI91" s="59">
        <f ca="1">AVERAGE(OFFSET($BH$3,0,0,'Données projet'!$E$11+1,1))-AVERAGE(OFFSET($H$3,0,0,'Données projet'!$E$11+1,1))</f>
        <v>183.67580045784649</v>
      </c>
      <c r="BJ91" s="59">
        <f t="shared" si="92"/>
        <v>121.08269345608767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49.080602594122759</v>
      </c>
      <c r="BQ91" s="21">
        <f>EXP(-LN(2)/25)*BQ90+(1-EXP(-LN(2)/25))/(LN(2)/25)*Calculateur!BL91*Calculateur!BN91*VLOOKUP('Données projet'!$B$11,Paramètres!$A$1:$I$89,3,0)*0.475*44/12</f>
        <v>22.187741386425284</v>
      </c>
      <c r="BR91" s="21">
        <f>EXP(-LN(2)/2)*BR90+(1-EXP(-LN(2)/2))/(LN(2)/2)*BL91*BO91*VLOOKUP('Données projet'!$B$11,Paramètres!$A$1:$I$89,3,0)*0.475*44/12</f>
        <v>2.1439590009411478</v>
      </c>
      <c r="BS91" s="22">
        <f t="shared" si="63"/>
        <v>73.412302981489191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2.8</v>
      </c>
      <c r="BY91" s="12">
        <f>IF('Données projet'!$A$114&gt;35,BY90+BX91-CG90,IF(A91&lt;'Données projet'!$A$114,$BV$205^A91,IF(A91='Données projet'!$A$114,'Données projet'!$B$114,BY90+BX91-CG90)))</f>
        <v>209.4</v>
      </c>
      <c r="BZ91" s="13">
        <f>BY91*VLOOKUP('Données projet'!$B$12,Paramètres!$A$1:$I$89,3,0)*VLOOKUP('Données projet'!$B$12,Paramètres!$A$1:$I$89,5,0)</f>
        <v>182.93184000000002</v>
      </c>
      <c r="CA91" s="13">
        <f t="shared" si="93"/>
        <v>45.973851929814685</v>
      </c>
      <c r="CB91" s="20">
        <f t="shared" si="64"/>
        <v>398.67741344442726</v>
      </c>
      <c r="CC91" s="59">
        <f t="shared" si="65"/>
        <v>692.01074677776057</v>
      </c>
      <c r="CD91" s="59">
        <f ca="1">AVERAGE(OFFSET($CC$3,0,0,'Données projet'!$E$12+1,1))-AVERAGE(OFFSET($H$3,0,0,'Données projet'!$E$12+1,1))</f>
        <v>216.10252108537389</v>
      </c>
      <c r="CE91" s="59">
        <f t="shared" si="94"/>
        <v>196.91968622092054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11.260468095010044</v>
      </c>
      <c r="CL91" s="21">
        <f>EXP(-LN(2)/25)*CL90+(1-EXP(-LN(2)/25))/(LN(2)/25)*Calculateur!CG91*Calculateur!CI91*VLOOKUP('Données projet'!$B$12,Paramètres!$A$1:$I$89,3,0)*0.475*44/12</f>
        <v>13.011358285503311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24.271826380513353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6.2512820512820522</v>
      </c>
      <c r="CT91" s="12">
        <f>IF('Données projet'!$A$140&gt;35,CT90+CS91-DB90,IF(A91&lt;'Données projet'!$A$140,$CQ$205^A91,IF(A91='Données projet'!$A$140,'Données projet'!$B$140,CT90+CS91-DB90)))</f>
        <v>228.73589743589747</v>
      </c>
      <c r="CU91" s="17">
        <f>CT91*VLOOKUP('Données projet'!$B$13,Paramètres!$A$1:$I$89,3,0)*VLOOKUP('Données projet'!$B$13,Paramètres!$A$1:$I$89,5,0)</f>
        <v>206.96024000000003</v>
      </c>
      <c r="CV91" s="13">
        <f t="shared" si="95"/>
        <v>51.270759013587337</v>
      </c>
      <c r="CW91" s="20">
        <f t="shared" si="67"/>
        <v>449.75232328199803</v>
      </c>
      <c r="CX91" s="59">
        <f t="shared" si="68"/>
        <v>743.08565661533135</v>
      </c>
      <c r="CY91" s="59">
        <f ca="1">AVERAGE(OFFSET($CX$3,0,0,'Données projet'!$E$13+1,1))-AVERAGE(OFFSET($H$3,0,0,'Données projet'!$E$13+1,1))</f>
        <v>318.01858325056168</v>
      </c>
      <c r="CZ91" s="59">
        <f t="shared" si="96"/>
        <v>119.46953274700951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13.143877353698306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13.143877353698306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41.652000000000072</v>
      </c>
      <c r="D92" s="11">
        <f t="shared" si="86"/>
        <v>12.435473046397316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417.51733579675187</v>
      </c>
      <c r="H92" s="67">
        <f t="shared" si="56"/>
        <v>387.53568222247543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200.15574321350221</v>
      </c>
      <c r="T92" s="59">
        <f t="shared" si="88"/>
        <v>200.70728852570426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73.044727031582113</v>
      </c>
      <c r="AA92" s="21">
        <f>EXP(-LN(2)/25)*AA91+(1-EXP(-LN(2)/25))/(LN(2)/25)*Calculateur!V92*Calculateur!X92*VLOOKUP('Données projet'!$B$9,Paramètres!$A$1:$I$89,3,0)*0.475*44/12</f>
        <v>16.172289907782748</v>
      </c>
      <c r="AB92" s="21">
        <f>EXP(-LN(2)/2)*AB91+(1-EXP(-LN(2)/2))/(LN(2)/2)*V92*Y92*VLOOKUP('Données projet'!$B$9,Paramètres!$A$1:$I$89,3,0)*0.475*44/12</f>
        <v>1.3794645332825817E-3</v>
      </c>
      <c r="AC92" s="22">
        <f t="shared" si="57"/>
        <v>89.218396403898154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45.407317338461951</v>
      </c>
      <c r="AO92" s="59">
        <f t="shared" si="90"/>
        <v>149.88701606165358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9.1490374587623329</v>
      </c>
      <c r="AV92" s="21">
        <f>EXP(-LN(2)/25)*AV91+(1-EXP(-LN(2)/25))/(LN(2)/25)*Calculateur!AQ92*Calculateur!AS92*VLOOKUP('Données projet'!$B$10,Paramètres!$A$1:$I$89,3,0)*0.475*44/12</f>
        <v>1.1305027233788811</v>
      </c>
      <c r="AW92" s="21">
        <f>EXP(-LN(2)/2)*AW91+(1-EXP(-LN(2)/2))/(LN(2)/2)*AQ92*AT92*VLOOKUP('Données projet'!$B$10,Paramètres!$A$1:$I$89,3,0)*0.475*44/12</f>
        <v>4.501412794913859E-10</v>
      </c>
      <c r="AX92" s="21">
        <f t="shared" si="60"/>
        <v>10.279540182591356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8.7211538461538485</v>
      </c>
      <c r="BD92" s="12">
        <f>IF('Données projet'!$A$88&gt;35,BD91+BC92-BL91,IF(A92&lt;'Données projet'!$A$88,$BA$205^A92,IF(A92='Données projet'!$A$88,'Données projet'!$B$88,BD91+BC92-BL91)))</f>
        <v>328.50769230769282</v>
      </c>
      <c r="BE92" s="13">
        <f>BD92*VLOOKUP('Données projet'!$B$11,Paramètres!$A$1:$I$89,3,0)*VLOOKUP('Données projet'!$B$11,Paramètres!$A$1:$I$89,5,0)</f>
        <v>153.74160000000023</v>
      </c>
      <c r="BF92" s="13">
        <f t="shared" si="91"/>
        <v>39.427654552879716</v>
      </c>
      <c r="BG92" s="20">
        <f t="shared" si="61"/>
        <v>336.4364516795992</v>
      </c>
      <c r="BH92" s="59">
        <f t="shared" si="62"/>
        <v>629.76978501293252</v>
      </c>
      <c r="BI92" s="59">
        <f ca="1">AVERAGE(OFFSET($BH$3,0,0,'Données projet'!$E$11+1,1))-AVERAGE(OFFSET($H$3,0,0,'Données projet'!$E$11+1,1))</f>
        <v>183.67580045784649</v>
      </c>
      <c r="BJ92" s="59">
        <f t="shared" si="92"/>
        <v>121.08269345608767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48.118161913463638</v>
      </c>
      <c r="BQ92" s="21">
        <f>EXP(-LN(2)/25)*BQ91+(1-EXP(-LN(2)/25))/(LN(2)/25)*Calculateur!BL92*Calculateur!BN92*VLOOKUP('Données projet'!$B$11,Paramètres!$A$1:$I$89,3,0)*0.475*44/12</f>
        <v>21.581016431410877</v>
      </c>
      <c r="BR92" s="21">
        <f>EXP(-LN(2)/2)*BR91+(1-EXP(-LN(2)/2))/(LN(2)/2)*BL92*BO92*VLOOKUP('Données projet'!$B$11,Paramètres!$A$1:$I$89,3,0)*0.475*44/12</f>
        <v>1.5160079481514213</v>
      </c>
      <c r="BS92" s="22">
        <f t="shared" si="63"/>
        <v>71.215186293025937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2.8</v>
      </c>
      <c r="BY92" s="12">
        <f>IF('Données projet'!$A$114&gt;35,BY91+BX92-CG91,IF(A92&lt;'Données projet'!$A$114,$BV$205^A92,IF(A92='Données projet'!$A$114,'Données projet'!$B$114,BY91+BX92-CG91)))</f>
        <v>212.20000000000002</v>
      </c>
      <c r="BZ92" s="13">
        <f>BY92*VLOOKUP('Données projet'!$B$12,Paramètres!$A$1:$I$89,3,0)*VLOOKUP('Données projet'!$B$12,Paramètres!$A$1:$I$89,5,0)</f>
        <v>185.37792000000005</v>
      </c>
      <c r="CA92" s="13">
        <f t="shared" si="93"/>
        <v>46.516616531004161</v>
      </c>
      <c r="CB92" s="20">
        <f t="shared" si="64"/>
        <v>403.88298445816571</v>
      </c>
      <c r="CC92" s="59">
        <f t="shared" si="65"/>
        <v>697.21631779149902</v>
      </c>
      <c r="CD92" s="59">
        <f ca="1">AVERAGE(OFFSET($CC$3,0,0,'Données projet'!$E$12+1,1))-AVERAGE(OFFSET($H$3,0,0,'Données projet'!$E$12+1,1))</f>
        <v>216.10252108537389</v>
      </c>
      <c r="CE92" s="59">
        <f t="shared" si="94"/>
        <v>196.91968622092054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11.039657183874256</v>
      </c>
      <c r="CL92" s="21">
        <f>EXP(-LN(2)/25)*CL91+(1-EXP(-LN(2)/25))/(LN(2)/25)*Calculateur!CG92*Calculateur!CI92*VLOOKUP('Données projet'!$B$12,Paramètres!$A$1:$I$89,3,0)*0.475*44/12</f>
        <v>12.655562008948628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23.695219192822883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6.2512820512820522</v>
      </c>
      <c r="CT92" s="12">
        <f>IF('Données projet'!$A$140&gt;35,CT91+CS92-DB91,IF(A92&lt;'Données projet'!$A$140,$CQ$205^A92,IF(A92='Données projet'!$A$140,'Données projet'!$B$140,CT91+CS92-DB91)))</f>
        <v>234.98717948717953</v>
      </c>
      <c r="CU92" s="17">
        <f>CT92*VLOOKUP('Données projet'!$B$13,Paramètres!$A$1:$I$89,3,0)*VLOOKUP('Données projet'!$B$13,Paramètres!$A$1:$I$89,5,0)</f>
        <v>212.61640000000003</v>
      </c>
      <c r="CV92" s="13">
        <f t="shared" si="95"/>
        <v>52.506922250744786</v>
      </c>
      <c r="CW92" s="20">
        <f t="shared" si="67"/>
        <v>461.7564529200472</v>
      </c>
      <c r="CX92" s="59">
        <f t="shared" si="68"/>
        <v>755.08978625338045</v>
      </c>
      <c r="CY92" s="59">
        <f ca="1">AVERAGE(OFFSET($CX$3,0,0,'Données projet'!$E$13+1,1))-AVERAGE(OFFSET($H$3,0,0,'Données projet'!$E$13+1,1))</f>
        <v>318.01858325056168</v>
      </c>
      <c r="CZ92" s="59">
        <f t="shared" si="96"/>
        <v>119.46953274700951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12.886133935765857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12.886133935765857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42.120000000000076</v>
      </c>
      <c r="D93" s="11">
        <f t="shared" si="86"/>
        <v>12.558853141338776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422.08237512612442</v>
      </c>
      <c r="H93" s="67">
        <f t="shared" si="56"/>
        <v>388.56566922116514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200.15574321350221</v>
      </c>
      <c r="T93" s="59">
        <f t="shared" si="88"/>
        <v>200.70728852570426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71.61236448737705</v>
      </c>
      <c r="AA93" s="21">
        <f>EXP(-LN(2)/25)*AA92+(1-EXP(-LN(2)/25))/(LN(2)/25)*Calculateur!V93*Calculateur!X93*VLOOKUP('Données projet'!$B$9,Paramètres!$A$1:$I$89,3,0)*0.475*44/12</f>
        <v>15.730057789790665</v>
      </c>
      <c r="AB93" s="21">
        <f>EXP(-LN(2)/2)*AB92+(1-EXP(-LN(2)/2))/(LN(2)/2)*V93*Y93*VLOOKUP('Données projet'!$B$9,Paramètres!$A$1:$I$89,3,0)*0.475*44/12</f>
        <v>9.754287258904495E-4</v>
      </c>
      <c r="AC93" s="22">
        <f t="shared" si="57"/>
        <v>87.343397705893608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45.407317338461951</v>
      </c>
      <c r="AO93" s="59">
        <f t="shared" si="90"/>
        <v>149.88701606165358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8.9696304145578392</v>
      </c>
      <c r="AV93" s="21">
        <f>EXP(-LN(2)/25)*AV92+(1-EXP(-LN(2)/25))/(LN(2)/25)*Calculateur!AQ93*Calculateur!AS93*VLOOKUP('Données projet'!$B$10,Paramètres!$A$1:$I$89,3,0)*0.475*44/12</f>
        <v>1.0995890669575312</v>
      </c>
      <c r="AW93" s="21">
        <f>EXP(-LN(2)/2)*AW92+(1-EXP(-LN(2)/2))/(LN(2)/2)*AQ93*AT93*VLOOKUP('Données projet'!$B$10,Paramètres!$A$1:$I$89,3,0)*0.475*44/12</f>
        <v>3.1829795122034798E-10</v>
      </c>
      <c r="AX93" s="21">
        <f t="shared" si="60"/>
        <v>10.069219481833668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8.7211538461538485</v>
      </c>
      <c r="BD93" s="12">
        <f>IF('Données projet'!$A$88&gt;35,BD92+BC93-BL92,IF(A93&lt;'Données projet'!$A$88,$BA$205^A93,IF(A93='Données projet'!$A$88,'Données projet'!$B$88,BD92+BC93-BL92)))</f>
        <v>337.22884615384669</v>
      </c>
      <c r="BE93" s="13">
        <f>BD93*VLOOKUP('Données projet'!$B$11,Paramètres!$A$1:$I$89,3,0)*VLOOKUP('Données projet'!$B$11,Paramètres!$A$1:$I$89,5,0)</f>
        <v>157.82310000000024</v>
      </c>
      <c r="BF93" s="13">
        <f t="shared" si="91"/>
        <v>40.351118750694802</v>
      </c>
      <c r="BG93" s="20">
        <f t="shared" si="61"/>
        <v>345.15343099079388</v>
      </c>
      <c r="BH93" s="59">
        <f t="shared" si="62"/>
        <v>638.48676432412719</v>
      </c>
      <c r="BI93" s="59">
        <f ca="1">AVERAGE(OFFSET($BH$3,0,0,'Données projet'!$E$11+1,1))-AVERAGE(OFFSET($H$3,0,0,'Données projet'!$E$11+1,1))</f>
        <v>183.67580045784649</v>
      </c>
      <c r="BJ93" s="59">
        <f t="shared" si="92"/>
        <v>121.08269345608767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47.174594107521393</v>
      </c>
      <c r="BQ93" s="21">
        <f>EXP(-LN(2)/25)*BQ92+(1-EXP(-LN(2)/25))/(LN(2)/25)*Calculateur!BL93*Calculateur!BN93*VLOOKUP('Données projet'!$B$11,Paramètres!$A$1:$I$89,3,0)*0.475*44/12</f>
        <v>20.990882402197617</v>
      </c>
      <c r="BR93" s="21">
        <f>EXP(-LN(2)/2)*BR92+(1-EXP(-LN(2)/2))/(LN(2)/2)*BL93*BO93*VLOOKUP('Données projet'!$B$11,Paramètres!$A$1:$I$89,3,0)*0.475*44/12</f>
        <v>1.0719795004705739</v>
      </c>
      <c r="BS93" s="22">
        <f t="shared" si="63"/>
        <v>69.23745601018959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215</v>
      </c>
      <c r="BW93" s="12">
        <f>VLOOKUP(A93,'Données projet'!$A$113:$I$133,9,0)</f>
        <v>2.8</v>
      </c>
      <c r="BX93" s="12">
        <f t="array" ref="BX93">INDEX(BW:BW,MIN(IF(ISNUMBER(BW93:BW289),ROW(BW93:BW289),"")))</f>
        <v>2.8</v>
      </c>
      <c r="BY93" s="12">
        <f>IF('Données projet'!$A$114&gt;35,BY92+BX93-CG92,IF(A93&lt;'Données projet'!$A$114,$BV$205^A93,IF(A93='Données projet'!$A$114,'Données projet'!$B$114,BY92+BX93-CG92)))</f>
        <v>215.00000000000003</v>
      </c>
      <c r="BZ93" s="13">
        <f>BY93*VLOOKUP('Données projet'!$B$12,Paramètres!$A$1:$I$89,3,0)*VLOOKUP('Données projet'!$B$12,Paramètres!$A$1:$I$89,5,0)</f>
        <v>187.82400000000007</v>
      </c>
      <c r="CA93" s="13">
        <f t="shared" si="93"/>
        <v>47.05854810918273</v>
      </c>
      <c r="CB93" s="20">
        <f t="shared" si="64"/>
        <v>409.08710462349336</v>
      </c>
      <c r="CC93" s="59">
        <f t="shared" si="65"/>
        <v>702.42043795682662</v>
      </c>
      <c r="CD93" s="59">
        <f ca="1">AVERAGE(OFFSET($CC$3,0,0,'Données projet'!$E$12+1,1))-AVERAGE(OFFSET($H$3,0,0,'Données projet'!$E$12+1,1))</f>
        <v>216.10252108537389</v>
      </c>
      <c r="CE93" s="59">
        <f t="shared" si="94"/>
        <v>196.91968622092054</v>
      </c>
      <c r="CF93" s="15">
        <f>IF(ISNA(VLOOKUP(A93,'Données projet'!$A$113:$I$133,3,0)),0,VLOOKUP(A93,'Données projet'!$A$113:$I$133,3,0))</f>
        <v>15</v>
      </c>
      <c r="CG93" s="15" t="str">
        <f>IF(ISNA(VLOOKUP(A93,'Données projet'!$A$113:$I$133,4,0)),0,VLOOKUP(A93,'Données projet'!$A$113:$I$133,4,0))</f>
        <v>10</v>
      </c>
      <c r="CH93" s="16">
        <f>IF(ISNA(VLOOKUP(A93,'Données projet'!$A$113:$I$133,5,0)),0%,VLOOKUP(A93,'Données projet'!$A$113:$I$133,5,0)*VLOOKUP('Données projet'!$B$12,Paramètres!$A$1:$I$89,7,0))</f>
        <v>0.215</v>
      </c>
      <c r="CI93" s="16">
        <f>IF(ISNA(VLOOKUP(A93,'Données projet'!$A$113:$I$133,6,0)),0%,VLOOKUP(A93,'Données projet'!$A$113:$I$133,6,0)*VLOOKUP('Données projet'!$B$12,Paramètres!$A$1:$I$89,7,0))</f>
        <v>0.17200000000000001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12.899514925678453</v>
      </c>
      <c r="CL93" s="21">
        <f>EXP(-LN(2)/25)*CL92+(1-EXP(-LN(2)/25))/(LN(2)/25)*Calculateur!CG93*Calculateur!CI93*VLOOKUP('Données projet'!$B$12,Paramètres!$A$1:$I$89,3,0)*0.475*44/12</f>
        <v>13.964025679568033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26.863540605246484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6.2512820512820522</v>
      </c>
      <c r="CT93" s="12">
        <f>IF('Données projet'!$A$140&gt;35,CT92+CS93-DB92,IF(A93&lt;'Données projet'!$A$140,$CQ$205^A93,IF(A93='Données projet'!$A$140,'Données projet'!$B$140,CT92+CS93-DB92)))</f>
        <v>241.23846153846159</v>
      </c>
      <c r="CU93" s="17">
        <f>CT93*VLOOKUP('Données projet'!$B$13,Paramètres!$A$1:$I$89,3,0)*VLOOKUP('Données projet'!$B$13,Paramètres!$A$1:$I$89,5,0)</f>
        <v>218.27256000000003</v>
      </c>
      <c r="CV93" s="13">
        <f t="shared" si="95"/>
        <v>53.739263092310814</v>
      </c>
      <c r="CW93" s="20">
        <f t="shared" si="67"/>
        <v>473.75392521910811</v>
      </c>
      <c r="CX93" s="59">
        <f t="shared" si="68"/>
        <v>767.08725855244143</v>
      </c>
      <c r="CY93" s="59">
        <f ca="1">AVERAGE(OFFSET($CX$3,0,0,'Données projet'!$E$13+1,1))-AVERAGE(OFFSET($H$3,0,0,'Données projet'!$E$13+1,1))</f>
        <v>318.01858325056168</v>
      </c>
      <c r="CZ93" s="59">
        <f t="shared" si="96"/>
        <v>119.46953274700951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12.633444709051101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12.633444709051101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42.588000000000079</v>
      </c>
      <c r="D94" s="11">
        <f t="shared" si="86"/>
        <v>12.682073764365786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426.64618344422774</v>
      </c>
      <c r="H94" s="67">
        <f t="shared" si="56"/>
        <v>389.59537847293717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200.15574321350221</v>
      </c>
      <c r="T94" s="59">
        <f t="shared" si="88"/>
        <v>200.70728852570426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70.208089699008951</v>
      </c>
      <c r="AA94" s="21">
        <f>EXP(-LN(2)/25)*AA93+(1-EXP(-LN(2)/25))/(LN(2)/25)*Calculateur!V94*Calculateur!X94*VLOOKUP('Données projet'!$B$9,Paramètres!$A$1:$I$89,3,0)*0.475*44/12</f>
        <v>15.299918532321051</v>
      </c>
      <c r="AB94" s="21">
        <f>EXP(-LN(2)/2)*AB93+(1-EXP(-LN(2)/2))/(LN(2)/2)*V94*Y94*VLOOKUP('Données projet'!$B$9,Paramètres!$A$1:$I$89,3,0)*0.475*44/12</f>
        <v>6.8973226664129094E-4</v>
      </c>
      <c r="AC94" s="22">
        <f t="shared" si="57"/>
        <v>85.508697963596632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45.407317338461951</v>
      </c>
      <c r="AO94" s="59">
        <f t="shared" si="90"/>
        <v>149.88701606165358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8.7937414330627028</v>
      </c>
      <c r="AV94" s="21">
        <f>EXP(-LN(2)/25)*AV93+(1-EXP(-LN(2)/25))/(LN(2)/25)*Calculateur!AQ94*Calculateur!AS94*VLOOKUP('Données projet'!$B$10,Paramètres!$A$1:$I$89,3,0)*0.475*44/12</f>
        <v>1.0695207460967016</v>
      </c>
      <c r="AW94" s="21">
        <f>EXP(-LN(2)/2)*AW93+(1-EXP(-LN(2)/2))/(LN(2)/2)*AQ94*AT94*VLOOKUP('Données projet'!$B$10,Paramètres!$A$1:$I$89,3,0)*0.475*44/12</f>
        <v>2.25070639745693E-10</v>
      </c>
      <c r="AX94" s="21">
        <f t="shared" si="60"/>
        <v>9.8632621793844759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8.7211538461538485</v>
      </c>
      <c r="BD94" s="12">
        <f>IF('Données projet'!$A$88&gt;35,BD93+BC94-BL93,IF(A94&lt;'Données projet'!$A$88,$BA$205^A94,IF(A94='Données projet'!$A$88,'Données projet'!$B$88,BD93+BC94-BL93)))</f>
        <v>345.95000000000056</v>
      </c>
      <c r="BE94" s="13">
        <f>BD94*VLOOKUP('Données projet'!$B$11,Paramètres!$A$1:$I$89,3,0)*VLOOKUP('Données projet'!$B$11,Paramètres!$A$1:$I$89,5,0)</f>
        <v>161.90460000000027</v>
      </c>
      <c r="BF94" s="13">
        <f t="shared" si="91"/>
        <v>41.27180694550065</v>
      </c>
      <c r="BG94" s="20">
        <f t="shared" si="61"/>
        <v>353.86557543008075</v>
      </c>
      <c r="BH94" s="59">
        <f t="shared" si="62"/>
        <v>647.19890876341401</v>
      </c>
      <c r="BI94" s="59">
        <f ca="1">AVERAGE(OFFSET($BH$3,0,0,'Données projet'!$E$11+1,1))-AVERAGE(OFFSET($H$3,0,0,'Données projet'!$E$11+1,1))</f>
        <v>183.67580045784649</v>
      </c>
      <c r="BJ94" s="59">
        <f t="shared" si="92"/>
        <v>121.08269345608767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46.249529090734143</v>
      </c>
      <c r="BQ94" s="21">
        <f>EXP(-LN(2)/25)*BQ93+(1-EXP(-LN(2)/25))/(LN(2)/25)*Calculateur!BL94*Calculateur!BN94*VLOOKUP('Données projet'!$B$11,Paramètres!$A$1:$I$89,3,0)*0.475*44/12</f>
        <v>20.416885619046994</v>
      </c>
      <c r="BR94" s="21">
        <f>EXP(-LN(2)/2)*BR93+(1-EXP(-LN(2)/2))/(LN(2)/2)*BL94*BO94*VLOOKUP('Données projet'!$B$11,Paramètres!$A$1:$I$89,3,0)*0.475*44/12</f>
        <v>0.75800397407571063</v>
      </c>
      <c r="BS94" s="22">
        <f t="shared" si="63"/>
        <v>67.424418683856842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2.8</v>
      </c>
      <c r="BY94" s="12">
        <f>IF('Données projet'!$A$114&gt;35,BY93+BX94-CG93,IF(A94&lt;'Données projet'!$A$114,$BV$205^A94,IF(A94='Données projet'!$A$114,'Données projet'!$B$114,BY93+BX94-CG93)))</f>
        <v>207.80000000000004</v>
      </c>
      <c r="BZ94" s="13">
        <f>BY94*VLOOKUP('Données projet'!$B$12,Paramètres!$A$1:$I$89,3,0)*VLOOKUP('Données projet'!$B$12,Paramètres!$A$1:$I$89,5,0)</f>
        <v>181.53408000000007</v>
      </c>
      <c r="CA94" s="13">
        <f t="shared" si="93"/>
        <v>45.663321943731901</v>
      </c>
      <c r="CB94" s="20">
        <f t="shared" si="64"/>
        <v>395.7021417186665</v>
      </c>
      <c r="CC94" s="59">
        <f t="shared" si="65"/>
        <v>689.03547505199981</v>
      </c>
      <c r="CD94" s="59">
        <f ca="1">AVERAGE(OFFSET($CC$3,0,0,'Données projet'!$E$12+1,1))-AVERAGE(OFFSET($H$3,0,0,'Données projet'!$E$12+1,1))</f>
        <v>216.10252108537389</v>
      </c>
      <c r="CE94" s="59">
        <f t="shared" si="94"/>
        <v>196.91968622092054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12.64656330591311</v>
      </c>
      <c r="CL94" s="21">
        <f>EXP(-LN(2)/25)*CL93+(1-EXP(-LN(2)/25))/(LN(2)/25)*Calculateur!CG94*Calculateur!CI94*VLOOKUP('Données projet'!$B$12,Paramètres!$A$1:$I$89,3,0)*0.475*44/12</f>
        <v>13.582178663024051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26.228741968937161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6.2512820512820522</v>
      </c>
      <c r="CT94" s="12">
        <f>IF('Données projet'!$A$140&gt;35,CT93+CS94-DB93,IF(A94&lt;'Données projet'!$A$140,$CQ$205^A94,IF(A94='Données projet'!$A$140,'Données projet'!$B$140,CT93+CS94-DB93)))</f>
        <v>247.48974358974365</v>
      </c>
      <c r="CU94" s="17">
        <f>CT94*VLOOKUP('Données projet'!$B$13,Paramètres!$A$1:$I$89,3,0)*VLOOKUP('Données projet'!$B$13,Paramètres!$A$1:$I$89,5,0)</f>
        <v>223.92872000000003</v>
      </c>
      <c r="CV94" s="13">
        <f t="shared" si="95"/>
        <v>54.967891977057093</v>
      </c>
      <c r="CW94" s="20">
        <f t="shared" si="67"/>
        <v>485.74493252670771</v>
      </c>
      <c r="CX94" s="59">
        <f t="shared" si="68"/>
        <v>779.07826586004103</v>
      </c>
      <c r="CY94" s="59">
        <f ca="1">AVERAGE(OFFSET($CX$3,0,0,'Données projet'!$E$13+1,1))-AVERAGE(OFFSET($H$3,0,0,'Données projet'!$E$13+1,1))</f>
        <v>318.01858325056168</v>
      </c>
      <c r="CZ94" s="59">
        <f t="shared" si="96"/>
        <v>119.46953274700951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12.385710563947013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12.385710563947013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43.056000000000083</v>
      </c>
      <c r="D95" s="11">
        <f t="shared" si="86"/>
        <v>12.805136870729203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431.20877584422607</v>
      </c>
      <c r="H95" s="67">
        <f t="shared" si="56"/>
        <v>390.62481338318679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200.15574321350221</v>
      </c>
      <c r="T95" s="59">
        <f t="shared" si="88"/>
        <v>200.70728852570426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68.831351882717712</v>
      </c>
      <c r="AA95" s="21">
        <f>EXP(-LN(2)/25)*AA94+(1-EXP(-LN(2)/25))/(LN(2)/25)*Calculateur!V95*Calculateur!X95*VLOOKUP('Données projet'!$B$9,Paramètres!$A$1:$I$89,3,0)*0.475*44/12</f>
        <v>14.881541455466985</v>
      </c>
      <c r="AB95" s="21">
        <f>EXP(-LN(2)/2)*AB94+(1-EXP(-LN(2)/2))/(LN(2)/2)*V95*Y95*VLOOKUP('Données projet'!$B$9,Paramètres!$A$1:$I$89,3,0)*0.475*44/12</f>
        <v>4.877143629452248E-4</v>
      </c>
      <c r="AC95" s="22">
        <f t="shared" si="57"/>
        <v>83.713381052547646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45.407317338461951</v>
      </c>
      <c r="AO95" s="59">
        <f t="shared" si="90"/>
        <v>149.88701606165358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8.6213015272130011</v>
      </c>
      <c r="AV95" s="21">
        <f>EXP(-LN(2)/25)*AV94+(1-EXP(-LN(2)/25))/(LN(2)/25)*Calculateur!AQ95*Calculateur!AS95*VLOOKUP('Données projet'!$B$10,Paramètres!$A$1:$I$89,3,0)*0.475*44/12</f>
        <v>1.0402746450510356</v>
      </c>
      <c r="AW95" s="21">
        <f>EXP(-LN(2)/2)*AW94+(1-EXP(-LN(2)/2))/(LN(2)/2)*AQ95*AT95*VLOOKUP('Données projet'!$B$10,Paramètres!$A$1:$I$89,3,0)*0.475*44/12</f>
        <v>1.5914897561017402E-10</v>
      </c>
      <c r="AX95" s="21">
        <f t="shared" si="60"/>
        <v>9.6615761724231852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8.7211538461538485</v>
      </c>
      <c r="BD95" s="12">
        <f>IF('Données projet'!$A$88&gt;35,BD94+BC95-BL94,IF(A95&lt;'Données projet'!$A$88,$BA$205^A95,IF(A95='Données projet'!$A$88,'Données projet'!$B$88,BD94+BC95-BL94)))</f>
        <v>354.67115384615443</v>
      </c>
      <c r="BE95" s="13">
        <f>BD95*VLOOKUP('Données projet'!$B$11,Paramètres!$A$1:$I$89,3,0)*VLOOKUP('Données projet'!$B$11,Paramètres!$A$1:$I$89,5,0)</f>
        <v>165.98610000000025</v>
      </c>
      <c r="BF95" s="13">
        <f t="shared" si="91"/>
        <v>42.189797166364926</v>
      </c>
      <c r="BG95" s="20">
        <f t="shared" si="61"/>
        <v>362.57302089808604</v>
      </c>
      <c r="BH95" s="59">
        <f t="shared" si="62"/>
        <v>655.9063542314193</v>
      </c>
      <c r="BI95" s="59">
        <f ca="1">AVERAGE(OFFSET($BH$3,0,0,'Données projet'!$E$11+1,1))-AVERAGE(OFFSET($H$3,0,0,'Données projet'!$E$11+1,1))</f>
        <v>183.67580045784649</v>
      </c>
      <c r="BJ95" s="59">
        <f t="shared" si="92"/>
        <v>121.08269345608767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45.342604034692144</v>
      </c>
      <c r="BQ95" s="21">
        <f>EXP(-LN(2)/25)*BQ94+(1-EXP(-LN(2)/25))/(LN(2)/25)*Calculateur!BL95*Calculateur!BN95*VLOOKUP('Données projet'!$B$11,Paramètres!$A$1:$I$89,3,0)*0.475*44/12</f>
        <v>19.858584808116802</v>
      </c>
      <c r="BR95" s="21">
        <f>EXP(-LN(2)/2)*BR94+(1-EXP(-LN(2)/2))/(LN(2)/2)*BL95*BO95*VLOOKUP('Données projet'!$B$11,Paramètres!$A$1:$I$89,3,0)*0.475*44/12</f>
        <v>0.53598975023528694</v>
      </c>
      <c r="BS95" s="22">
        <f t="shared" si="63"/>
        <v>65.737178593044234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2.8</v>
      </c>
      <c r="BY95" s="12">
        <f>IF('Données projet'!$A$114&gt;35,BY94+BX95-CG94,IF(A95&lt;'Données projet'!$A$114,$BV$205^A95,IF(A95='Données projet'!$A$114,'Données projet'!$B$114,BY94+BX95-CG94)))</f>
        <v>210.60000000000005</v>
      </c>
      <c r="BZ95" s="13">
        <f>BY95*VLOOKUP('Données projet'!$B$12,Paramètres!$A$1:$I$89,3,0)*VLOOKUP('Données projet'!$B$12,Paramètres!$A$1:$I$89,5,0)</f>
        <v>183.98016000000007</v>
      </c>
      <c r="CA95" s="13">
        <f t="shared" si="93"/>
        <v>46.206568123393758</v>
      </c>
      <c r="CB95" s="20">
        <f t="shared" si="64"/>
        <v>400.9085514815776</v>
      </c>
      <c r="CC95" s="59">
        <f t="shared" si="65"/>
        <v>694.24188481491092</v>
      </c>
      <c r="CD95" s="59">
        <f ca="1">AVERAGE(OFFSET($CC$3,0,0,'Données projet'!$E$12+1,1))-AVERAGE(OFFSET($H$3,0,0,'Données projet'!$E$12+1,1))</f>
        <v>216.10252108537389</v>
      </c>
      <c r="CE95" s="59">
        <f t="shared" si="94"/>
        <v>196.91968622092054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12.398571913126112</v>
      </c>
      <c r="CL95" s="21">
        <f>EXP(-LN(2)/25)*CL94+(1-EXP(-LN(2)/25))/(LN(2)/25)*Calculateur!CG95*Calculateur!CI95*VLOOKUP('Données projet'!$B$12,Paramètres!$A$1:$I$89,3,0)*0.475*44/12</f>
        <v>13.210773273227925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25.609345186354037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6.2512820512820522</v>
      </c>
      <c r="CT95" s="12">
        <f>IF('Données projet'!$A$140&gt;35,CT94+CS95-DB94,IF(A95&lt;'Données projet'!$A$140,$CQ$205^A95,IF(A95='Données projet'!$A$140,'Données projet'!$B$140,CT94+CS95-DB94)))</f>
        <v>253.74102564102571</v>
      </c>
      <c r="CU95" s="17">
        <f>CT95*VLOOKUP('Données projet'!$B$13,Paramètres!$A$1:$I$89,3,0)*VLOOKUP('Données projet'!$B$13,Paramètres!$A$1:$I$89,5,0)</f>
        <v>229.58488000000003</v>
      </c>
      <c r="CV95" s="13">
        <f t="shared" si="95"/>
        <v>56.192913446740498</v>
      </c>
      <c r="CW95" s="20">
        <f t="shared" si="67"/>
        <v>497.72965691973968</v>
      </c>
      <c r="CX95" s="59">
        <f t="shared" si="68"/>
        <v>791.06299025307294</v>
      </c>
      <c r="CY95" s="59">
        <f ca="1">AVERAGE(OFFSET($CX$3,0,0,'Données projet'!$E$13+1,1))-AVERAGE(OFFSET($H$3,0,0,'Données projet'!$E$13+1,1))</f>
        <v>318.01858325056168</v>
      </c>
      <c r="CZ95" s="59">
        <f t="shared" si="96"/>
        <v>119.46953274700951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12.142834334325508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12.142834334325508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43.524000000000086</v>
      </c>
      <c r="D96" s="11">
        <f t="shared" si="86"/>
        <v>12.928044370726413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435.77016707227472</v>
      </c>
      <c r="H96" s="67">
        <f t="shared" si="56"/>
        <v>391.65397727901529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200.15574321350221</v>
      </c>
      <c r="T96" s="59">
        <f t="shared" si="88"/>
        <v>200.70728852570426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67.481611055276787</v>
      </c>
      <c r="AA96" s="21">
        <f>EXP(-LN(2)/25)*AA95+(1-EXP(-LN(2)/25))/(LN(2)/25)*Calculateur!V96*Calculateur!X96*VLOOKUP('Données projet'!$B$9,Paramètres!$A$1:$I$89,3,0)*0.475*44/12</f>
        <v>14.474604921780987</v>
      </c>
      <c r="AB96" s="21">
        <f>EXP(-LN(2)/2)*AB95+(1-EXP(-LN(2)/2))/(LN(2)/2)*V96*Y96*VLOOKUP('Données projet'!$B$9,Paramètres!$A$1:$I$89,3,0)*0.475*44/12</f>
        <v>3.4486613332064553E-4</v>
      </c>
      <c r="AC96" s="22">
        <f t="shared" si="57"/>
        <v>81.956560843191099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45.407317338461951</v>
      </c>
      <c r="AO96" s="59">
        <f t="shared" si="90"/>
        <v>149.88701606165358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8.4522430627390541</v>
      </c>
      <c r="AV96" s="21">
        <f>EXP(-LN(2)/25)*AV95+(1-EXP(-LN(2)/25))/(LN(2)/25)*Calculateur!AQ96*Calculateur!AS96*VLOOKUP('Données projet'!$B$10,Paramètres!$A$1:$I$89,3,0)*0.475*44/12</f>
        <v>1.0118282801764491</v>
      </c>
      <c r="AW96" s="21">
        <f>EXP(-LN(2)/2)*AW95+(1-EXP(-LN(2)/2))/(LN(2)/2)*AQ96*AT96*VLOOKUP('Données projet'!$B$10,Paramètres!$A$1:$I$89,3,0)*0.475*44/12</f>
        <v>1.1253531987284651E-10</v>
      </c>
      <c r="AX96" s="21">
        <f t="shared" si="60"/>
        <v>9.4640713430280385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8.7211538461538485</v>
      </c>
      <c r="BD96" s="12">
        <f>IF('Données projet'!$A$88&gt;35,BD95+BC96-BL95,IF(A96&lt;'Données projet'!$A$88,$BA$205^A96,IF(A96='Données projet'!$A$88,'Données projet'!$B$88,BD95+BC96-BL95)))</f>
        <v>363.39230769230829</v>
      </c>
      <c r="BE96" s="13">
        <f>BD96*VLOOKUP('Données projet'!$B$11,Paramètres!$A$1:$I$89,3,0)*VLOOKUP('Données projet'!$B$11,Paramètres!$A$1:$I$89,5,0)</f>
        <v>170.06760000000031</v>
      </c>
      <c r="BF96" s="13">
        <f t="shared" si="91"/>
        <v>43.105163386216866</v>
      </c>
      <c r="BG96" s="20">
        <f t="shared" si="61"/>
        <v>371.27589623099493</v>
      </c>
      <c r="BH96" s="59">
        <f t="shared" si="62"/>
        <v>664.60922956432819</v>
      </c>
      <c r="BI96" s="59">
        <f ca="1">AVERAGE(OFFSET($BH$3,0,0,'Données projet'!$E$11+1,1))-AVERAGE(OFFSET($H$3,0,0,'Données projet'!$E$11+1,1))</f>
        <v>183.67580045784649</v>
      </c>
      <c r="BJ96" s="59">
        <f t="shared" si="92"/>
        <v>121.08269345608767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44.453463225829466</v>
      </c>
      <c r="BQ96" s="21">
        <f>EXP(-LN(2)/25)*BQ95+(1-EXP(-LN(2)/25))/(LN(2)/25)*Calculateur!BL96*Calculateur!BN96*VLOOKUP('Données projet'!$B$11,Paramètres!$A$1:$I$89,3,0)*0.475*44/12</f>
        <v>19.31555076222126</v>
      </c>
      <c r="BR96" s="21">
        <f>EXP(-LN(2)/2)*BR95+(1-EXP(-LN(2)/2))/(LN(2)/2)*BL96*BO96*VLOOKUP('Données projet'!$B$11,Paramètres!$A$1:$I$89,3,0)*0.475*44/12</f>
        <v>0.37900198703785531</v>
      </c>
      <c r="BS96" s="22">
        <f t="shared" si="63"/>
        <v>64.148015975088583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2.8</v>
      </c>
      <c r="BY96" s="12">
        <f>IF('Données projet'!$A$114&gt;35,BY95+BX96-CG95,IF(A96&lt;'Données projet'!$A$114,$BV$205^A96,IF(A96='Données projet'!$A$114,'Données projet'!$B$114,BY95+BX96-CG95)))</f>
        <v>213.40000000000006</v>
      </c>
      <c r="BZ96" s="13">
        <f>BY96*VLOOKUP('Données projet'!$B$12,Paramètres!$A$1:$I$89,3,0)*VLOOKUP('Données projet'!$B$12,Paramètres!$A$1:$I$89,5,0)</f>
        <v>186.42624000000009</v>
      </c>
      <c r="CA96" s="13">
        <f t="shared" si="93"/>
        <v>46.748974211060826</v>
      </c>
      <c r="CB96" s="20">
        <f t="shared" si="64"/>
        <v>406.11349808426439</v>
      </c>
      <c r="CC96" s="59">
        <f t="shared" si="65"/>
        <v>699.44683141759765</v>
      </c>
      <c r="CD96" s="59">
        <f ca="1">AVERAGE(OFFSET($CC$3,0,0,'Données projet'!$E$12+1,1))-AVERAGE(OFFSET($H$3,0,0,'Données projet'!$E$12+1,1))</f>
        <v>216.10252108537389</v>
      </c>
      <c r="CE96" s="59">
        <f t="shared" si="94"/>
        <v>196.91968622092054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12.155443480291853</v>
      </c>
      <c r="CL96" s="21">
        <f>EXP(-LN(2)/25)*CL95+(1-EXP(-LN(2)/25))/(LN(2)/25)*Calculateur!CG96*Calculateur!CI96*VLOOKUP('Données projet'!$B$12,Paramètres!$A$1:$I$89,3,0)*0.475*44/12</f>
        <v>12.849523983347135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25.004967463638987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6.2512820512820522</v>
      </c>
      <c r="CT96" s="12">
        <f>IF('Données projet'!$A$140&gt;35,CT95+CS96-DB95,IF(A96&lt;'Données projet'!$A$140,$CQ$205^A96,IF(A96='Données projet'!$A$140,'Données projet'!$B$140,CT95+CS96-DB95)))</f>
        <v>259.99230769230775</v>
      </c>
      <c r="CU96" s="17">
        <f>CT96*VLOOKUP('Données projet'!$B$13,Paramètres!$A$1:$I$89,3,0)*VLOOKUP('Données projet'!$B$13,Paramètres!$A$1:$I$89,5,0)</f>
        <v>235.24104000000005</v>
      </c>
      <c r="CV96" s="13">
        <f t="shared" si="95"/>
        <v>57.414426598394883</v>
      </c>
      <c r="CW96" s="20">
        <f t="shared" si="67"/>
        <v>509.70827099220446</v>
      </c>
      <c r="CX96" s="59">
        <f t="shared" si="68"/>
        <v>803.04160432553772</v>
      </c>
      <c r="CY96" s="59">
        <f ca="1">AVERAGE(OFFSET($CX$3,0,0,'Données projet'!$E$13+1,1))-AVERAGE(OFFSET($H$3,0,0,'Données projet'!$E$13+1,1))</f>
        <v>318.01858325056168</v>
      </c>
      <c r="CZ96" s="59">
        <f t="shared" si="96"/>
        <v>119.46953274700951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11.904720759427008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11.904720759427008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43.99200000000009</v>
      </c>
      <c r="D97" s="11">
        <f t="shared" si="86"/>
        <v>13.050798131206898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440.33037153914165</v>
      </c>
      <c r="H97" s="67">
        <f t="shared" si="56"/>
        <v>392.68287341185214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200.15574321350221</v>
      </c>
      <c r="T97" s="59">
        <f t="shared" si="88"/>
        <v>200.70728852570426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66.158337822201375</v>
      </c>
      <c r="AA97" s="21">
        <f>EXP(-LN(2)/25)*AA96+(1-EXP(-LN(2)/25))/(LN(2)/25)*Calculateur!V97*Calculateur!X97*VLOOKUP('Données projet'!$B$9,Paramètres!$A$1:$I$89,3,0)*0.475*44/12</f>
        <v>14.078796089008495</v>
      </c>
      <c r="AB97" s="21">
        <f>EXP(-LN(2)/2)*AB96+(1-EXP(-LN(2)/2))/(LN(2)/2)*V97*Y97*VLOOKUP('Données projet'!$B$9,Paramètres!$A$1:$I$89,3,0)*0.475*44/12</f>
        <v>2.4385718147261243E-4</v>
      </c>
      <c r="AC97" s="22">
        <f t="shared" si="57"/>
        <v>80.23737776839134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45.407317338461951</v>
      </c>
      <c r="AO97" s="59">
        <f t="shared" si="90"/>
        <v>149.88701606165358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8.2864997316379601</v>
      </c>
      <c r="AV97" s="21">
        <f>EXP(-LN(2)/25)*AV96+(1-EXP(-LN(2)/25))/(LN(2)/25)*Calculateur!AQ97*Calculateur!AS97*VLOOKUP('Données projet'!$B$10,Paramètres!$A$1:$I$89,3,0)*0.475*44/12</f>
        <v>0.98415978264528736</v>
      </c>
      <c r="AW97" s="21">
        <f>EXP(-LN(2)/2)*AW96+(1-EXP(-LN(2)/2))/(LN(2)/2)*AQ97*AT97*VLOOKUP('Données projet'!$B$10,Paramètres!$A$1:$I$89,3,0)*0.475*44/12</f>
        <v>7.9574487805087021E-11</v>
      </c>
      <c r="AX97" s="21">
        <f t="shared" si="60"/>
        <v>9.270659514362821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8.7211538461538485</v>
      </c>
      <c r="BD97" s="12">
        <f>IF('Données projet'!$A$88&gt;35,BD96+BC97-BL96,IF(A97&lt;'Données projet'!$A$88,$BA$205^A97,IF(A97='Données projet'!$A$88,'Données projet'!$B$88,BD96+BC97-BL96)))</f>
        <v>372.11346153846216</v>
      </c>
      <c r="BE97" s="13">
        <f>BD97*VLOOKUP('Données projet'!$B$11,Paramètres!$A$1:$I$89,3,0)*VLOOKUP('Données projet'!$B$11,Paramètres!$A$1:$I$89,5,0)</f>
        <v>174.14910000000029</v>
      </c>
      <c r="BF97" s="13">
        <f t="shared" si="91"/>
        <v>44.017975824904859</v>
      </c>
      <c r="BG97" s="20">
        <f t="shared" si="61"/>
        <v>379.97432372837642</v>
      </c>
      <c r="BH97" s="59">
        <f t="shared" si="62"/>
        <v>673.30765706170973</v>
      </c>
      <c r="BI97" s="59">
        <f ca="1">AVERAGE(OFFSET($BH$3,0,0,'Données projet'!$E$11+1,1))-AVERAGE(OFFSET($H$3,0,0,'Données projet'!$E$11+1,1))</f>
        <v>183.67580045784649</v>
      </c>
      <c r="BJ97" s="59">
        <f t="shared" si="92"/>
        <v>121.08269345608767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43.581757925906238</v>
      </c>
      <c r="BQ97" s="21">
        <f>EXP(-LN(2)/25)*BQ96+(1-EXP(-LN(2)/25))/(LN(2)/25)*Calculateur!BL97*Calculateur!BN97*VLOOKUP('Données projet'!$B$11,Paramètres!$A$1:$I$89,3,0)*0.475*44/12</f>
        <v>18.78736601086765</v>
      </c>
      <c r="BR97" s="21">
        <f>EXP(-LN(2)/2)*BR96+(1-EXP(-LN(2)/2))/(LN(2)/2)*BL97*BO97*VLOOKUP('Données projet'!$B$11,Paramètres!$A$1:$I$89,3,0)*0.475*44/12</f>
        <v>0.26799487511764347</v>
      </c>
      <c r="BS97" s="22">
        <f t="shared" si="63"/>
        <v>62.637118811891533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2.8</v>
      </c>
      <c r="BY97" s="12">
        <f>IF('Données projet'!$A$114&gt;35,BY96+BX97-CG96,IF(A97&lt;'Données projet'!$A$114,$BV$205^A97,IF(A97='Données projet'!$A$114,'Données projet'!$B$114,BY96+BX97-CG96)))</f>
        <v>216.20000000000007</v>
      </c>
      <c r="BZ97" s="13">
        <f>BY97*VLOOKUP('Données projet'!$B$12,Paramètres!$A$1:$I$89,3,0)*VLOOKUP('Données projet'!$B$12,Paramètres!$A$1:$I$89,5,0)</f>
        <v>188.87232000000009</v>
      </c>
      <c r="CA97" s="13">
        <f t="shared" si="93"/>
        <v>47.290552503862891</v>
      </c>
      <c r="CB97" s="20">
        <f t="shared" si="64"/>
        <v>411.31700294422802</v>
      </c>
      <c r="CC97" s="59">
        <f t="shared" si="65"/>
        <v>704.65033627756134</v>
      </c>
      <c r="CD97" s="59">
        <f ca="1">AVERAGE(OFFSET($CC$3,0,0,'Données projet'!$E$12+1,1))-AVERAGE(OFFSET($H$3,0,0,'Données projet'!$E$12+1,1))</f>
        <v>216.10252108537389</v>
      </c>
      <c r="CE97" s="59">
        <f t="shared" si="94"/>
        <v>196.91968622092054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11.917082647731771</v>
      </c>
      <c r="CL97" s="21">
        <f>EXP(-LN(2)/25)*CL96+(1-EXP(-LN(2)/25))/(LN(2)/25)*Calculateur!CG97*Calculateur!CI97*VLOOKUP('Données projet'!$B$12,Paramètres!$A$1:$I$89,3,0)*0.475*44/12</f>
        <v>12.498153074295409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24.41523572202718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>
        <f>VLOOKUP(A97,'Données projet'!$A$139:$I$159,2,0)</f>
        <v>266.24358974358972</v>
      </c>
      <c r="CR97" s="12">
        <f>VLOOKUP(A97,'Données projet'!$A$139:$I$159,9,0)</f>
        <v>6.2512820512820522</v>
      </c>
      <c r="CS97" s="12">
        <f t="array" ref="CS97">INDEX(CR:CR,MIN(IF(ISNUMBER(CR97:CR293),ROW(CR97:CR293),"")))</f>
        <v>6.2512820512820522</v>
      </c>
      <c r="CT97" s="12">
        <f>IF('Données projet'!$A$140&gt;35,CT96+CS97-DB96,IF(A97&lt;'Données projet'!$A$140,$CQ$205^A97,IF(A97='Données projet'!$A$140,'Données projet'!$B$140,CT96+CS97-DB96)))</f>
        <v>266.24358974358978</v>
      </c>
      <c r="CU97" s="17">
        <f>CT97*VLOOKUP('Données projet'!$B$13,Paramètres!$A$1:$I$89,3,0)*VLOOKUP('Données projet'!$B$13,Paramètres!$A$1:$I$89,5,0)</f>
        <v>240.8972</v>
      </c>
      <c r="CV97" s="13">
        <f t="shared" si="95"/>
        <v>58.632525491897368</v>
      </c>
      <c r="CW97" s="20">
        <f t="shared" si="67"/>
        <v>521.68093856505448</v>
      </c>
      <c r="CX97" s="59">
        <f t="shared" si="68"/>
        <v>815.01427189838773</v>
      </c>
      <c r="CY97" s="59">
        <f ca="1">AVERAGE(OFFSET($CX$3,0,0,'Données projet'!$E$13+1,1))-AVERAGE(OFFSET($H$3,0,0,'Données projet'!$E$13+1,1))</f>
        <v>318.01858325056168</v>
      </c>
      <c r="CZ97" s="59">
        <f t="shared" si="96"/>
        <v>119.46953274700951</v>
      </c>
      <c r="DA97" s="15">
        <f>IF(ISNA(VLOOKUP(A97,'Données projet'!$A$139:$I$159,3,0)),0,VLOOKUP(A97,'Données projet'!$A$139:$I$159,3,0))</f>
        <v>7</v>
      </c>
      <c r="DB97" s="15">
        <f>IF(ISNA(VLOOKUP(A97,'Données projet'!$A$139:$I$159,4,0)),0,VLOOKUP(A97,'Données projet'!$A$139:$I$159,4,0))</f>
        <v>47.243589743589745</v>
      </c>
      <c r="DC97" s="16">
        <f>IF(ISNA(VLOOKUP(A97,'Données projet'!$A$139:$I$159,5,0)),0%,VLOOKUP(A97,'Données projet'!$A$139:$I$159,5,0)*VLOOKUP('Données projet'!$B$13,Paramètres!$A$1:$I$89,7,0))</f>
        <v>0.30099999999999999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25.894861936395486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25.894861936395486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44.460000000000093</v>
      </c>
      <c r="D98" s="11">
        <f t="shared" si="86"/>
        <v>13.173399977011883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444.88940333132058</v>
      </c>
      <c r="H98" s="67">
        <f t="shared" si="56"/>
        <v>393.7115049599625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200.15574321350221</v>
      </c>
      <c r="T98" s="59">
        <f t="shared" si="88"/>
        <v>200.70728852570426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64.861013170109587</v>
      </c>
      <c r="AA98" s="21">
        <f>EXP(-LN(2)/25)*AA97+(1-EXP(-LN(2)/25))/(LN(2)/25)*Calculateur!V98*Calculateur!X98*VLOOKUP('Données projet'!$B$9,Paramètres!$A$1:$I$89,3,0)*0.475*44/12</f>
        <v>13.693810669582849</v>
      </c>
      <c r="AB98" s="21">
        <f>EXP(-LN(2)/2)*AB97+(1-EXP(-LN(2)/2))/(LN(2)/2)*V98*Y98*VLOOKUP('Données projet'!$B$9,Paramètres!$A$1:$I$89,3,0)*0.475*44/12</f>
        <v>1.7243306666032279E-4</v>
      </c>
      <c r="AC98" s="22">
        <f t="shared" si="57"/>
        <v>78.554996272759098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45.407317338461951</v>
      </c>
      <c r="AO98" s="59">
        <f t="shared" si="90"/>
        <v>149.88701606165358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8.1240065261663084</v>
      </c>
      <c r="AV98" s="21">
        <f>EXP(-LN(2)/25)*AV97+(1-EXP(-LN(2)/25))/(LN(2)/25)*Calculateur!AQ98*Calculateur!AS98*VLOOKUP('Données projet'!$B$10,Paramètres!$A$1:$I$89,3,0)*0.475*44/12</f>
        <v>0.95724788163413832</v>
      </c>
      <c r="AW98" s="21">
        <f>EXP(-LN(2)/2)*AW97+(1-EXP(-LN(2)/2))/(LN(2)/2)*AQ98*AT98*VLOOKUP('Données projet'!$B$10,Paramètres!$A$1:$I$89,3,0)*0.475*44/12</f>
        <v>5.6267659936423263E-11</v>
      </c>
      <c r="AX98" s="21">
        <f t="shared" si="60"/>
        <v>9.081254407856715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8.7211538461538485</v>
      </c>
      <c r="BD98" s="12">
        <f>IF('Données projet'!$A$88&gt;35,BD97+BC98-BL97,IF(A98&lt;'Données projet'!$A$88,$BA$205^A98,IF(A98='Données projet'!$A$88,'Données projet'!$B$88,BD97+BC98-BL97)))</f>
        <v>380.83461538461603</v>
      </c>
      <c r="BE98" s="13">
        <f>BD98*VLOOKUP('Données projet'!$B$11,Paramètres!$A$1:$I$89,3,0)*VLOOKUP('Données projet'!$B$11,Paramètres!$A$1:$I$89,5,0)</f>
        <v>178.23060000000029</v>
      </c>
      <c r="BF98" s="13">
        <f t="shared" si="91"/>
        <v>44.928301223043398</v>
      </c>
      <c r="BG98" s="20">
        <f t="shared" si="61"/>
        <v>388.66841963013439</v>
      </c>
      <c r="BH98" s="59">
        <f t="shared" si="62"/>
        <v>682.00175296346765</v>
      </c>
      <c r="BI98" s="59">
        <f ca="1">AVERAGE(OFFSET($BH$3,0,0,'Données projet'!$E$11+1,1))-AVERAGE(OFFSET($H$3,0,0,'Données projet'!$E$11+1,1))</f>
        <v>183.67580045784649</v>
      </c>
      <c r="BJ98" s="59">
        <f t="shared" si="92"/>
        <v>121.08269345608767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42.727146235226776</v>
      </c>
      <c r="BQ98" s="21">
        <f>EXP(-LN(2)/25)*BQ97+(1-EXP(-LN(2)/25))/(LN(2)/25)*Calculateur!BL98*Calculateur!BN98*VLOOKUP('Données projet'!$B$11,Paramètres!$A$1:$I$89,3,0)*0.475*44/12</f>
        <v>18.273624499315837</v>
      </c>
      <c r="BR98" s="21">
        <f>EXP(-LN(2)/2)*BR97+(1-EXP(-LN(2)/2))/(LN(2)/2)*BL98*BO98*VLOOKUP('Données projet'!$B$11,Paramètres!$A$1:$I$89,3,0)*0.475*44/12</f>
        <v>0.18950099351892766</v>
      </c>
      <c r="BS98" s="22">
        <f t="shared" si="63"/>
        <v>61.190271728061539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219</v>
      </c>
      <c r="BW98" s="12">
        <f>VLOOKUP(A98,'Données projet'!$A$113:$I$133,9,0)</f>
        <v>2.8</v>
      </c>
      <c r="BX98" s="12">
        <f t="array" ref="BX98">INDEX(BW:BW,MIN(IF(ISNUMBER(BW98:BW294),ROW(BW98:BW294),"")))</f>
        <v>2.8</v>
      </c>
      <c r="BY98" s="12">
        <f>IF('Données projet'!$A$114&gt;35,BY97+BX98-CG97,IF(A98&lt;'Données projet'!$A$114,$BV$205^A98,IF(A98='Données projet'!$A$114,'Données projet'!$B$114,BY97+BX98-CG97)))</f>
        <v>219.00000000000009</v>
      </c>
      <c r="BZ98" s="13">
        <f>BY98*VLOOKUP('Données projet'!$B$12,Paramètres!$A$1:$I$89,3,0)*VLOOKUP('Données projet'!$B$12,Paramètres!$A$1:$I$89,5,0)</f>
        <v>191.31840000000008</v>
      </c>
      <c r="CA98" s="13">
        <f t="shared" si="93"/>
        <v>47.831314962098396</v>
      </c>
      <c r="CB98" s="20">
        <f t="shared" si="64"/>
        <v>416.51908689232147</v>
      </c>
      <c r="CC98" s="59">
        <f t="shared" si="65"/>
        <v>709.85242022565478</v>
      </c>
      <c r="CD98" s="59">
        <f ca="1">AVERAGE(OFFSET($CC$3,0,0,'Données projet'!$E$12+1,1))-AVERAGE(OFFSET($H$3,0,0,'Données projet'!$E$12+1,1))</f>
        <v>216.10252108537389</v>
      </c>
      <c r="CE98" s="59">
        <f t="shared" si="94"/>
        <v>196.91968622092054</v>
      </c>
      <c r="CF98" s="15">
        <f>IF(ISNA(VLOOKUP(A98,'Données projet'!$A$113:$I$133,3,0)),0,VLOOKUP(A98,'Données projet'!$A$113:$I$133,3,0))</f>
        <v>16</v>
      </c>
      <c r="CG98" s="15" t="str">
        <f>IF(ISNA(VLOOKUP(A98,'Données projet'!$A$113:$I$133,4,0)),0,VLOOKUP(A98,'Données projet'!$A$113:$I$133,4,0))</f>
        <v>11</v>
      </c>
      <c r="CH98" s="16">
        <f>IF(ISNA(VLOOKUP(A98,'Données projet'!$A$113:$I$133,5,0)),0%,VLOOKUP(A98,'Données projet'!$A$113:$I$133,5,0)*VLOOKUP('Données projet'!$B$12,Paramètres!$A$1:$I$89,7,0))</f>
        <v>0.215</v>
      </c>
      <c r="CI98" s="16">
        <f>IF(ISNA(VLOOKUP(A98,'Données projet'!$A$113:$I$133,6,0)),0%,VLOOKUP(A98,'Données projet'!$A$113:$I$133,6,0)*VLOOKUP('Données projet'!$B$12,Paramètres!$A$1:$I$89,7,0))</f>
        <v>0.17200000000000001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13.967368479931807</v>
      </c>
      <c r="CL98" s="21">
        <f>EXP(-LN(2)/25)*CL97+(1-EXP(-LN(2)/25))/(LN(2)/25)*Calculateur!CG98*Calculateur!CI98*VLOOKUP('Données projet'!$B$12,Paramètres!$A$1:$I$89,3,0)*0.475*44/12</f>
        <v>13.976374168438802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27.943742648370609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6.071794871794876</v>
      </c>
      <c r="CT98" s="12">
        <f>IF('Données projet'!$A$140&gt;35,CT97+CS98-DB97,IF(A98&lt;'Données projet'!$A$140,$CQ$205^A98,IF(A98='Données projet'!$A$140,'Données projet'!$B$140,CT97+CS98-DB97)))</f>
        <v>225.07179487179488</v>
      </c>
      <c r="CU98" s="17">
        <f>CT98*VLOOKUP('Données projet'!$B$13,Paramètres!$A$1:$I$89,3,0)*VLOOKUP('Données projet'!$B$13,Paramètres!$A$1:$I$89,5,0)</f>
        <v>203.64496</v>
      </c>
      <c r="CV98" s="13">
        <f t="shared" si="95"/>
        <v>50.544375656527151</v>
      </c>
      <c r="CW98" s="20">
        <f t="shared" si="67"/>
        <v>442.71309293511808</v>
      </c>
      <c r="CX98" s="59">
        <f t="shared" si="68"/>
        <v>736.04642626845134</v>
      </c>
      <c r="CY98" s="59">
        <f ca="1">AVERAGE(OFFSET($CX$3,0,0,'Données projet'!$E$13+1,1))-AVERAGE(OFFSET($H$3,0,0,'Données projet'!$E$13+1,1))</f>
        <v>318.01858325056168</v>
      </c>
      <c r="CZ98" s="59">
        <f t="shared" si="96"/>
        <v>119.46953274700951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25.387079488128993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25.387079488128993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44.928000000000097</v>
      </c>
      <c r="D99" s="11">
        <f t="shared" si="86"/>
        <v>13.295851692351626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449.44727622166243</v>
      </c>
      <c r="H99" s="67">
        <f t="shared" si="56"/>
        <v>394.73987503084589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200.15574321350221</v>
      </c>
      <c r="T99" s="59">
        <f t="shared" si="88"/>
        <v>200.70728852570426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63.589128263155416</v>
      </c>
      <c r="AA99" s="21">
        <f>EXP(-LN(2)/25)*AA98+(1-EXP(-LN(2)/25))/(LN(2)/25)*Calculateur!V99*Calculateur!X99*VLOOKUP('Données projet'!$B$9,Paramètres!$A$1:$I$89,3,0)*0.475*44/12</f>
        <v>13.3193526966969</v>
      </c>
      <c r="AB99" s="21">
        <f>EXP(-LN(2)/2)*AB98+(1-EXP(-LN(2)/2))/(LN(2)/2)*V99*Y99*VLOOKUP('Données projet'!$B$9,Paramètres!$A$1:$I$89,3,0)*0.475*44/12</f>
        <v>1.2192859073630624E-4</v>
      </c>
      <c r="AC99" s="22">
        <f t="shared" si="57"/>
        <v>76.908602888443042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45.407317338461951</v>
      </c>
      <c r="AO99" s="59">
        <f t="shared" si="90"/>
        <v>149.88701606165358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7.9646997133428874</v>
      </c>
      <c r="AV99" s="21">
        <f>EXP(-LN(2)/25)*AV98+(1-EXP(-LN(2)/25))/(LN(2)/25)*Calculateur!AQ99*Calculateur!AS99*VLOOKUP('Données projet'!$B$10,Paramètres!$A$1:$I$89,3,0)*0.475*44/12</f>
        <v>0.93107188797137452</v>
      </c>
      <c r="AW99" s="21">
        <f>EXP(-LN(2)/2)*AW98+(1-EXP(-LN(2)/2))/(LN(2)/2)*AQ99*AT99*VLOOKUP('Données projet'!$B$10,Paramètres!$A$1:$I$89,3,0)*0.475*44/12</f>
        <v>3.978724390254351E-11</v>
      </c>
      <c r="AX99" s="21">
        <f t="shared" si="60"/>
        <v>8.8957716013540491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8.7211538461538485</v>
      </c>
      <c r="BD99" s="12">
        <f>IF('Données projet'!$A$88&gt;35,BD98+BC99-BL98,IF(A99&lt;'Données projet'!$A$88,$BA$205^A99,IF(A99='Données projet'!$A$88,'Données projet'!$B$88,BD98+BC99-BL98)))</f>
        <v>389.5557692307699</v>
      </c>
      <c r="BE99" s="13">
        <f>BD99*VLOOKUP('Données projet'!$B$11,Paramètres!$A$1:$I$89,3,0)*VLOOKUP('Données projet'!$B$11,Paramètres!$A$1:$I$89,5,0)</f>
        <v>182.31210000000033</v>
      </c>
      <c r="BF99" s="13">
        <f t="shared" si="91"/>
        <v>45.836203090068118</v>
      </c>
      <c r="BG99" s="20">
        <f t="shared" si="61"/>
        <v>397.35829454853587</v>
      </c>
      <c r="BH99" s="59">
        <f t="shared" si="62"/>
        <v>690.69162788186918</v>
      </c>
      <c r="BI99" s="59">
        <f ca="1">AVERAGE(OFFSET($BH$3,0,0,'Données projet'!$E$11+1,1))-AVERAGE(OFFSET($H$3,0,0,'Données projet'!$E$11+1,1))</f>
        <v>183.67580045784649</v>
      </c>
      <c r="BJ99" s="59">
        <f t="shared" si="92"/>
        <v>121.08269345608767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41.889292958539876</v>
      </c>
      <c r="BQ99" s="21">
        <f>EXP(-LN(2)/25)*BQ98+(1-EXP(-LN(2)/25))/(LN(2)/25)*Calculateur!BL99*Calculateur!BN99*VLOOKUP('Données projet'!$B$11,Paramètres!$A$1:$I$89,3,0)*0.475*44/12</f>
        <v>17.773931276413897</v>
      </c>
      <c r="BR99" s="21">
        <f>EXP(-LN(2)/2)*BR98+(1-EXP(-LN(2)/2))/(LN(2)/2)*BL99*BO99*VLOOKUP('Données projet'!$B$11,Paramètres!$A$1:$I$89,3,0)*0.475*44/12</f>
        <v>0.13399743755882174</v>
      </c>
      <c r="BS99" s="22">
        <f t="shared" si="63"/>
        <v>59.797221672512592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</v>
      </c>
      <c r="BY99" s="12">
        <f>IF('Données projet'!$A$114&gt;35,BY98+BX99-CG98,IF(A99&lt;'Données projet'!$A$114,$BV$205^A99,IF(A99='Données projet'!$A$114,'Données projet'!$B$114,BY98+BX99-CG98)))</f>
        <v>211.00000000000009</v>
      </c>
      <c r="BZ99" s="13">
        <f>BY99*VLOOKUP('Données projet'!$B$12,Paramètres!$A$1:$I$89,3,0)*VLOOKUP('Données projet'!$B$12,Paramètres!$A$1:$I$89,5,0)</f>
        <v>184.32960000000008</v>
      </c>
      <c r="CA99" s="13">
        <f t="shared" si="93"/>
        <v>46.284105851003098</v>
      </c>
      <c r="CB99" s="20">
        <f t="shared" si="64"/>
        <v>401.65220435716384</v>
      </c>
      <c r="CC99" s="59">
        <f t="shared" si="65"/>
        <v>694.98553769049715</v>
      </c>
      <c r="CD99" s="59">
        <f ca="1">AVERAGE(OFFSET($CC$3,0,0,'Données projet'!$E$12+1,1))-AVERAGE(OFFSET($H$3,0,0,'Données projet'!$E$12+1,1))</f>
        <v>216.10252108537389</v>
      </c>
      <c r="CE99" s="59">
        <f t="shared" si="94"/>
        <v>196.91968622092054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13.693476903293911</v>
      </c>
      <c r="CL99" s="21">
        <f>EXP(-LN(2)/25)*CL98+(1-EXP(-LN(2)/25))/(LN(2)/25)*Calculateur!CG99*Calculateur!CI99*VLOOKUP('Données projet'!$B$12,Paramètres!$A$1:$I$89,3,0)*0.475*44/12</f>
        <v>13.594189481817269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27.28766638511118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6.071794871794876</v>
      </c>
      <c r="CT99" s="12">
        <f>IF('Données projet'!$A$140&gt;35,CT98+CS99-DB98,IF(A99&lt;'Données projet'!$A$140,$CQ$205^A99,IF(A99='Données projet'!$A$140,'Données projet'!$B$140,CT98+CS99-DB98)))</f>
        <v>231.14358974358976</v>
      </c>
      <c r="CU99" s="17">
        <f>CT99*VLOOKUP('Données projet'!$B$13,Paramètres!$A$1:$I$89,3,0)*VLOOKUP('Données projet'!$B$13,Paramètres!$A$1:$I$89,5,0)</f>
        <v>209.13872000000001</v>
      </c>
      <c r="CV99" s="13">
        <f t="shared" si="95"/>
        <v>51.747329354497921</v>
      </c>
      <c r="CW99" s="20">
        <f t="shared" si="67"/>
        <v>454.37653595908381</v>
      </c>
      <c r="CX99" s="59">
        <f t="shared" si="68"/>
        <v>747.70986929241712</v>
      </c>
      <c r="CY99" s="59">
        <f ca="1">AVERAGE(OFFSET($CX$3,0,0,'Données projet'!$E$13+1,1))-AVERAGE(OFFSET($H$3,0,0,'Données projet'!$E$13+1,1))</f>
        <v>318.01858325056168</v>
      </c>
      <c r="CZ99" s="59">
        <f t="shared" si="96"/>
        <v>119.46953274700951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24.889254343956296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24.889254343956296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45.3960000000001</v>
      </c>
      <c r="D100" s="11">
        <f t="shared" si="86"/>
        <v>13.418155022123713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454.00400367955223</v>
      </c>
      <c r="H100" s="67">
        <f t="shared" si="56"/>
        <v>395.76798666353227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200.15574321350221</v>
      </c>
      <c r="T100" s="59">
        <f t="shared" si="88"/>
        <v>200.70728852570426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62.342184243453424</v>
      </c>
      <c r="AA100" s="21">
        <f>EXP(-LN(2)/25)*AA99+(1-EXP(-LN(2)/25))/(LN(2)/25)*Calculateur!V100*Calculateur!X100*VLOOKUP('Données projet'!$B$9,Paramètres!$A$1:$I$89,3,0)*0.475*44/12</f>
        <v>12.955134296771407</v>
      </c>
      <c r="AB100" s="21">
        <f>EXP(-LN(2)/2)*AB99+(1-EXP(-LN(2)/2))/(LN(2)/2)*V100*Y100*VLOOKUP('Données projet'!$B$9,Paramètres!$A$1:$I$89,3,0)*0.475*44/12</f>
        <v>8.6216533330161409E-5</v>
      </c>
      <c r="AC100" s="22">
        <f t="shared" si="57"/>
        <v>75.297404756758169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45.407317338461951</v>
      </c>
      <c r="AO100" s="59">
        <f t="shared" si="90"/>
        <v>149.88701606165358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7.8085168099513718</v>
      </c>
      <c r="AV100" s="21">
        <f>EXP(-LN(2)/25)*AV99+(1-EXP(-LN(2)/25))/(LN(2)/25)*Calculateur!AQ100*Calculateur!AS100*VLOOKUP('Données projet'!$B$10,Paramètres!$A$1:$I$89,3,0)*0.475*44/12</f>
        <v>0.90561167823185473</v>
      </c>
      <c r="AW100" s="21">
        <f>EXP(-LN(2)/2)*AW99+(1-EXP(-LN(2)/2))/(LN(2)/2)*AQ100*AT100*VLOOKUP('Données projet'!$B$10,Paramètres!$A$1:$I$89,3,0)*0.475*44/12</f>
        <v>2.8133829968211632E-11</v>
      </c>
      <c r="AX100" s="21">
        <f t="shared" si="60"/>
        <v>8.7141284882113599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>
        <f>VLOOKUP(A100,'Données projet'!$A$87:$I$107,2,0)</f>
        <v>398.27692307692308</v>
      </c>
      <c r="BB100" s="12">
        <f>VLOOKUP(A100,'Données projet'!$A$87:$I$107,9,0)</f>
        <v>8.7211538461538485</v>
      </c>
      <c r="BC100" s="12">
        <f t="array" ref="BC100">INDEX(BB:BB,MIN(IF(ISNUMBER(BB100:BB296),ROW(BB100:BB296),"")))</f>
        <v>8.7211538461538485</v>
      </c>
      <c r="BD100" s="12">
        <f>IF('Données projet'!$A$88&gt;35,BD99+BC100-BL99,IF(A100&lt;'Données projet'!$A$88,$BA$205^A100,IF(A100='Données projet'!$A$88,'Données projet'!$B$88,BD99+BC100-BL99)))</f>
        <v>398.27692307692377</v>
      </c>
      <c r="BE100" s="13">
        <f>BD100*VLOOKUP('Données projet'!$B$11,Paramètres!$A$1:$I$89,3,0)*VLOOKUP('Données projet'!$B$11,Paramètres!$A$1:$I$89,5,0)</f>
        <v>186.39360000000033</v>
      </c>
      <c r="BF100" s="13">
        <f t="shared" si="91"/>
        <v>46.741741929451443</v>
      </c>
      <c r="BG100" s="20">
        <f t="shared" si="61"/>
        <v>406.04405386046182</v>
      </c>
      <c r="BH100" s="59">
        <f t="shared" si="62"/>
        <v>699.37738719379513</v>
      </c>
      <c r="BI100" s="59">
        <f ca="1">AVERAGE(OFFSET($BH$3,0,0,'Données projet'!$E$11+1,1))-AVERAGE(OFFSET($H$3,0,0,'Données projet'!$E$11+1,1))</f>
        <v>183.67580045784649</v>
      </c>
      <c r="BJ100" s="59">
        <f t="shared" si="92"/>
        <v>121.08269345608767</v>
      </c>
      <c r="BK100" s="15">
        <f>IF(ISNA(VLOOKUP(A100,'Données projet'!$A$87:$I$107,3,0)),0,VLOOKUP(A100,'Données projet'!$A$87:$I$107,3,0))</f>
        <v>5</v>
      </c>
      <c r="BL100" s="15">
        <f>IF(ISNA(VLOOKUP(A100,'Données projet'!$A$87:$I$107,4,0)),0,VLOOKUP(A100,'Données projet'!$A$87:$I$107,4,0))</f>
        <v>79.669230769230765</v>
      </c>
      <c r="BM100" s="16">
        <f>IF(ISNA(VLOOKUP(A100,'Données projet'!$A$87:$I$107,5,0)),0%,VLOOKUP(A100,'Données projet'!$A$87:$I$107,5,0)*VLOOKUP('Données projet'!$B$11,Paramètres!$A$1:$I$89,7,0))</f>
        <v>0.38500000000000001</v>
      </c>
      <c r="BN100" s="16">
        <f>IF(ISNA(VLOOKUP(A100,'Données projet'!$A$87:$I$107,6,0)),0%,VLOOKUP(A100,'Données projet'!$A$87:$I$107,6,0)*VLOOKUP('Données projet'!$B$11,Paramètres!$A$1:$I$89,7,0))</f>
        <v>9.240000000000001E-2</v>
      </c>
      <c r="BO100" s="16">
        <f>IF(ISNA(VLOOKUP(A100,'Données projet'!$A$87:$I$107,7,0)),0%,VLOOKUP(A100,'Données projet'!$A$87:$I$107,7,0))</f>
        <v>0.13200000000000001</v>
      </c>
      <c r="BP100" s="21">
        <f>EXP(-LN(2)/35)*BP99+(1-EXP(-LN(2)/35))/(LN(2)/35)*BL100*BM100*VLOOKUP('Données projet'!$B$11,Paramètres!$A$1:$I$89,3,0)*0.475*44/12</f>
        <v>60.110439571641187</v>
      </c>
      <c r="BQ100" s="21">
        <f>EXP(-LN(2)/25)*BQ99+(1-EXP(-LN(2)/25))/(LN(2)/25)*Calculateur!BL100*Calculateur!BN100*VLOOKUP('Données projet'!$B$11,Paramètres!$A$1:$I$89,3,0)*0.475*44/12</f>
        <v>21.84012432948392</v>
      </c>
      <c r="BR100" s="21">
        <f>EXP(-LN(2)/2)*BR99+(1-EXP(-LN(2)/2))/(LN(2)/2)*BL100*BO100*VLOOKUP('Données projet'!$B$11,Paramètres!$A$1:$I$89,3,0)*0.475*44/12</f>
        <v>5.6671975078443229</v>
      </c>
      <c r="BS100" s="22">
        <f t="shared" si="63"/>
        <v>87.617761408969429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</v>
      </c>
      <c r="BY100" s="12">
        <f>IF('Données projet'!$A$114&gt;35,BY99+BX100-CG99,IF(A100&lt;'Données projet'!$A$114,$BV$205^A100,IF(A100='Données projet'!$A$114,'Données projet'!$B$114,BY99+BX100-CG99)))</f>
        <v>214.00000000000009</v>
      </c>
      <c r="BZ100" s="13">
        <f>BY100*VLOOKUP('Données projet'!$B$12,Paramètres!$A$1:$I$89,3,0)*VLOOKUP('Données projet'!$B$12,Paramètres!$A$1:$I$89,5,0)</f>
        <v>186.95040000000009</v>
      </c>
      <c r="CA100" s="13">
        <f t="shared" si="93"/>
        <v>46.865095976617653</v>
      </c>
      <c r="CB100" s="20">
        <f t="shared" si="64"/>
        <v>407.22865549260922</v>
      </c>
      <c r="CC100" s="59">
        <f t="shared" si="65"/>
        <v>700.56198882594254</v>
      </c>
      <c r="CD100" s="59">
        <f ca="1">AVERAGE(OFFSET($CC$3,0,0,'Données projet'!$E$12+1,1))-AVERAGE(OFFSET($H$3,0,0,'Données projet'!$E$12+1,1))</f>
        <v>216.10252108537389</v>
      </c>
      <c r="CE100" s="59">
        <f t="shared" si="94"/>
        <v>196.91968622092054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13.424956173416518</v>
      </c>
      <c r="CL100" s="21">
        <f>EXP(-LN(2)/25)*CL99+(1-EXP(-LN(2)/25))/(LN(2)/25)*Calculateur!CG100*Calculateur!CI100*VLOOKUP('Données projet'!$B$12,Paramètres!$A$1:$I$89,3,0)*0.475*44/12</f>
        <v>13.22245565554962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26.647411828966138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6.071794871794876</v>
      </c>
      <c r="CT100" s="12">
        <f>IF('Données projet'!$A$140&gt;35,CT99+CS100-DB99,IF(A100&lt;'Données projet'!$A$140,$CQ$205^A100,IF(A100='Données projet'!$A$140,'Données projet'!$B$140,CT99+CS100-DB99)))</f>
        <v>237.21538461538464</v>
      </c>
      <c r="CU100" s="17">
        <f>CT100*VLOOKUP('Données projet'!$B$13,Paramètres!$A$1:$I$89,3,0)*VLOOKUP('Données projet'!$B$13,Paramètres!$A$1:$I$89,5,0)</f>
        <v>214.63248000000002</v>
      </c>
      <c r="CV100" s="13">
        <f t="shared" si="95"/>
        <v>52.946610008544852</v>
      </c>
      <c r="CW100" s="20">
        <f t="shared" si="67"/>
        <v>466.03358176488229</v>
      </c>
      <c r="CX100" s="59">
        <f t="shared" si="68"/>
        <v>759.3669150982156</v>
      </c>
      <c r="CY100" s="59">
        <f ca="1">AVERAGE(OFFSET($CX$3,0,0,'Données projet'!$E$13+1,1))-AVERAGE(OFFSET($H$3,0,0,'Données projet'!$E$13+1,1))</f>
        <v>318.01858325056168</v>
      </c>
      <c r="CZ100" s="59">
        <f t="shared" si="96"/>
        <v>119.46953274700951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24.401191247217469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24.401191247217469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45.864000000000104</v>
      </c>
      <c r="D101" s="11">
        <f t="shared" si="86"/>
        <v>13.540311673175431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458.55959888065331</v>
      </c>
      <c r="H101" s="67">
        <f t="shared" si="56"/>
        <v>396.79584283078071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200.15574321350221</v>
      </c>
      <c r="T101" s="59">
        <f t="shared" si="88"/>
        <v>200.70728852570426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61.119692035417039</v>
      </c>
      <c r="AA101" s="21">
        <f>EXP(-LN(2)/25)*AA100+(1-EXP(-LN(2)/25))/(LN(2)/25)*Calculateur!V101*Calculateur!X101*VLOOKUP('Données projet'!$B$9,Paramètres!$A$1:$I$89,3,0)*0.475*44/12</f>
        <v>12.60087546814529</v>
      </c>
      <c r="AB101" s="21">
        <f>EXP(-LN(2)/2)*AB100+(1-EXP(-LN(2)/2))/(LN(2)/2)*V101*Y101*VLOOKUP('Données projet'!$B$9,Paramètres!$A$1:$I$89,3,0)*0.475*44/12</f>
        <v>6.0964295368153128E-5</v>
      </c>
      <c r="AC101" s="22">
        <f t="shared" si="57"/>
        <v>73.720628467857708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45.407317338461951</v>
      </c>
      <c r="AO101" s="59">
        <f t="shared" si="90"/>
        <v>149.88701606165358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7.6553965580331997</v>
      </c>
      <c r="AV101" s="21">
        <f>EXP(-LN(2)/25)*AV100+(1-EXP(-LN(2)/25))/(LN(2)/25)*Calculateur!AQ101*Calculateur!AS101*VLOOKUP('Données projet'!$B$10,Paramètres!$A$1:$I$89,3,0)*0.475*44/12</f>
        <v>0.88084767926655627</v>
      </c>
      <c r="AW101" s="21">
        <f>EXP(-LN(2)/2)*AW100+(1-EXP(-LN(2)/2))/(LN(2)/2)*AQ101*AT101*VLOOKUP('Données projet'!$B$10,Paramètres!$A$1:$I$89,3,0)*0.475*44/12</f>
        <v>1.9893621951271755E-11</v>
      </c>
      <c r="AX101" s="21">
        <f t="shared" si="60"/>
        <v>8.5362442373196501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7.882692307692305</v>
      </c>
      <c r="BD101" s="12">
        <f>IF('Données projet'!$A$88&gt;35,BD100+BC101-BL100,IF(A101&lt;'Données projet'!$A$88,$BA$205^A101,IF(A101='Données projet'!$A$88,'Données projet'!$B$88,BD100+BC101-BL100)))</f>
        <v>326.49038461538532</v>
      </c>
      <c r="BE101" s="13">
        <f>BD101*VLOOKUP('Données projet'!$B$11,Paramètres!$A$1:$I$89,3,0)*VLOOKUP('Données projet'!$B$11,Paramètres!$A$1:$I$89,5,0)</f>
        <v>152.79750000000033</v>
      </c>
      <c r="BF101" s="13">
        <f t="shared" si="91"/>
        <v>39.213642223408968</v>
      </c>
      <c r="BG101" s="20">
        <f t="shared" si="61"/>
        <v>334.41940603910456</v>
      </c>
      <c r="BH101" s="59">
        <f t="shared" si="62"/>
        <v>627.75273937243787</v>
      </c>
      <c r="BI101" s="59">
        <f ca="1">AVERAGE(OFFSET($BH$3,0,0,'Données projet'!$E$11+1,1))-AVERAGE(OFFSET($H$3,0,0,'Données projet'!$E$11+1,1))</f>
        <v>183.67580045784649</v>
      </c>
      <c r="BJ101" s="59">
        <f t="shared" si="92"/>
        <v>121.08269345608767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58.931710515389199</v>
      </c>
      <c r="BQ101" s="21">
        <f>EXP(-LN(2)/25)*BQ100+(1-EXP(-LN(2)/25))/(LN(2)/25)*Calculateur!BL101*Calculateur!BN101*VLOOKUP('Données projet'!$B$11,Paramètres!$A$1:$I$89,3,0)*0.475*44/12</f>
        <v>21.242904981171961</v>
      </c>
      <c r="BR101" s="21">
        <f>EXP(-LN(2)/2)*BR100+(1-EXP(-LN(2)/2))/(LN(2)/2)*BL101*BO101*VLOOKUP('Données projet'!$B$11,Paramètres!$A$1:$I$89,3,0)*0.475*44/12</f>
        <v>4.0073137881202232</v>
      </c>
      <c r="BS101" s="22">
        <f t="shared" si="63"/>
        <v>84.181929284681388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</v>
      </c>
      <c r="BY101" s="12">
        <f>IF('Données projet'!$A$114&gt;35,BY100+BX101-CG100,IF(A101&lt;'Données projet'!$A$114,$BV$205^A101,IF(A101='Données projet'!$A$114,'Données projet'!$B$114,BY100+BX101-CG100)))</f>
        <v>217.00000000000009</v>
      </c>
      <c r="BZ101" s="13">
        <f>BY101*VLOOKUP('Données projet'!$B$12,Paramètres!$A$1:$I$89,3,0)*VLOOKUP('Données projet'!$B$12,Paramètres!$A$1:$I$89,5,0)</f>
        <v>189.57120000000009</v>
      </c>
      <c r="CA101" s="13">
        <f t="shared" si="93"/>
        <v>47.445138796932483</v>
      </c>
      <c r="CB101" s="20">
        <f t="shared" si="64"/>
        <v>412.80345673799087</v>
      </c>
      <c r="CC101" s="59">
        <f t="shared" si="65"/>
        <v>706.13679007132419</v>
      </c>
      <c r="CD101" s="59">
        <f ca="1">AVERAGE(OFFSET($CC$3,0,0,'Données projet'!$E$12+1,1))-AVERAGE(OFFSET($H$3,0,0,'Données projet'!$E$12+1,1))</f>
        <v>216.10252108537389</v>
      </c>
      <c r="CE101" s="59">
        <f t="shared" si="94"/>
        <v>196.91968622092054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13.161700971270548</v>
      </c>
      <c r="CL101" s="21">
        <f>EXP(-LN(2)/25)*CL100+(1-EXP(-LN(2)/25))/(LN(2)/25)*Calculateur!CG101*Calculateur!CI101*VLOOKUP('Données projet'!$B$12,Paramètres!$A$1:$I$89,3,0)*0.475*44/12</f>
        <v>12.860886910309892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26.022587881580442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6.071794871794876</v>
      </c>
      <c r="CT101" s="12">
        <f>IF('Données projet'!$A$140&gt;35,CT100+CS101-DB100,IF(A101&lt;'Données projet'!$A$140,$CQ$205^A101,IF(A101='Données projet'!$A$140,'Données projet'!$B$140,CT100+CS101-DB100)))</f>
        <v>243.28717948717951</v>
      </c>
      <c r="CU101" s="17">
        <f>CT101*VLOOKUP('Données projet'!$B$13,Paramètres!$A$1:$I$89,3,0)*VLOOKUP('Données projet'!$B$13,Paramètres!$A$1:$I$89,5,0)</f>
        <v>220.12624000000002</v>
      </c>
      <c r="CV101" s="13">
        <f t="shared" si="95"/>
        <v>54.142322444750825</v>
      </c>
      <c r="CW101" s="20">
        <f t="shared" si="67"/>
        <v>477.68441292460778</v>
      </c>
      <c r="CX101" s="59">
        <f t="shared" si="68"/>
        <v>771.0177462579411</v>
      </c>
      <c r="CY101" s="59">
        <f ca="1">AVERAGE(OFFSET($CX$3,0,0,'Données projet'!$E$13+1,1))-AVERAGE(OFFSET($H$3,0,0,'Données projet'!$E$13+1,1))</f>
        <v>318.01858325056168</v>
      </c>
      <c r="CZ101" s="59">
        <f t="shared" si="96"/>
        <v>119.46953274700951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23.922698770116597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23.922698770116597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46.332000000000107</v>
      </c>
      <c r="D102" s="11">
        <f t="shared" si="86"/>
        <v>13.662323315513085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463.11407471624216</v>
      </c>
      <c r="H102" s="67">
        <f t="shared" si="56"/>
        <v>397.82344644118547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200.15574321350221</v>
      </c>
      <c r="T102" s="59">
        <f t="shared" si="88"/>
        <v>200.70728852570426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59.921172153933625</v>
      </c>
      <c r="AA102" s="21">
        <f>EXP(-LN(2)/25)*AA101+(1-EXP(-LN(2)/25))/(LN(2)/25)*Calculateur!V102*Calculateur!X102*VLOOKUP('Données projet'!$B$9,Paramètres!$A$1:$I$89,3,0)*0.475*44/12</f>
        <v>12.256303865817616</v>
      </c>
      <c r="AB102" s="21">
        <f>EXP(-LN(2)/2)*AB101+(1-EXP(-LN(2)/2))/(LN(2)/2)*V102*Y102*VLOOKUP('Données projet'!$B$9,Paramètres!$A$1:$I$89,3,0)*0.475*44/12</f>
        <v>4.3108266665080711E-5</v>
      </c>
      <c r="AC102" s="22">
        <f t="shared" si="57"/>
        <v>72.177519128017906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45.407317338461951</v>
      </c>
      <c r="AO102" s="59">
        <f t="shared" si="90"/>
        <v>149.88701606165358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7.5052789008610112</v>
      </c>
      <c r="AV102" s="21">
        <f>EXP(-LN(2)/25)*AV101+(1-EXP(-LN(2)/25))/(LN(2)/25)*Calculateur!AQ102*Calculateur!AS102*VLOOKUP('Données projet'!$B$10,Paramètres!$A$1:$I$89,3,0)*0.475*44/12</f>
        <v>0.85676085315524608</v>
      </c>
      <c r="AW102" s="21">
        <f>EXP(-LN(2)/2)*AW101+(1-EXP(-LN(2)/2))/(LN(2)/2)*AQ102*AT102*VLOOKUP('Données projet'!$B$10,Paramètres!$A$1:$I$89,3,0)*0.475*44/12</f>
        <v>1.4066914984105816E-11</v>
      </c>
      <c r="AX102" s="21">
        <f t="shared" si="60"/>
        <v>8.3620397540303237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7.882692307692305</v>
      </c>
      <c r="BD102" s="12">
        <f>IF('Données projet'!$A$88&gt;35,BD101+BC102-BL101,IF(A102&lt;'Données projet'!$A$88,$BA$205^A102,IF(A102='Données projet'!$A$88,'Données projet'!$B$88,BD101+BC102-BL101)))</f>
        <v>334.37307692307763</v>
      </c>
      <c r="BE102" s="13">
        <f>BD102*VLOOKUP('Données projet'!$B$11,Paramètres!$A$1:$I$89,3,0)*VLOOKUP('Données projet'!$B$11,Paramètres!$A$1:$I$89,5,0)</f>
        <v>156.48660000000032</v>
      </c>
      <c r="BF102" s="13">
        <f t="shared" si="91"/>
        <v>40.049037096609261</v>
      </c>
      <c r="BG102" s="20">
        <f t="shared" si="61"/>
        <v>342.29956794326159</v>
      </c>
      <c r="BH102" s="59">
        <f t="shared" si="62"/>
        <v>635.63290127659491</v>
      </c>
      <c r="BI102" s="59">
        <f ca="1">AVERAGE(OFFSET($BH$3,0,0,'Données projet'!$E$11+1,1))-AVERAGE(OFFSET($H$3,0,0,'Données projet'!$E$11+1,1))</f>
        <v>183.67580045784649</v>
      </c>
      <c r="BJ102" s="59">
        <f t="shared" si="92"/>
        <v>121.08269345608767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57.776095616976576</v>
      </c>
      <c r="BQ102" s="21">
        <f>EXP(-LN(2)/25)*BQ101+(1-EXP(-LN(2)/25))/(LN(2)/25)*Calculateur!BL102*Calculateur!BN102*VLOOKUP('Données projet'!$B$11,Paramètres!$A$1:$I$89,3,0)*0.475*44/12</f>
        <v>20.662016627345992</v>
      </c>
      <c r="BR102" s="21">
        <f>EXP(-LN(2)/2)*BR101+(1-EXP(-LN(2)/2))/(LN(2)/2)*BL102*BO102*VLOOKUP('Données projet'!$B$11,Paramètres!$A$1:$I$89,3,0)*0.475*44/12</f>
        <v>2.8335987539221619</v>
      </c>
      <c r="BS102" s="22">
        <f t="shared" si="63"/>
        <v>81.271710998244728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</v>
      </c>
      <c r="BY102" s="12">
        <f>IF('Données projet'!$A$114&gt;35,BY101+BX102-CG101,IF(A102&lt;'Données projet'!$A$114,$BV$205^A102,IF(A102='Données projet'!$A$114,'Données projet'!$B$114,BY101+BX102-CG101)))</f>
        <v>220.00000000000009</v>
      </c>
      <c r="BZ102" s="13">
        <f>BY102*VLOOKUP('Données projet'!$B$12,Paramètres!$A$1:$I$89,3,0)*VLOOKUP('Données projet'!$B$12,Paramètres!$A$1:$I$89,5,0)</f>
        <v>192.19200000000009</v>
      </c>
      <c r="CA102" s="13">
        <f t="shared" si="93"/>
        <v>48.024248921932482</v>
      </c>
      <c r="CB102" s="20">
        <f t="shared" si="64"/>
        <v>418.37663353903253</v>
      </c>
      <c r="CC102" s="59">
        <f t="shared" si="65"/>
        <v>711.70996687236584</v>
      </c>
      <c r="CD102" s="59">
        <f ca="1">AVERAGE(OFFSET($CC$3,0,0,'Données projet'!$E$12+1,1))-AVERAGE(OFFSET($H$3,0,0,'Données projet'!$E$12+1,1))</f>
        <v>216.10252108537389</v>
      </c>
      <c r="CE102" s="59">
        <f t="shared" si="94"/>
        <v>196.91968622092054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12.903608043068841</v>
      </c>
      <c r="CL102" s="21">
        <f>EXP(-LN(2)/25)*CL101+(1-EXP(-LN(2)/25))/(LN(2)/25)*Calculateur!CG102*Calculateur!CI102*VLOOKUP('Données projet'!$B$12,Paramètres!$A$1:$I$89,3,0)*0.475*44/12</f>
        <v>12.509205281422819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25.412813324491658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6.071794871794876</v>
      </c>
      <c r="CT102" s="12">
        <f>IF('Données projet'!$A$140&gt;35,CT101+CS102-DB101,IF(A102&lt;'Données projet'!$A$140,$CQ$205^A102,IF(A102='Données projet'!$A$140,'Données projet'!$B$140,CT101+CS102-DB101)))</f>
        <v>249.35897435897439</v>
      </c>
      <c r="CU102" s="17">
        <f>CT102*VLOOKUP('Données projet'!$B$13,Paramètres!$A$1:$I$89,3,0)*VLOOKUP('Données projet'!$B$13,Paramètres!$A$1:$I$89,5,0)</f>
        <v>225.62000000000003</v>
      </c>
      <c r="CV102" s="13">
        <f t="shared" si="95"/>
        <v>55.334565958624232</v>
      </c>
      <c r="CW102" s="20">
        <f t="shared" si="67"/>
        <v>489.32920237793724</v>
      </c>
      <c r="CX102" s="59">
        <f t="shared" si="68"/>
        <v>782.66253571127049</v>
      </c>
      <c r="CY102" s="59">
        <f ca="1">AVERAGE(OFFSET($CX$3,0,0,'Données projet'!$E$13+1,1))-AVERAGE(OFFSET($H$3,0,0,'Données projet'!$E$13+1,1))</f>
        <v>318.01858325056168</v>
      </c>
      <c r="CZ102" s="59">
        <f t="shared" si="96"/>
        <v>119.46953274700951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23.453589238640077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23.453589238640077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46.800000000000111</v>
      </c>
      <c r="D103" s="11">
        <f t="shared" si="86"/>
        <v>13.784191583461164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467.66744380215727</v>
      </c>
      <c r="H103" s="67">
        <f t="shared" si="56"/>
        <v>398.85080034119505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200.15574321350221</v>
      </c>
      <c r="T103" s="59">
        <f t="shared" si="88"/>
        <v>200.70728852570426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58.746154516301154</v>
      </c>
      <c r="AA103" s="21">
        <f>EXP(-LN(2)/25)*AA102+(1-EXP(-LN(2)/25))/(LN(2)/25)*Calculateur!V103*Calculateur!X103*VLOOKUP('Données projet'!$B$9,Paramètres!$A$1:$I$89,3,0)*0.475*44/12</f>
        <v>11.921154592075824</v>
      </c>
      <c r="AB103" s="21">
        <f>EXP(-LN(2)/2)*AB102+(1-EXP(-LN(2)/2))/(LN(2)/2)*V103*Y103*VLOOKUP('Données projet'!$B$9,Paramètres!$A$1:$I$89,3,0)*0.475*44/12</f>
        <v>3.0482147684076571E-5</v>
      </c>
      <c r="AC103" s="22">
        <f t="shared" si="57"/>
        <v>70.667339590524662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45.407317338461951</v>
      </c>
      <c r="AO103" s="59">
        <f t="shared" si="90"/>
        <v>149.88701606165358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7.3581049593832395</v>
      </c>
      <c r="AV103" s="21">
        <f>EXP(-LN(2)/25)*AV102+(1-EXP(-LN(2)/25))/(LN(2)/25)*Calculateur!AQ103*Calculateur!AS103*VLOOKUP('Données projet'!$B$10,Paramètres!$A$1:$I$89,3,0)*0.475*44/12</f>
        <v>0.83333268257062076</v>
      </c>
      <c r="AW103" s="21">
        <f>EXP(-LN(2)/2)*AW102+(1-EXP(-LN(2)/2))/(LN(2)/2)*AQ103*AT103*VLOOKUP('Données projet'!$B$10,Paramètres!$A$1:$I$89,3,0)*0.475*44/12</f>
        <v>9.9468109756358776E-12</v>
      </c>
      <c r="AX103" s="21">
        <f t="shared" si="60"/>
        <v>8.1914376419638071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7.882692307692305</v>
      </c>
      <c r="BD103" s="12">
        <f>IF('Données projet'!$A$88&gt;35,BD102+BC103-BL102,IF(A103&lt;'Données projet'!$A$88,$BA$205^A103,IF(A103='Données projet'!$A$88,'Données projet'!$B$88,BD102+BC103-BL102)))</f>
        <v>342.25576923076994</v>
      </c>
      <c r="BE103" s="13">
        <f>BD103*VLOOKUP('Données projet'!$B$11,Paramètres!$A$1:$I$89,3,0)*VLOOKUP('Données projet'!$B$11,Paramètres!$A$1:$I$89,5,0)</f>
        <v>160.17570000000035</v>
      </c>
      <c r="BF103" s="13">
        <f t="shared" si="91"/>
        <v>40.882142500403575</v>
      </c>
      <c r="BG103" s="20">
        <f t="shared" si="61"/>
        <v>350.17574235487018</v>
      </c>
      <c r="BH103" s="59">
        <f t="shared" si="62"/>
        <v>643.50907568820344</v>
      </c>
      <c r="BI103" s="59">
        <f ca="1">AVERAGE(OFFSET($BH$3,0,0,'Données projet'!$E$11+1,1))-AVERAGE(OFFSET($H$3,0,0,'Données projet'!$E$11+1,1))</f>
        <v>183.67580045784649</v>
      </c>
      <c r="BJ103" s="59">
        <f t="shared" si="92"/>
        <v>121.08269345608767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56.643141621866334</v>
      </c>
      <c r="BQ103" s="21">
        <f>EXP(-LN(2)/25)*BQ102+(1-EXP(-LN(2)/25))/(LN(2)/25)*Calculateur!BL103*Calculateur!BN103*VLOOKUP('Données projet'!$B$11,Paramètres!$A$1:$I$89,3,0)*0.475*44/12</f>
        <v>20.097012696102986</v>
      </c>
      <c r="BR103" s="21">
        <f>EXP(-LN(2)/2)*BR102+(1-EXP(-LN(2)/2))/(LN(2)/2)*BL103*BO103*VLOOKUP('Données projet'!$B$11,Paramètres!$A$1:$I$89,3,0)*0.475*44/12</f>
        <v>2.003656894060112</v>
      </c>
      <c r="BS103" s="22">
        <f t="shared" si="63"/>
        <v>78.743811212029428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223</v>
      </c>
      <c r="BW103" s="12">
        <f>VLOOKUP(A103,'Données projet'!$A$113:$I$133,9,0)</f>
        <v>3</v>
      </c>
      <c r="BX103" s="12">
        <f t="array" ref="BX103">INDEX(BW:BW,MIN(IF(ISNUMBER(BW103:BW299),ROW(BW103:BW299),"")))</f>
        <v>3</v>
      </c>
      <c r="BY103" s="12">
        <f>IF('Données projet'!$A$114&gt;35,BY102+BX103-CG102,IF(A103&lt;'Données projet'!$A$114,$BV$205^A103,IF(A103='Données projet'!$A$114,'Données projet'!$B$114,BY102+BX103-CG102)))</f>
        <v>223.00000000000009</v>
      </c>
      <c r="BZ103" s="13">
        <f>BY103*VLOOKUP('Données projet'!$B$12,Paramètres!$A$1:$I$89,3,0)*VLOOKUP('Données projet'!$B$12,Paramètres!$A$1:$I$89,5,0)</f>
        <v>194.81280000000012</v>
      </c>
      <c r="CA103" s="13">
        <f t="shared" si="93"/>
        <v>48.602440540253902</v>
      </c>
      <c r="CB103" s="20">
        <f t="shared" si="64"/>
        <v>423.9482106076091</v>
      </c>
      <c r="CC103" s="59">
        <f t="shared" si="65"/>
        <v>717.28154394094236</v>
      </c>
      <c r="CD103" s="59">
        <f ca="1">AVERAGE(OFFSET($CC$3,0,0,'Données projet'!$E$12+1,1))-AVERAGE(OFFSET($H$3,0,0,'Données projet'!$E$12+1,1))</f>
        <v>216.10252108537389</v>
      </c>
      <c r="CE103" s="59">
        <f t="shared" si="94"/>
        <v>196.91968622092054</v>
      </c>
      <c r="CF103" s="15">
        <f>IF(ISNA(VLOOKUP(A103,'Données projet'!$A$113:$I$133,3,0)),0,VLOOKUP(A103,'Données projet'!$A$113:$I$133,3,0))</f>
        <v>17</v>
      </c>
      <c r="CG103" s="15" t="str">
        <f>IF(ISNA(VLOOKUP(A103,'Données projet'!$A$113:$I$133,4,0)),0,VLOOKUP(A103,'Données projet'!$A$113:$I$133,4,0))</f>
        <v>11</v>
      </c>
      <c r="CH103" s="16">
        <f>IF(ISNA(VLOOKUP(A103,'Données projet'!$A$113:$I$133,5,0)),0%,VLOOKUP(A103,'Données projet'!$A$113:$I$133,5,0)*VLOOKUP('Données projet'!$B$12,Paramètres!$A$1:$I$89,7,0))</f>
        <v>0.215</v>
      </c>
      <c r="CI103" s="16">
        <f>IF(ISNA(VLOOKUP(A103,'Données projet'!$A$113:$I$133,6,0)),0%,VLOOKUP(A103,'Données projet'!$A$113:$I$133,6,0)*VLOOKUP('Données projet'!$B$12,Paramètres!$A$1:$I$89,7,0))</f>
        <v>0.17200000000000001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14.934548713987393</v>
      </c>
      <c r="CL103" s="21">
        <f>EXP(-LN(2)/25)*CL102+(1-EXP(-LN(2)/25))/(LN(2)/25)*Calculateur!CG103*Calculateur!CI103*VLOOKUP('Données projet'!$B$12,Paramètres!$A$1:$I$89,3,0)*0.475*44/12</f>
        <v>13.987124152381103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28.921672866368496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6.071794871794876</v>
      </c>
      <c r="CT103" s="12">
        <f>IF('Données projet'!$A$140&gt;35,CT102+CS103-DB102,IF(A103&lt;'Données projet'!$A$140,$CQ$205^A103,IF(A103='Données projet'!$A$140,'Données projet'!$B$140,CT102+CS103-DB102)))</f>
        <v>255.43076923076927</v>
      </c>
      <c r="CU103" s="17">
        <f>CT103*VLOOKUP('Données projet'!$B$13,Paramètres!$A$1:$I$89,3,0)*VLOOKUP('Données projet'!$B$13,Paramètres!$A$1:$I$89,5,0)</f>
        <v>231.11376000000004</v>
      </c>
      <c r="CV103" s="13">
        <f t="shared" si="95"/>
        <v>56.523434734348982</v>
      </c>
      <c r="CW103" s="20">
        <f t="shared" si="67"/>
        <v>500.96811416232453</v>
      </c>
      <c r="CX103" s="59">
        <f t="shared" si="68"/>
        <v>794.30144749565784</v>
      </c>
      <c r="CY103" s="59">
        <f ca="1">AVERAGE(OFFSET($CX$3,0,0,'Données projet'!$E$13+1,1))-AVERAGE(OFFSET($H$3,0,0,'Données projet'!$E$13+1,1))</f>
        <v>318.01858325056168</v>
      </c>
      <c r="CZ103" s="59">
        <f t="shared" si="96"/>
        <v>119.46953274700951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22.993678658947253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22.993678658947253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47.268000000000114</v>
      </c>
      <c r="D104" s="11">
        <f t="shared" si="86"/>
        <v>13.905918076773704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472.21971848737684</v>
      </c>
      <c r="H104" s="67">
        <f t="shared" si="56"/>
        <v>399.87790731704769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200.15574321350221</v>
      </c>
      <c r="T104" s="59">
        <f t="shared" si="88"/>
        <v>200.70728852570426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57.594178257852661</v>
      </c>
      <c r="AA104" s="21">
        <f>EXP(-LN(2)/25)*AA103+(1-EXP(-LN(2)/25))/(LN(2)/25)*Calculateur!V104*Calculateur!X104*VLOOKUP('Données projet'!$B$9,Paramètres!$A$1:$I$89,3,0)*0.475*44/12</f>
        <v>11.595169992849238</v>
      </c>
      <c r="AB104" s="21">
        <f>EXP(-LN(2)/2)*AB103+(1-EXP(-LN(2)/2))/(LN(2)/2)*V104*Y104*VLOOKUP('Données projet'!$B$9,Paramètres!$A$1:$I$89,3,0)*0.475*44/12</f>
        <v>2.1554133332540359E-5</v>
      </c>
      <c r="AC104" s="22">
        <f t="shared" si="57"/>
        <v>69.189369804835223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45.407317338461951</v>
      </c>
      <c r="AO104" s="59">
        <f t="shared" si="90"/>
        <v>149.88701606165358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7.2138170091306062</v>
      </c>
      <c r="AV104" s="21">
        <f>EXP(-LN(2)/25)*AV103+(1-EXP(-LN(2)/25))/(LN(2)/25)*Calculateur!AQ104*Calculateur!AS104*VLOOKUP('Données projet'!$B$10,Paramètres!$A$1:$I$89,3,0)*0.475*44/12</f>
        <v>0.81054515654266601</v>
      </c>
      <c r="AW104" s="21">
        <f>EXP(-LN(2)/2)*AW103+(1-EXP(-LN(2)/2))/(LN(2)/2)*AQ104*AT104*VLOOKUP('Données projet'!$B$10,Paramètres!$A$1:$I$89,3,0)*0.475*44/12</f>
        <v>7.0334574920529079E-12</v>
      </c>
      <c r="AX104" s="21">
        <f t="shared" si="60"/>
        <v>8.024362165680305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7.882692307692305</v>
      </c>
      <c r="BD104" s="12">
        <f>IF('Données projet'!$A$88&gt;35,BD103+BC104-BL103,IF(A104&lt;'Données projet'!$A$88,$BA$205^A104,IF(A104='Données projet'!$A$88,'Données projet'!$B$88,BD103+BC104-BL103)))</f>
        <v>350.13846153846225</v>
      </c>
      <c r="BE104" s="13">
        <f>BD104*VLOOKUP('Données projet'!$B$11,Paramètres!$A$1:$I$89,3,0)*VLOOKUP('Données projet'!$B$11,Paramètres!$A$1:$I$89,5,0)</f>
        <v>163.86480000000032</v>
      </c>
      <c r="BF104" s="13">
        <f t="shared" si="91"/>
        <v>41.713017234350204</v>
      </c>
      <c r="BG104" s="20">
        <f t="shared" si="61"/>
        <v>358.04803168316045</v>
      </c>
      <c r="BH104" s="59">
        <f t="shared" si="62"/>
        <v>651.38136501649376</v>
      </c>
      <c r="BI104" s="59">
        <f ca="1">AVERAGE(OFFSET($BH$3,0,0,'Données projet'!$E$11+1,1))-AVERAGE(OFFSET($H$3,0,0,'Données projet'!$E$11+1,1))</f>
        <v>183.67580045784649</v>
      </c>
      <c r="BJ104" s="59">
        <f t="shared" si="92"/>
        <v>121.08269345608767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55.532404163566504</v>
      </c>
      <c r="BQ104" s="21">
        <f>EXP(-LN(2)/25)*BQ103+(1-EXP(-LN(2)/25))/(LN(2)/25)*Calculateur!BL104*Calculateur!BN104*VLOOKUP('Données projet'!$B$11,Paramètres!$A$1:$I$89,3,0)*0.475*44/12</f>
        <v>19.547458827072084</v>
      </c>
      <c r="BR104" s="21">
        <f>EXP(-LN(2)/2)*BR103+(1-EXP(-LN(2)/2))/(LN(2)/2)*BL104*BO104*VLOOKUP('Données projet'!$B$11,Paramètres!$A$1:$I$89,3,0)*0.475*44/12</f>
        <v>1.4167993769610812</v>
      </c>
      <c r="BS104" s="22">
        <f t="shared" si="63"/>
        <v>76.496662367599669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212.00000000000009</v>
      </c>
      <c r="BZ104" s="13">
        <f>BY104*VLOOKUP('Données projet'!$B$12,Paramètres!$A$1:$I$89,3,0)*VLOOKUP('Données projet'!$B$12,Paramètres!$A$1:$I$89,5,0)</f>
        <v>185.20320000000009</v>
      </c>
      <c r="CA104" s="13">
        <f t="shared" si="93"/>
        <v>46.477875402099386</v>
      </c>
      <c r="CB104" s="20">
        <f t="shared" si="64"/>
        <v>403.5112063253232</v>
      </c>
      <c r="CC104" s="59">
        <f t="shared" si="65"/>
        <v>696.84453965865646</v>
      </c>
      <c r="CD104" s="59">
        <f ca="1">AVERAGE(OFFSET($CC$3,0,0,'Données projet'!$E$12+1,1))-AVERAGE(OFFSET($H$3,0,0,'Données projet'!$E$12+1,1))</f>
        <v>216.10252108537389</v>
      </c>
      <c r="CE104" s="59">
        <f t="shared" si="94"/>
        <v>196.91968622092054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14.641691322881359</v>
      </c>
      <c r="CL104" s="21">
        <f>EXP(-LN(2)/25)*CL103+(1-EXP(-LN(2)/25))/(LN(2)/25)*Calculateur!CG104*Calculateur!CI104*VLOOKUP('Données projet'!$B$12,Paramètres!$A$1:$I$89,3,0)*0.475*44/12</f>
        <v>13.604645506883351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28.246336829764708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6.071794871794876</v>
      </c>
      <c r="CT104" s="12">
        <f>IF('Données projet'!$A$140&gt;35,CT103+CS104-DB103,IF(A104&lt;'Données projet'!$A$140,$CQ$205^A104,IF(A104='Données projet'!$A$140,'Données projet'!$B$140,CT103+CS104-DB103)))</f>
        <v>261.50256410256412</v>
      </c>
      <c r="CU104" s="17">
        <f>CT104*VLOOKUP('Données projet'!$B$13,Paramètres!$A$1:$I$89,3,0)*VLOOKUP('Données projet'!$B$13,Paramètres!$A$1:$I$89,5,0)</f>
        <v>236.60751999999999</v>
      </c>
      <c r="CV104" s="13">
        <f t="shared" si="95"/>
        <v>57.709018223048304</v>
      </c>
      <c r="CW104" s="20">
        <f t="shared" si="67"/>
        <v>512.60130407180907</v>
      </c>
      <c r="CX104" s="59">
        <f t="shared" si="68"/>
        <v>805.93463740514244</v>
      </c>
      <c r="CY104" s="59">
        <f ca="1">AVERAGE(OFFSET($CX$3,0,0,'Données projet'!$E$13+1,1))-AVERAGE(OFFSET($H$3,0,0,'Données projet'!$E$13+1,1))</f>
        <v>318.01858325056168</v>
      </c>
      <c r="CZ104" s="59">
        <f t="shared" si="96"/>
        <v>119.46953274700951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22.542786645204451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22.542786645204451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47.736000000000118</v>
      </c>
      <c r="D105" s="11">
        <f t="shared" si="86"/>
        <v>14.027504361700455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476.77091086225005</v>
      </c>
      <c r="H105" s="67">
        <f t="shared" si="56"/>
        <v>400.90477009662845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200.15574321350221</v>
      </c>
      <c r="T105" s="59">
        <f t="shared" si="88"/>
        <v>200.70728852570426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56.464791551196207</v>
      </c>
      <c r="AA105" s="21">
        <f>EXP(-LN(2)/25)*AA104+(1-EXP(-LN(2)/25))/(LN(2)/25)*Calculateur!V105*Calculateur!X105*VLOOKUP('Données projet'!$B$9,Paramètres!$A$1:$I$89,3,0)*0.475*44/12</f>
        <v>11.278099459631287</v>
      </c>
      <c r="AB105" s="21">
        <f>EXP(-LN(2)/2)*AB104+(1-EXP(-LN(2)/2))/(LN(2)/2)*V105*Y105*VLOOKUP('Données projet'!$B$9,Paramètres!$A$1:$I$89,3,0)*0.475*44/12</f>
        <v>1.5241073842038287E-5</v>
      </c>
      <c r="AC105" s="22">
        <f t="shared" si="57"/>
        <v>67.742906251901331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45.407317338461951</v>
      </c>
      <c r="AO105" s="59">
        <f t="shared" si="90"/>
        <v>149.88701606165358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7.0723584575754677</v>
      </c>
      <c r="AV105" s="21">
        <f>EXP(-LN(2)/25)*AV104+(1-EXP(-LN(2)/25))/(LN(2)/25)*Calculateur!AQ105*Calculateur!AS105*VLOOKUP('Données projet'!$B$10,Paramètres!$A$1:$I$89,3,0)*0.475*44/12</f>
        <v>0.78838075661228957</v>
      </c>
      <c r="AW105" s="21">
        <f>EXP(-LN(2)/2)*AW104+(1-EXP(-LN(2)/2))/(LN(2)/2)*AQ105*AT105*VLOOKUP('Données projet'!$B$10,Paramètres!$A$1:$I$89,3,0)*0.475*44/12</f>
        <v>4.9734054878179388E-12</v>
      </c>
      <c r="AX105" s="21">
        <f t="shared" si="60"/>
        <v>7.8607392141927308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7.882692307692305</v>
      </c>
      <c r="BD105" s="12">
        <f>IF('Données projet'!$A$88&gt;35,BD104+BC105-BL104,IF(A105&lt;'Données projet'!$A$88,$BA$205^A105,IF(A105='Données projet'!$A$88,'Données projet'!$B$88,BD104+BC105-BL104)))</f>
        <v>358.02115384615456</v>
      </c>
      <c r="BE105" s="13">
        <f>BD105*VLOOKUP('Données projet'!$B$11,Paramètres!$A$1:$I$89,3,0)*VLOOKUP('Données projet'!$B$11,Paramètres!$A$1:$I$89,5,0)</f>
        <v>167.55390000000031</v>
      </c>
      <c r="BF105" s="13">
        <f t="shared" si="91"/>
        <v>42.541717299361345</v>
      </c>
      <c r="BG105" s="20">
        <f t="shared" si="61"/>
        <v>365.91653346305492</v>
      </c>
      <c r="BH105" s="59">
        <f t="shared" si="62"/>
        <v>659.24986679638823</v>
      </c>
      <c r="BI105" s="59">
        <f ca="1">AVERAGE(OFFSET($BH$3,0,0,'Données projet'!$E$11+1,1))-AVERAGE(OFFSET($H$3,0,0,'Données projet'!$E$11+1,1))</f>
        <v>183.67580045784649</v>
      </c>
      <c r="BJ105" s="59">
        <f t="shared" si="92"/>
        <v>121.08269345608767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54.443447589340977</v>
      </c>
      <c r="BQ105" s="21">
        <f>EXP(-LN(2)/25)*BQ104+(1-EXP(-LN(2)/25))/(LN(2)/25)*Calculateur!BL105*Calculateur!BN105*VLOOKUP('Données projet'!$B$11,Paramètres!$A$1:$I$89,3,0)*0.475*44/12</f>
        <v>19.012932537489615</v>
      </c>
      <c r="BR105" s="21">
        <f>EXP(-LN(2)/2)*BR104+(1-EXP(-LN(2)/2))/(LN(2)/2)*BL105*BO105*VLOOKUP('Données projet'!$B$11,Paramètres!$A$1:$I$89,3,0)*0.475*44/12</f>
        <v>1.0018284470300562</v>
      </c>
      <c r="BS105" s="22">
        <f t="shared" si="63"/>
        <v>74.458208573860645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212.00000000000009</v>
      </c>
      <c r="BZ105" s="13">
        <f>BY105*VLOOKUP('Données projet'!$B$12,Paramètres!$A$1:$I$89,3,0)*VLOOKUP('Données projet'!$B$12,Paramètres!$A$1:$I$89,5,0)</f>
        <v>185.20320000000009</v>
      </c>
      <c r="CA105" s="13">
        <f t="shared" si="93"/>
        <v>46.477875402099386</v>
      </c>
      <c r="CB105" s="20">
        <f t="shared" si="64"/>
        <v>403.5112063253232</v>
      </c>
      <c r="CC105" s="59">
        <f t="shared" si="65"/>
        <v>696.84453965865646</v>
      </c>
      <c r="CD105" s="59">
        <f ca="1">AVERAGE(OFFSET($CC$3,0,0,'Données projet'!$E$12+1,1))-AVERAGE(OFFSET($H$3,0,0,'Données projet'!$E$12+1,1))</f>
        <v>216.10252108537389</v>
      </c>
      <c r="CE105" s="59">
        <f t="shared" si="94"/>
        <v>196.91968622092054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14.354576686589544</v>
      </c>
      <c r="CL105" s="21">
        <f>EXP(-LN(2)/25)*CL104+(1-EXP(-LN(2)/25))/(LN(2)/25)*Calculateur!CG105*Calculateur!CI105*VLOOKUP('Données projet'!$B$12,Paramètres!$A$1:$I$89,3,0)*0.475*44/12</f>
        <v>13.232625760060412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27.587202446649954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6.071794871794876</v>
      </c>
      <c r="CT105" s="12">
        <f>IF('Données projet'!$A$140&gt;35,CT104+CS105-DB104,IF(A105&lt;'Données projet'!$A$140,$CQ$205^A105,IF(A105='Données projet'!$A$140,'Données projet'!$B$140,CT104+CS105-DB104)))</f>
        <v>267.57435897435897</v>
      </c>
      <c r="CU105" s="17">
        <f>CT105*VLOOKUP('Données projet'!$B$13,Paramètres!$A$1:$I$89,3,0)*VLOOKUP('Données projet'!$B$13,Paramètres!$A$1:$I$89,5,0)</f>
        <v>242.10128</v>
      </c>
      <c r="CV105" s="13">
        <f t="shared" si="95"/>
        <v>58.891401484926774</v>
      </c>
      <c r="CW105" s="20">
        <f t="shared" si="67"/>
        <v>524.22892025291412</v>
      </c>
      <c r="CX105" s="59">
        <f t="shared" si="68"/>
        <v>817.56225358624738</v>
      </c>
      <c r="CY105" s="59">
        <f ca="1">AVERAGE(OFFSET($CX$3,0,0,'Données projet'!$E$13+1,1))-AVERAGE(OFFSET($H$3,0,0,'Données projet'!$E$13+1,1))</f>
        <v>318.01858325056168</v>
      </c>
      <c r="CZ105" s="59">
        <f t="shared" si="96"/>
        <v>119.46953274700951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22.100736348834172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22.100736348834172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48.204000000000121</v>
      </c>
      <c r="D106" s="11">
        <f t="shared" si="86"/>
        <v>14.148951972010016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481.32103276639413</v>
      </c>
      <c r="H106" s="67">
        <f t="shared" si="56"/>
        <v>401.93139135125097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200.15574321350221</v>
      </c>
      <c r="T106" s="59">
        <f t="shared" si="88"/>
        <v>200.70728852570426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55.357551428999415</v>
      </c>
      <c r="AA106" s="21">
        <f>EXP(-LN(2)/25)*AA105+(1-EXP(-LN(2)/25))/(LN(2)/25)*Calculateur!V106*Calculateur!X106*VLOOKUP('Données projet'!$B$9,Paramètres!$A$1:$I$89,3,0)*0.475*44/12</f>
        <v>10.969699236818196</v>
      </c>
      <c r="AB106" s="21">
        <f>EXP(-LN(2)/2)*AB105+(1-EXP(-LN(2)/2))/(LN(2)/2)*V106*Y106*VLOOKUP('Données projet'!$B$9,Paramètres!$A$1:$I$89,3,0)*0.475*44/12</f>
        <v>1.0777066666270181E-5</v>
      </c>
      <c r="AC106" s="22">
        <f t="shared" si="57"/>
        <v>66.327261442884279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45.407317338461951</v>
      </c>
      <c r="AO106" s="59">
        <f t="shared" si="90"/>
        <v>149.88701606165358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6.9336738219351277</v>
      </c>
      <c r="AV106" s="21">
        <f>EXP(-LN(2)/25)*AV105+(1-EXP(-LN(2)/25))/(LN(2)/25)*Calculateur!AQ106*Calculateur!AS106*VLOOKUP('Données projet'!$B$10,Paramètres!$A$1:$I$89,3,0)*0.475*44/12</f>
        <v>0.76682244336358441</v>
      </c>
      <c r="AW106" s="21">
        <f>EXP(-LN(2)/2)*AW105+(1-EXP(-LN(2)/2))/(LN(2)/2)*AQ106*AT106*VLOOKUP('Données projet'!$B$10,Paramètres!$A$1:$I$89,3,0)*0.475*44/12</f>
        <v>3.5167287460264539E-12</v>
      </c>
      <c r="AX106" s="21">
        <f t="shared" si="60"/>
        <v>7.7004962653022284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7.882692307692305</v>
      </c>
      <c r="BD106" s="12">
        <f>IF('Données projet'!$A$88&gt;35,BD105+BC106-BL105,IF(A106&lt;'Données projet'!$A$88,$BA$205^A106,IF(A106='Données projet'!$A$88,'Données projet'!$B$88,BD105+BC106-BL105)))</f>
        <v>365.90384615384687</v>
      </c>
      <c r="BE106" s="13">
        <f>BD106*VLOOKUP('Données projet'!$B$11,Paramètres!$A$1:$I$89,3,0)*VLOOKUP('Données projet'!$B$11,Paramètres!$A$1:$I$89,5,0)</f>
        <v>171.24300000000036</v>
      </c>
      <c r="BF106" s="13">
        <f t="shared" si="91"/>
        <v>43.368296089548551</v>
      </c>
      <c r="BG106" s="20">
        <f t="shared" si="61"/>
        <v>373.78134068929762</v>
      </c>
      <c r="BH106" s="59">
        <f t="shared" si="62"/>
        <v>667.11467402263088</v>
      </c>
      <c r="BI106" s="59">
        <f ca="1">AVERAGE(OFFSET($BH$3,0,0,'Données projet'!$E$11+1,1))-AVERAGE(OFFSET($H$3,0,0,'Données projet'!$E$11+1,1))</f>
        <v>183.67580045784649</v>
      </c>
      <c r="BJ106" s="59">
        <f t="shared" si="92"/>
        <v>121.08269345608767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53.375844789338089</v>
      </c>
      <c r="BQ106" s="21">
        <f>EXP(-LN(2)/25)*BQ105+(1-EXP(-LN(2)/25))/(LN(2)/25)*Calculateur!BL106*Calculateur!BN106*VLOOKUP('Données projet'!$B$11,Paramètres!$A$1:$I$89,3,0)*0.475*44/12</f>
        <v>18.493022897405293</v>
      </c>
      <c r="BR106" s="21">
        <f>EXP(-LN(2)/2)*BR105+(1-EXP(-LN(2)/2))/(LN(2)/2)*BL106*BO106*VLOOKUP('Données projet'!$B$11,Paramètres!$A$1:$I$89,3,0)*0.475*44/12</f>
        <v>0.7083996884805408</v>
      </c>
      <c r="BS106" s="22">
        <f t="shared" si="63"/>
        <v>72.577267375223926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212.00000000000009</v>
      </c>
      <c r="BZ106" s="13">
        <f>BY106*VLOOKUP('Données projet'!$B$12,Paramètres!$A$1:$I$89,3,0)*VLOOKUP('Données projet'!$B$12,Paramètres!$A$1:$I$89,5,0)</f>
        <v>185.20320000000009</v>
      </c>
      <c r="CA106" s="13">
        <f t="shared" si="93"/>
        <v>46.477875402099386</v>
      </c>
      <c r="CB106" s="20">
        <f t="shared" si="64"/>
        <v>403.5112063253232</v>
      </c>
      <c r="CC106" s="59">
        <f t="shared" si="65"/>
        <v>696.84453965865646</v>
      </c>
      <c r="CD106" s="59">
        <f ca="1">AVERAGE(OFFSET($CC$3,0,0,'Données projet'!$E$12+1,1))-AVERAGE(OFFSET($H$3,0,0,'Données projet'!$E$12+1,1))</f>
        <v>216.10252108537389</v>
      </c>
      <c r="CE106" s="59">
        <f t="shared" si="94"/>
        <v>196.91968622092054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14.073092193192775</v>
      </c>
      <c r="CL106" s="21">
        <f>EXP(-LN(2)/25)*CL105+(1-EXP(-LN(2)/25))/(LN(2)/25)*Calculateur!CG106*Calculateur!CI106*VLOOKUP('Données projet'!$B$12,Paramètres!$A$1:$I$89,3,0)*0.475*44/12</f>
        <v>12.870778912778015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26.943871105970789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6.071794871794876</v>
      </c>
      <c r="CT106" s="12">
        <f>IF('Données projet'!$A$140&gt;35,CT105+CS106-DB105,IF(A106&lt;'Données projet'!$A$140,$CQ$205^A106,IF(A106='Données projet'!$A$140,'Données projet'!$B$140,CT105+CS106-DB105)))</f>
        <v>273.64615384615382</v>
      </c>
      <c r="CU106" s="17">
        <f>CT106*VLOOKUP('Données projet'!$B$13,Paramètres!$A$1:$I$89,3,0)*VLOOKUP('Données projet'!$B$13,Paramètres!$A$1:$I$89,5,0)</f>
        <v>247.59503999999998</v>
      </c>
      <c r="CV106" s="13">
        <f t="shared" si="95"/>
        <v>60.070665499481535</v>
      </c>
      <c r="CW106" s="20">
        <f t="shared" si="67"/>
        <v>535.85110374493036</v>
      </c>
      <c r="CX106" s="59">
        <f t="shared" si="68"/>
        <v>829.18443707826373</v>
      </c>
      <c r="CY106" s="59">
        <f ca="1">AVERAGE(OFFSET($CX$3,0,0,'Données projet'!$E$13+1,1))-AVERAGE(OFFSET($H$3,0,0,'Données projet'!$E$13+1,1))</f>
        <v>318.01858325056168</v>
      </c>
      <c r="CZ106" s="59">
        <f t="shared" si="96"/>
        <v>119.46953274700951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21.667354389151654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21.667354389151654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48.672000000000125</v>
      </c>
      <c r="D107" s="11">
        <f t="shared" si="86"/>
        <v>14.270262409972092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485.87009579627687</v>
      </c>
      <c r="H107" s="67">
        <f t="shared" si="56"/>
        <v>402.95777369736822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200.15574321350221</v>
      </c>
      <c r="T107" s="59">
        <f t="shared" si="88"/>
        <v>200.70728852570426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54.272023610249114</v>
      </c>
      <c r="AA107" s="21">
        <f>EXP(-LN(2)/25)*AA106+(1-EXP(-LN(2)/25))/(LN(2)/25)*Calculateur!V107*Calculateur!X107*VLOOKUP('Données projet'!$B$9,Paramètres!$A$1:$I$89,3,0)*0.475*44/12</f>
        <v>10.66973223431599</v>
      </c>
      <c r="AB107" s="21">
        <f>EXP(-LN(2)/2)*AB106+(1-EXP(-LN(2)/2))/(LN(2)/2)*V107*Y107*VLOOKUP('Données projet'!$B$9,Paramètres!$A$1:$I$89,3,0)*0.475*44/12</f>
        <v>7.6205369210191443E-6</v>
      </c>
      <c r="AC107" s="22">
        <f t="shared" si="57"/>
        <v>64.941763465102028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45.407317338461951</v>
      </c>
      <c r="AO107" s="59">
        <f t="shared" si="90"/>
        <v>149.88701606165358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6.7977087074104201</v>
      </c>
      <c r="AV107" s="21">
        <f>EXP(-LN(2)/25)*AV106+(1-EXP(-LN(2)/25))/(LN(2)/25)*Calculateur!AQ107*Calculateur!AS107*VLOOKUP('Données projet'!$B$10,Paramètres!$A$1:$I$89,3,0)*0.475*44/12</f>
        <v>0.74585364332436754</v>
      </c>
      <c r="AW107" s="21">
        <f>EXP(-LN(2)/2)*AW106+(1-EXP(-LN(2)/2))/(LN(2)/2)*AQ107*AT107*VLOOKUP('Données projet'!$B$10,Paramètres!$A$1:$I$89,3,0)*0.475*44/12</f>
        <v>2.4867027439089694E-12</v>
      </c>
      <c r="AX107" s="21">
        <f t="shared" si="60"/>
        <v>7.5435623507372744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7.882692307692305</v>
      </c>
      <c r="BD107" s="12">
        <f>IF('Données projet'!$A$88&gt;35,BD106+BC107-BL106,IF(A107&lt;'Données projet'!$A$88,$BA$205^A107,IF(A107='Données projet'!$A$88,'Données projet'!$B$88,BD106+BC107-BL106)))</f>
        <v>373.78653846153918</v>
      </c>
      <c r="BE107" s="13">
        <f>BD107*VLOOKUP('Données projet'!$B$11,Paramètres!$A$1:$I$89,3,0)*VLOOKUP('Données projet'!$B$11,Paramètres!$A$1:$I$89,5,0)</f>
        <v>174.93210000000036</v>
      </c>
      <c r="BF107" s="13">
        <f t="shared" si="91"/>
        <v>44.192804567069899</v>
      </c>
      <c r="BG107" s="20">
        <f t="shared" si="61"/>
        <v>381.64254212098064</v>
      </c>
      <c r="BH107" s="59">
        <f t="shared" si="62"/>
        <v>674.97587545431395</v>
      </c>
      <c r="BI107" s="59">
        <f ca="1">AVERAGE(OFFSET($BH$3,0,0,'Données projet'!$E$11+1,1))-AVERAGE(OFFSET($H$3,0,0,'Données projet'!$E$11+1,1))</f>
        <v>183.67580045784649</v>
      </c>
      <c r="BJ107" s="59">
        <f t="shared" si="92"/>
        <v>121.08269345608767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52.329177029069847</v>
      </c>
      <c r="BQ107" s="21">
        <f>EXP(-LN(2)/25)*BQ106+(1-EXP(-LN(2)/25))/(LN(2)/25)*Calculateur!BL107*Calculateur!BN107*VLOOKUP('Données projet'!$B$11,Paramètres!$A$1:$I$89,3,0)*0.475*44/12</f>
        <v>17.987330213769937</v>
      </c>
      <c r="BR107" s="21">
        <f>EXP(-LN(2)/2)*BR106+(1-EXP(-LN(2)/2))/(LN(2)/2)*BL107*BO107*VLOOKUP('Données projet'!$B$11,Paramètres!$A$1:$I$89,3,0)*0.475*44/12</f>
        <v>0.50091422351502823</v>
      </c>
      <c r="BS107" s="22">
        <f t="shared" si="63"/>
        <v>70.817421466354801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212.00000000000009</v>
      </c>
      <c r="BZ107" s="13">
        <f>BY107*VLOOKUP('Données projet'!$B$12,Paramètres!$A$1:$I$89,3,0)*VLOOKUP('Données projet'!$B$12,Paramètres!$A$1:$I$89,5,0)</f>
        <v>185.20320000000009</v>
      </c>
      <c r="CA107" s="13">
        <f t="shared" si="93"/>
        <v>46.477875402099386</v>
      </c>
      <c r="CB107" s="20">
        <f t="shared" si="64"/>
        <v>403.5112063253232</v>
      </c>
      <c r="CC107" s="59">
        <f t="shared" si="65"/>
        <v>696.84453965865646</v>
      </c>
      <c r="CD107" s="59">
        <f ca="1">AVERAGE(OFFSET($CC$3,0,0,'Données projet'!$E$12+1,1))-AVERAGE(OFFSET($H$3,0,0,'Données projet'!$E$12+1,1))</f>
        <v>216.10252108537389</v>
      </c>
      <c r="CE107" s="59">
        <f t="shared" si="94"/>
        <v>196.91968622092054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13.797127439022928</v>
      </c>
      <c r="CL107" s="21">
        <f>EXP(-LN(2)/25)*CL106+(1-EXP(-LN(2)/25))/(LN(2)/25)*Calculateur!CG107*Calculateur!CI107*VLOOKUP('Données projet'!$B$12,Paramètres!$A$1:$I$89,3,0)*0.475*44/12</f>
        <v>12.518826786563253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26.315954225586182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279.71794871794873</v>
      </c>
      <c r="CR107" s="12">
        <f>VLOOKUP(A107,'Données projet'!$A$139:$I$159,9,0)</f>
        <v>6.071794871794876</v>
      </c>
      <c r="CS107" s="12">
        <f t="array" ref="CS107">INDEX(CR:CR,MIN(IF(ISNUMBER(CR107:CR303),ROW(CR107:CR303),"")))</f>
        <v>6.071794871794876</v>
      </c>
      <c r="CT107" s="12">
        <f>IF('Données projet'!$A$140&gt;35,CT106+CS107-DB106,IF(A107&lt;'Données projet'!$A$140,$CQ$205^A107,IF(A107='Données projet'!$A$140,'Données projet'!$B$140,CT106+CS107-DB106)))</f>
        <v>279.71794871794867</v>
      </c>
      <c r="CU107" s="17">
        <f>CT107*VLOOKUP('Données projet'!$B$13,Paramètres!$A$1:$I$89,3,0)*VLOOKUP('Données projet'!$B$13,Paramètres!$A$1:$I$89,5,0)</f>
        <v>253.08879999999994</v>
      </c>
      <c r="CV107" s="13">
        <f t="shared" si="95"/>
        <v>61.246887447404951</v>
      </c>
      <c r="CW107" s="20">
        <f t="shared" si="67"/>
        <v>547.46798897089673</v>
      </c>
      <c r="CX107" s="59">
        <f t="shared" si="68"/>
        <v>840.8013223042301</v>
      </c>
      <c r="CY107" s="59">
        <f ca="1">AVERAGE(OFFSET($CX$3,0,0,'Données projet'!$E$13+1,1))-AVERAGE(OFFSET($H$3,0,0,'Données projet'!$E$13+1,1))</f>
        <v>318.01858325056168</v>
      </c>
      <c r="CZ107" s="59">
        <f t="shared" si="96"/>
        <v>119.46953274700951</v>
      </c>
      <c r="DA107" s="15">
        <f>IF(ISNA(VLOOKUP(A107,'Données projet'!$A$139:$I$159,3,0)),0,VLOOKUP(A107,'Données projet'!$A$139:$I$159,3,0))</f>
        <v>8</v>
      </c>
      <c r="DB107" s="15">
        <f>IF(ISNA(VLOOKUP(A107,'Données projet'!$A$139:$I$159,4,0)),0,VLOOKUP(A107,'Données projet'!$A$139:$I$159,4,0))</f>
        <v>45.987179487179482</v>
      </c>
      <c r="DC107" s="16">
        <f>IF(ISNA(VLOOKUP(A107,'Données projet'!$A$139:$I$159,5,0)),0%,VLOOKUP(A107,'Données projet'!$A$139:$I$159,5,0)*VLOOKUP('Données projet'!$B$13,Paramètres!$A$1:$I$89,7,0))</f>
        <v>0.30099999999999999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35.087789958296405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35.087789958296405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49.140000000000128</v>
      </c>
      <c r="D108" s="11">
        <f t="shared" si="86"/>
        <v>14.3914371473009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490.41811131249915</v>
      </c>
      <c r="H108" s="67">
        <f t="shared" si="56"/>
        <v>403.98391969821591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200.15574321350221</v>
      </c>
      <c r="T108" s="59">
        <f t="shared" si="88"/>
        <v>200.70728852570426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53.207782329917912</v>
      </c>
      <c r="AA108" s="21">
        <f>EXP(-LN(2)/25)*AA107+(1-EXP(-LN(2)/25))/(LN(2)/25)*Calculateur!V108*Calculateur!X108*VLOOKUP('Données projet'!$B$9,Paramètres!$A$1:$I$89,3,0)*0.475*44/12</f>
        <v>10.377967845271787</v>
      </c>
      <c r="AB108" s="21">
        <f>EXP(-LN(2)/2)*AB107+(1-EXP(-LN(2)/2))/(LN(2)/2)*V108*Y108*VLOOKUP('Données projet'!$B$9,Paramètres!$A$1:$I$89,3,0)*0.475*44/12</f>
        <v>5.3885333331350914E-6</v>
      </c>
      <c r="AC108" s="22">
        <f t="shared" si="57"/>
        <v>63.585755563723033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45.407317338461951</v>
      </c>
      <c r="AO108" s="59">
        <f t="shared" si="90"/>
        <v>149.88701606165358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6.664409785851011</v>
      </c>
      <c r="AV108" s="21">
        <f>EXP(-LN(2)/25)*AV107+(1-EXP(-LN(2)/25))/(LN(2)/25)*Calculateur!AQ108*Calculateur!AS108*VLOOKUP('Données projet'!$B$10,Paramètres!$A$1:$I$89,3,0)*0.475*44/12</f>
        <v>0.72545823622492434</v>
      </c>
      <c r="AW108" s="21">
        <f>EXP(-LN(2)/2)*AW107+(1-EXP(-LN(2)/2))/(LN(2)/2)*AQ108*AT108*VLOOKUP('Données projet'!$B$10,Paramètres!$A$1:$I$89,3,0)*0.475*44/12</f>
        <v>1.758364373013227E-12</v>
      </c>
      <c r="AX108" s="21">
        <f t="shared" si="60"/>
        <v>7.3898680220776942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7.882692307692305</v>
      </c>
      <c r="BD108" s="12">
        <f>IF('Données projet'!$A$88&gt;35,BD107+BC108-BL107,IF(A108&lt;'Données projet'!$A$88,$BA$205^A108,IF(A108='Données projet'!$A$88,'Données projet'!$B$88,BD107+BC108-BL107)))</f>
        <v>381.66923076923149</v>
      </c>
      <c r="BE108" s="13">
        <f>BD108*VLOOKUP('Données projet'!$B$11,Paramètres!$A$1:$I$89,3,0)*VLOOKUP('Données projet'!$B$11,Paramètres!$A$1:$I$89,5,0)</f>
        <v>178.62120000000033</v>
      </c>
      <c r="BF108" s="13">
        <f t="shared" si="91"/>
        <v>45.01529142181213</v>
      </c>
      <c r="BG108" s="20">
        <f t="shared" si="61"/>
        <v>389.50022255965672</v>
      </c>
      <c r="BH108" s="59">
        <f t="shared" si="62"/>
        <v>682.83355589299003</v>
      </c>
      <c r="BI108" s="59">
        <f ca="1">AVERAGE(OFFSET($BH$3,0,0,'Données projet'!$E$11+1,1))-AVERAGE(OFFSET($H$3,0,0,'Données projet'!$E$11+1,1))</f>
        <v>183.67580045784649</v>
      </c>
      <c r="BJ108" s="59">
        <f t="shared" si="92"/>
        <v>121.08269345608767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51.303033785176169</v>
      </c>
      <c r="BQ108" s="21">
        <f>EXP(-LN(2)/25)*BQ107+(1-EXP(-LN(2)/25))/(LN(2)/25)*Calculateur!BL108*Calculateur!BN108*VLOOKUP('Données projet'!$B$11,Paramètres!$A$1:$I$89,3,0)*0.475*44/12</f>
        <v>17.495465723161814</v>
      </c>
      <c r="BR108" s="21">
        <f>EXP(-LN(2)/2)*BR107+(1-EXP(-LN(2)/2))/(LN(2)/2)*BL108*BO108*VLOOKUP('Données projet'!$B$11,Paramètres!$A$1:$I$89,3,0)*0.475*44/12</f>
        <v>0.35419984424027046</v>
      </c>
      <c r="BS108" s="22">
        <f t="shared" si="63"/>
        <v>69.152699352578253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212.00000000000009</v>
      </c>
      <c r="BZ108" s="13">
        <f>BY108*VLOOKUP('Données projet'!$B$12,Paramètres!$A$1:$I$89,3,0)*VLOOKUP('Données projet'!$B$12,Paramètres!$A$1:$I$89,5,0)</f>
        <v>185.20320000000009</v>
      </c>
      <c r="CA108" s="13">
        <f t="shared" si="93"/>
        <v>46.477875402099386</v>
      </c>
      <c r="CB108" s="20">
        <f t="shared" si="64"/>
        <v>403.5112063253232</v>
      </c>
      <c r="CC108" s="59">
        <f t="shared" si="65"/>
        <v>696.84453965865646</v>
      </c>
      <c r="CD108" s="59">
        <f ca="1">AVERAGE(OFFSET($CC$3,0,0,'Données projet'!$E$12+1,1))-AVERAGE(OFFSET($H$3,0,0,'Données projet'!$E$12+1,1))</f>
        <v>216.10252108537389</v>
      </c>
      <c r="CE108" s="59">
        <f t="shared" si="94"/>
        <v>196.91968622092054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13.526574185360472</v>
      </c>
      <c r="CL108" s="21">
        <f>EXP(-LN(2)/25)*CL107+(1-EXP(-LN(2)/25))/(LN(2)/25)*Calculateur!CG108*Calculateur!CI108*VLOOKUP('Données projet'!$B$12,Paramètres!$A$1:$I$89,3,0)*0.475*44/12</f>
        <v>12.176498809748193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25.703072995108663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5.9865384615384558</v>
      </c>
      <c r="CT108" s="12">
        <f>IF('Données projet'!$A$140&gt;35,CT107+CS108-DB107,IF(A108&lt;'Données projet'!$A$140,$CQ$205^A108,IF(A108='Données projet'!$A$140,'Données projet'!$B$140,CT107+CS108-DB107)))</f>
        <v>239.71730769230763</v>
      </c>
      <c r="CU108" s="17">
        <f>CT108*VLOOKUP('Données projet'!$B$13,Paramètres!$A$1:$I$89,3,0)*VLOOKUP('Données projet'!$B$13,Paramètres!$A$1:$I$89,5,0)</f>
        <v>216.89621999999994</v>
      </c>
      <c r="CV108" s="13">
        <f t="shared" si="95"/>
        <v>53.439737642112412</v>
      </c>
      <c r="CW108" s="20">
        <f t="shared" si="67"/>
        <v>470.83512622667905</v>
      </c>
      <c r="CX108" s="59">
        <f t="shared" si="68"/>
        <v>764.16845956001237</v>
      </c>
      <c r="CY108" s="59">
        <f ca="1">AVERAGE(OFFSET($CX$3,0,0,'Données projet'!$E$13+1,1))-AVERAGE(OFFSET($H$3,0,0,'Données projet'!$E$13+1,1))</f>
        <v>318.01858325056168</v>
      </c>
      <c r="CZ108" s="59">
        <f t="shared" si="96"/>
        <v>119.46953274700951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34.399739798652867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34.399739798652867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49.608000000000132</v>
      </c>
      <c r="D109" s="11">
        <f t="shared" si="86"/>
        <v>14.512477626061624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494.96509044679243</v>
      </c>
      <c r="H109" s="67">
        <f t="shared" si="56"/>
        <v>405.00983186539088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200.15574321350221</v>
      </c>
      <c r="T109" s="59">
        <f t="shared" si="88"/>
        <v>200.70728852570426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52.164410171970921</v>
      </c>
      <c r="AA109" s="21">
        <f>EXP(-LN(2)/25)*AA108+(1-EXP(-LN(2)/25))/(LN(2)/25)*Calculateur!V109*Calculateur!X109*VLOOKUP('Données projet'!$B$9,Paramètres!$A$1:$I$89,3,0)*0.475*44/12</f>
        <v>10.09418176878922</v>
      </c>
      <c r="AB109" s="21">
        <f>EXP(-LN(2)/2)*AB108+(1-EXP(-LN(2)/2))/(LN(2)/2)*V109*Y109*VLOOKUP('Données projet'!$B$9,Paramètres!$A$1:$I$89,3,0)*0.475*44/12</f>
        <v>3.810268460509573E-6</v>
      </c>
      <c r="AC109" s="22">
        <f t="shared" si="57"/>
        <v>62.258595751028601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45.407317338461951</v>
      </c>
      <c r="AO109" s="59">
        <f t="shared" si="90"/>
        <v>149.88701606165358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6.5337247748390679</v>
      </c>
      <c r="AV109" s="21">
        <f>EXP(-LN(2)/25)*AV108+(1-EXP(-LN(2)/25))/(LN(2)/25)*Calculateur!AQ109*Calculateur!AS109*VLOOKUP('Données projet'!$B$10,Paramètres!$A$1:$I$89,3,0)*0.475*44/12</f>
        <v>0.70562054260516316</v>
      </c>
      <c r="AW109" s="21">
        <f>EXP(-LN(2)/2)*AW108+(1-EXP(-LN(2)/2))/(LN(2)/2)*AQ109*AT109*VLOOKUP('Données projet'!$B$10,Paramètres!$A$1:$I$89,3,0)*0.475*44/12</f>
        <v>1.2433513719544847E-12</v>
      </c>
      <c r="AX109" s="21">
        <f t="shared" si="60"/>
        <v>7.2393453174454745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7.882692307692305</v>
      </c>
      <c r="BD109" s="12">
        <f>IF('Données projet'!$A$88&gt;35,BD108+BC109-BL108,IF(A109&lt;'Données projet'!$A$88,$BA$205^A109,IF(A109='Données projet'!$A$88,'Données projet'!$B$88,BD108+BC109-BL108)))</f>
        <v>389.5519230769238</v>
      </c>
      <c r="BE109" s="13">
        <f>BD109*VLOOKUP('Données projet'!$B$11,Paramètres!$A$1:$I$89,3,0)*VLOOKUP('Données projet'!$B$11,Paramètres!$A$1:$I$89,5,0)</f>
        <v>182.31030000000032</v>
      </c>
      <c r="BF109" s="13">
        <f t="shared" si="91"/>
        <v>45.835803217507902</v>
      </c>
      <c r="BG109" s="20">
        <f t="shared" si="61"/>
        <v>397.35446310382684</v>
      </c>
      <c r="BH109" s="59">
        <f t="shared" si="62"/>
        <v>690.68779643716016</v>
      </c>
      <c r="BI109" s="59">
        <f ca="1">AVERAGE(OFFSET($BH$3,0,0,'Données projet'!$E$11+1,1))-AVERAGE(OFFSET($H$3,0,0,'Données projet'!$E$11+1,1))</f>
        <v>183.67580045784649</v>
      </c>
      <c r="BJ109" s="59">
        <f t="shared" si="92"/>
        <v>121.08269345608767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50.297012584409671</v>
      </c>
      <c r="BQ109" s="21">
        <f>EXP(-LN(2)/25)*BQ108+(1-EXP(-LN(2)/25))/(LN(2)/25)*Calculateur!BL109*Calculateur!BN109*VLOOKUP('Données projet'!$B$11,Paramètres!$A$1:$I$89,3,0)*0.475*44/12</f>
        <v>17.017051292915397</v>
      </c>
      <c r="BR109" s="21">
        <f>EXP(-LN(2)/2)*BR108+(1-EXP(-LN(2)/2))/(LN(2)/2)*BL109*BO109*VLOOKUP('Données projet'!$B$11,Paramètres!$A$1:$I$89,3,0)*0.475*44/12</f>
        <v>0.25045711175751417</v>
      </c>
      <c r="BS109" s="22">
        <f t="shared" si="63"/>
        <v>67.564520989082581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212.00000000000009</v>
      </c>
      <c r="BZ109" s="13">
        <f>BY109*VLOOKUP('Données projet'!$B$12,Paramètres!$A$1:$I$89,3,0)*VLOOKUP('Données projet'!$B$12,Paramètres!$A$1:$I$89,5,0)</f>
        <v>185.20320000000009</v>
      </c>
      <c r="CA109" s="13">
        <f t="shared" si="93"/>
        <v>46.477875402099386</v>
      </c>
      <c r="CB109" s="20">
        <f t="shared" si="64"/>
        <v>403.5112063253232</v>
      </c>
      <c r="CC109" s="59">
        <f t="shared" si="65"/>
        <v>696.84453965865646</v>
      </c>
      <c r="CD109" s="59">
        <f ca="1">AVERAGE(OFFSET($CC$3,0,0,'Données projet'!$E$12+1,1))-AVERAGE(OFFSET($H$3,0,0,'Données projet'!$E$12+1,1))</f>
        <v>216.10252108537389</v>
      </c>
      <c r="CE109" s="59">
        <f t="shared" si="94"/>
        <v>196.91968622092054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13.261326315981147</v>
      </c>
      <c r="CL109" s="21">
        <f>EXP(-LN(2)/25)*CL108+(1-EXP(-LN(2)/25))/(LN(2)/25)*Calculateur!CG109*Calculateur!CI109*VLOOKUP('Données projet'!$B$12,Paramètres!$A$1:$I$89,3,0)*0.475*44/12</f>
        <v>11.843531809461386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25.104858125442533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5.9865384615384558</v>
      </c>
      <c r="CT109" s="12">
        <f>IF('Données projet'!$A$140&gt;35,CT108+CS109-DB108,IF(A109&lt;'Données projet'!$A$140,$CQ$205^A109,IF(A109='Données projet'!$A$140,'Données projet'!$B$140,CT108+CS109-DB108)))</f>
        <v>245.70384615384609</v>
      </c>
      <c r="CU109" s="17">
        <f>CT109*VLOOKUP('Données projet'!$B$13,Paramètres!$A$1:$I$89,3,0)*VLOOKUP('Données projet'!$B$13,Paramètres!$A$1:$I$89,5,0)</f>
        <v>222.31283999999994</v>
      </c>
      <c r="CV109" s="13">
        <f t="shared" si="95"/>
        <v>54.617263695846574</v>
      </c>
      <c r="CW109" s="20">
        <f t="shared" si="67"/>
        <v>482.31993060359929</v>
      </c>
      <c r="CX109" s="59">
        <f t="shared" si="68"/>
        <v>775.6532639369326</v>
      </c>
      <c r="CY109" s="59">
        <f ca="1">AVERAGE(OFFSET($CX$3,0,0,'Données projet'!$E$13+1,1))-AVERAGE(OFFSET($H$3,0,0,'Données projet'!$E$13+1,1))</f>
        <v>318.01858325056168</v>
      </c>
      <c r="CZ109" s="59">
        <f t="shared" si="96"/>
        <v>119.46953274700951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33.72518188297078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33.72518188297078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50.076000000000136</v>
      </c>
      <c r="D110" s="11">
        <f t="shared" si="86"/>
        <v>14.633385259541638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499.51104410874353</v>
      </c>
      <c r="H110" s="67">
        <f t="shared" si="56"/>
        <v>406.03551266036857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200.15574321350221</v>
      </c>
      <c r="T110" s="59">
        <f t="shared" si="88"/>
        <v>200.70728852570426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51.141497905647093</v>
      </c>
      <c r="AA110" s="21">
        <f>EXP(-LN(2)/25)*AA109+(1-EXP(-LN(2)/25))/(LN(2)/25)*Calculateur!V110*Calculateur!X110*VLOOKUP('Données projet'!$B$9,Paramètres!$A$1:$I$89,3,0)*0.475*44/12</f>
        <v>9.8181558374917302</v>
      </c>
      <c r="AB110" s="21">
        <f>EXP(-LN(2)/2)*AB109+(1-EXP(-LN(2)/2))/(LN(2)/2)*V110*Y110*VLOOKUP('Données projet'!$B$9,Paramètres!$A$1:$I$89,3,0)*0.475*44/12</f>
        <v>2.6942666665675461E-6</v>
      </c>
      <c r="AC110" s="22">
        <f t="shared" si="57"/>
        <v>60.959656437405492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45.407317338461951</v>
      </c>
      <c r="AO110" s="59">
        <f t="shared" si="90"/>
        <v>149.88701606165358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6.4056024171830828</v>
      </c>
      <c r="AV110" s="21">
        <f>EXP(-LN(2)/25)*AV109+(1-EXP(-LN(2)/25))/(LN(2)/25)*Calculateur!AQ110*Calculateur!AS110*VLOOKUP('Données projet'!$B$10,Paramètres!$A$1:$I$89,3,0)*0.475*44/12</f>
        <v>0.68632531176065337</v>
      </c>
      <c r="AW110" s="21">
        <f>EXP(-LN(2)/2)*AW109+(1-EXP(-LN(2)/2))/(LN(2)/2)*AQ110*AT110*VLOOKUP('Données projet'!$B$10,Paramètres!$A$1:$I$89,3,0)*0.475*44/12</f>
        <v>8.7918218650661348E-13</v>
      </c>
      <c r="AX110" s="21">
        <f t="shared" si="60"/>
        <v>7.091927728944615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7.882692307692305</v>
      </c>
      <c r="BD110" s="12">
        <f>IF('Données projet'!$A$88&gt;35,BD109+BC110-BL109,IF(A110&lt;'Données projet'!$A$88,$BA$205^A110,IF(A110='Données projet'!$A$88,'Données projet'!$B$88,BD109+BC110-BL109)))</f>
        <v>397.43461538461611</v>
      </c>
      <c r="BE110" s="13">
        <f>BD110*VLOOKUP('Données projet'!$B$11,Paramètres!$A$1:$I$89,3,0)*VLOOKUP('Données projet'!$B$11,Paramètres!$A$1:$I$89,5,0)</f>
        <v>185.99940000000032</v>
      </c>
      <c r="BF110" s="13">
        <f t="shared" si="91"/>
        <v>46.654384525692834</v>
      </c>
      <c r="BG110" s="20">
        <f t="shared" si="61"/>
        <v>405.20534138224889</v>
      </c>
      <c r="BH110" s="59">
        <f t="shared" si="62"/>
        <v>698.53867471558215</v>
      </c>
      <c r="BI110" s="59">
        <f ca="1">AVERAGE(OFFSET($BH$3,0,0,'Données projet'!$E$11+1,1))-AVERAGE(OFFSET($H$3,0,0,'Données projet'!$E$11+1,1))</f>
        <v>183.67580045784649</v>
      </c>
      <c r="BJ110" s="59">
        <f t="shared" si="92"/>
        <v>121.08269345608767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49.310718845777856</v>
      </c>
      <c r="BQ110" s="21">
        <f>EXP(-LN(2)/25)*BQ109+(1-EXP(-LN(2)/25))/(LN(2)/25)*Calculateur!BL110*Calculateur!BN110*VLOOKUP('Données projet'!$B$11,Paramètres!$A$1:$I$89,3,0)*0.475*44/12</f>
        <v>16.551719130422793</v>
      </c>
      <c r="BR110" s="21">
        <f>EXP(-LN(2)/2)*BR109+(1-EXP(-LN(2)/2))/(LN(2)/2)*BL110*BO110*VLOOKUP('Données projet'!$B$11,Paramètres!$A$1:$I$89,3,0)*0.475*44/12</f>
        <v>0.17709992212013526</v>
      </c>
      <c r="BS110" s="22">
        <f t="shared" si="63"/>
        <v>66.039537898320788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212.00000000000009</v>
      </c>
      <c r="BZ110" s="13">
        <f>BY110*VLOOKUP('Données projet'!$B$12,Paramètres!$A$1:$I$89,3,0)*VLOOKUP('Données projet'!$B$12,Paramètres!$A$1:$I$89,5,0)</f>
        <v>185.20320000000009</v>
      </c>
      <c r="CA110" s="13">
        <f t="shared" si="93"/>
        <v>46.477875402099386</v>
      </c>
      <c r="CB110" s="20">
        <f t="shared" si="64"/>
        <v>403.5112063253232</v>
      </c>
      <c r="CC110" s="59">
        <f t="shared" si="65"/>
        <v>696.84453965865646</v>
      </c>
      <c r="CD110" s="59">
        <f ca="1">AVERAGE(OFFSET($CC$3,0,0,'Données projet'!$E$12+1,1))-AVERAGE(OFFSET($H$3,0,0,'Données projet'!$E$12+1,1))</f>
        <v>216.10252108537389</v>
      </c>
      <c r="CE110" s="59">
        <f t="shared" si="94"/>
        <v>196.91968622092054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13.001279795535126</v>
      </c>
      <c r="CL110" s="21">
        <f>EXP(-LN(2)/25)*CL109+(1-EXP(-LN(2)/25))/(LN(2)/25)*Calculateur!CG110*Calculateur!CI110*VLOOKUP('Données projet'!$B$12,Paramètres!$A$1:$I$89,3,0)*0.475*44/12</f>
        <v>11.519669809307395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24.520949604842521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5.9865384615384558</v>
      </c>
      <c r="CT110" s="12">
        <f>IF('Données projet'!$A$140&gt;35,CT109+CS110-DB109,IF(A110&lt;'Données projet'!$A$140,$CQ$205^A110,IF(A110='Données projet'!$A$140,'Données projet'!$B$140,CT109+CS110-DB109)))</f>
        <v>251.69038461538454</v>
      </c>
      <c r="CU110" s="17">
        <f>CT110*VLOOKUP('Données projet'!$B$13,Paramètres!$A$1:$I$89,3,0)*VLOOKUP('Données projet'!$B$13,Paramètres!$A$1:$I$89,5,0)</f>
        <v>227.7294599999999</v>
      </c>
      <c r="CV110" s="13">
        <f t="shared" si="95"/>
        <v>55.791454586739938</v>
      </c>
      <c r="CW110" s="20">
        <f t="shared" si="67"/>
        <v>493.79892623857194</v>
      </c>
      <c r="CX110" s="59">
        <f t="shared" si="68"/>
        <v>787.13225957190525</v>
      </c>
      <c r="CY110" s="59">
        <f ca="1">AVERAGE(OFFSET($CX$3,0,0,'Données projet'!$E$13+1,1))-AVERAGE(OFFSET($H$3,0,0,'Données projet'!$E$13+1,1))</f>
        <v>318.01858325056168</v>
      </c>
      <c r="CZ110" s="59">
        <f t="shared" si="96"/>
        <v>119.46953274700951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33.063851636575521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33.063851636575521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50.544000000000139</v>
      </c>
      <c r="D111" s="11">
        <f t="shared" si="86"/>
        <v>14.754161433088285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504.05598299226153</v>
      </c>
      <c r="H111" s="67">
        <f t="shared" si="56"/>
        <v>407.06096449596231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200.15574321350221</v>
      </c>
      <c r="T111" s="59">
        <f t="shared" si="88"/>
        <v>200.70728852570426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50.138644324951002</v>
      </c>
      <c r="AA111" s="21">
        <f>EXP(-LN(2)/25)*AA110+(1-EXP(-LN(2)/25))/(LN(2)/25)*Calculateur!V111*Calculateur!X111*VLOOKUP('Données projet'!$B$9,Paramètres!$A$1:$I$89,3,0)*0.475*44/12</f>
        <v>9.5496778498011423</v>
      </c>
      <c r="AB111" s="21">
        <f>EXP(-LN(2)/2)*AB110+(1-EXP(-LN(2)/2))/(LN(2)/2)*V111*Y111*VLOOKUP('Données projet'!$B$9,Paramètres!$A$1:$I$89,3,0)*0.475*44/12</f>
        <v>1.9051342302547867E-6</v>
      </c>
      <c r="AC111" s="22">
        <f t="shared" si="57"/>
        <v>59.688324079886378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45.407317338461951</v>
      </c>
      <c r="AO111" s="59">
        <f t="shared" si="90"/>
        <v>149.88701606165358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6.2799924608138094</v>
      </c>
      <c r="AV111" s="21">
        <f>EXP(-LN(2)/25)*AV110+(1-EXP(-LN(2)/25))/(LN(2)/25)*Calculateur!AQ111*Calculateur!AS111*VLOOKUP('Données projet'!$B$10,Paramètres!$A$1:$I$89,3,0)*0.475*44/12</f>
        <v>0.66755771001827879</v>
      </c>
      <c r="AW111" s="21">
        <f>EXP(-LN(2)/2)*AW110+(1-EXP(-LN(2)/2))/(LN(2)/2)*AQ111*AT111*VLOOKUP('Données projet'!$B$10,Paramètres!$A$1:$I$89,3,0)*0.475*44/12</f>
        <v>6.2167568597724235E-13</v>
      </c>
      <c r="AX111" s="21">
        <f t="shared" si="60"/>
        <v>6.9475501708327094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7.882692307692305</v>
      </c>
      <c r="BD111" s="12">
        <f>IF('Données projet'!$A$88&gt;35,BD110+BC111-BL110,IF(A111&lt;'Données projet'!$A$88,$BA$205^A111,IF(A111='Données projet'!$A$88,'Données projet'!$B$88,BD110+BC111-BL110)))</f>
        <v>405.31730769230842</v>
      </c>
      <c r="BE111" s="13">
        <f>BD111*VLOOKUP('Données projet'!$B$11,Paramètres!$A$1:$I$89,3,0)*VLOOKUP('Données projet'!$B$11,Paramètres!$A$1:$I$89,5,0)</f>
        <v>189.68850000000032</v>
      </c>
      <c r="BF111" s="13">
        <f t="shared" si="91"/>
        <v>47.471078048734149</v>
      </c>
      <c r="BG111" s="20">
        <f t="shared" si="61"/>
        <v>413.05293176821243</v>
      </c>
      <c r="BH111" s="59">
        <f t="shared" si="62"/>
        <v>706.38626510154575</v>
      </c>
      <c r="BI111" s="59">
        <f ca="1">AVERAGE(OFFSET($BH$3,0,0,'Données projet'!$E$11+1,1))-AVERAGE(OFFSET($H$3,0,0,'Données projet'!$E$11+1,1))</f>
        <v>183.67580045784649</v>
      </c>
      <c r="BJ111" s="59">
        <f t="shared" si="92"/>
        <v>121.08269345608767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48.343765725780834</v>
      </c>
      <c r="BQ111" s="21">
        <f>EXP(-LN(2)/25)*BQ110+(1-EXP(-LN(2)/25))/(LN(2)/25)*Calculateur!BL111*Calculateur!BN111*VLOOKUP('Données projet'!$B$11,Paramètres!$A$1:$I$89,3,0)*0.475*44/12</f>
        <v>16.099111500384303</v>
      </c>
      <c r="BR111" s="21">
        <f>EXP(-LN(2)/2)*BR110+(1-EXP(-LN(2)/2))/(LN(2)/2)*BL111*BO111*VLOOKUP('Données projet'!$B$11,Paramètres!$A$1:$I$89,3,0)*0.475*44/12</f>
        <v>0.12522855587875709</v>
      </c>
      <c r="BS111" s="22">
        <f t="shared" si="63"/>
        <v>64.568105782043901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212.00000000000009</v>
      </c>
      <c r="BZ111" s="13">
        <f>BY111*VLOOKUP('Données projet'!$B$12,Paramètres!$A$1:$I$89,3,0)*VLOOKUP('Données projet'!$B$12,Paramètres!$A$1:$I$89,5,0)</f>
        <v>185.20320000000009</v>
      </c>
      <c r="CA111" s="13">
        <f t="shared" si="93"/>
        <v>46.477875402099386</v>
      </c>
      <c r="CB111" s="20">
        <f t="shared" si="64"/>
        <v>403.5112063253232</v>
      </c>
      <c r="CC111" s="59">
        <f t="shared" si="65"/>
        <v>696.84453965865646</v>
      </c>
      <c r="CD111" s="59">
        <f ca="1">AVERAGE(OFFSET($CC$3,0,0,'Données projet'!$E$12+1,1))-AVERAGE(OFFSET($H$3,0,0,'Données projet'!$E$12+1,1))</f>
        <v>216.10252108537389</v>
      </c>
      <c r="CE111" s="59">
        <f t="shared" si="94"/>
        <v>196.91968622092054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12.746332628742335</v>
      </c>
      <c r="CL111" s="21">
        <f>EXP(-LN(2)/25)*CL110+(1-EXP(-LN(2)/25))/(LN(2)/25)*Calculateur!CG111*Calculateur!CI111*VLOOKUP('Données projet'!$B$12,Paramètres!$A$1:$I$89,3,0)*0.475*44/12</f>
        <v>11.204663832578778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23.950996461321111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5.9865384615384558</v>
      </c>
      <c r="CT111" s="12">
        <f>IF('Données projet'!$A$140&gt;35,CT110+CS111-DB110,IF(A111&lt;'Données projet'!$A$140,$CQ$205^A111,IF(A111='Données projet'!$A$140,'Données projet'!$B$140,CT110+CS111-DB110)))</f>
        <v>257.676923076923</v>
      </c>
      <c r="CU111" s="17">
        <f>CT111*VLOOKUP('Données projet'!$B$13,Paramètres!$A$1:$I$89,3,0)*VLOOKUP('Données projet'!$B$13,Paramètres!$A$1:$I$89,5,0)</f>
        <v>233.14607999999996</v>
      </c>
      <c r="CV111" s="13">
        <f t="shared" si="95"/>
        <v>56.96239877088869</v>
      </c>
      <c r="CW111" s="20">
        <f t="shared" si="67"/>
        <v>505.27226719263109</v>
      </c>
      <c r="CX111" s="59">
        <f t="shared" si="68"/>
        <v>798.60560052596441</v>
      </c>
      <c r="CY111" s="59">
        <f ca="1">AVERAGE(OFFSET($CX$3,0,0,'Données projet'!$E$13+1,1))-AVERAGE(OFFSET($H$3,0,0,'Données projet'!$E$13+1,1))</f>
        <v>318.01858325056168</v>
      </c>
      <c r="CZ111" s="59">
        <f t="shared" si="96"/>
        <v>119.46953274700951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32.415489672940453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32.415489672940453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51.012000000000143</v>
      </c>
      <c r="D112" s="11">
        <f t="shared" si="86"/>
        <v>14.874807504914717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508.59991758179893</v>
      </c>
      <c r="H112" s="67">
        <f t="shared" si="56"/>
        <v>408.08618973772667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200.15574321350221</v>
      </c>
      <c r="T112" s="59">
        <f t="shared" si="88"/>
        <v>200.70728852570426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49.155456091292073</v>
      </c>
      <c r="AA112" s="21">
        <f>EXP(-LN(2)/25)*AA111+(1-EXP(-LN(2)/25))/(LN(2)/25)*Calculateur!V112*Calculateur!X112*VLOOKUP('Données projet'!$B$9,Paramètres!$A$1:$I$89,3,0)*0.475*44/12</f>
        <v>9.2885414068025973</v>
      </c>
      <c r="AB112" s="21">
        <f>EXP(-LN(2)/2)*AB111+(1-EXP(-LN(2)/2))/(LN(2)/2)*V112*Y112*VLOOKUP('Données projet'!$B$9,Paramètres!$A$1:$I$89,3,0)*0.475*44/12</f>
        <v>1.3471333332837733E-6</v>
      </c>
      <c r="AC112" s="22">
        <f t="shared" si="57"/>
        <v>58.443998845228009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45.407317338461951</v>
      </c>
      <c r="AO112" s="59">
        <f t="shared" si="90"/>
        <v>149.88701606165358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6.1568456390744295</v>
      </c>
      <c r="AV112" s="21">
        <f>EXP(-LN(2)/25)*AV111+(1-EXP(-LN(2)/25))/(LN(2)/25)*Calculateur!AQ112*Calculateur!AS112*VLOOKUP('Données projet'!$B$10,Paramètres!$A$1:$I$89,3,0)*0.475*44/12</f>
        <v>0.64930330933249469</v>
      </c>
      <c r="AW112" s="21">
        <f>EXP(-LN(2)/2)*AW111+(1-EXP(-LN(2)/2))/(LN(2)/2)*AQ112*AT112*VLOOKUP('Données projet'!$B$10,Paramètres!$A$1:$I$89,3,0)*0.475*44/12</f>
        <v>4.3959109325330674E-13</v>
      </c>
      <c r="AX112" s="21">
        <f t="shared" si="60"/>
        <v>6.8061489484073636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>
        <f>VLOOKUP(A112,'Données projet'!$A$87:$I$107,2,0)</f>
        <v>413.2</v>
      </c>
      <c r="BB112" s="12">
        <f>VLOOKUP(A112,'Données projet'!$A$87:$I$107,9,0)</f>
        <v>7.882692307692305</v>
      </c>
      <c r="BC112" s="12">
        <f t="array" ref="BC112">INDEX(BB:BB,MIN(IF(ISNUMBER(BB112:BB308),ROW(BB112:BB308),"")))</f>
        <v>7.882692307692305</v>
      </c>
      <c r="BD112" s="12">
        <f>IF('Données projet'!$A$88&gt;35,BD111+BC112-BL111,IF(A112&lt;'Données projet'!$A$88,$BA$205^A112,IF(A112='Données projet'!$A$88,'Données projet'!$B$88,BD111+BC112-BL111)))</f>
        <v>413.20000000000073</v>
      </c>
      <c r="BE112" s="13">
        <f>BD112*VLOOKUP('Données projet'!$B$11,Paramètres!$A$1:$I$89,3,0)*VLOOKUP('Données projet'!$B$11,Paramètres!$A$1:$I$89,5,0)</f>
        <v>193.37760000000034</v>
      </c>
      <c r="BF112" s="13">
        <f t="shared" si="91"/>
        <v>48.285924733018319</v>
      </c>
      <c r="BG112" s="20">
        <f t="shared" si="61"/>
        <v>420.89730557667417</v>
      </c>
      <c r="BH112" s="59">
        <f t="shared" si="62"/>
        <v>714.23063891000743</v>
      </c>
      <c r="BI112" s="59">
        <f ca="1">AVERAGE(OFFSET($BH$3,0,0,'Données projet'!$E$11+1,1))-AVERAGE(OFFSET($H$3,0,0,'Données projet'!$E$11+1,1))</f>
        <v>183.67580045784649</v>
      </c>
      <c r="BJ112" s="59">
        <f t="shared" si="92"/>
        <v>121.08269345608767</v>
      </c>
      <c r="BK112" s="15">
        <f>IF(ISNA(VLOOKUP(A112,'Données projet'!$A$87:$I$107,3,0)),0,VLOOKUP(A112,'Données projet'!$A$87:$I$107,3,0))</f>
        <v>6</v>
      </c>
      <c r="BL112" s="15">
        <f>IF(ISNA(VLOOKUP(A112,'Données projet'!$A$87:$I$107,4,0)),0,VLOOKUP(A112,'Données projet'!$A$87:$I$107,4,0))</f>
        <v>80.653846153846146</v>
      </c>
      <c r="BM112" s="16">
        <f>IF(ISNA(VLOOKUP(A112,'Données projet'!$A$87:$I$107,5,0)),0%,VLOOKUP(A112,'Données projet'!$A$87:$I$107,5,0)*VLOOKUP('Données projet'!$B$11,Paramètres!$A$1:$I$89,7,0))</f>
        <v>0.38500000000000001</v>
      </c>
      <c r="BN112" s="16">
        <f>IF(ISNA(VLOOKUP(A112,'Données projet'!$A$87:$I$107,6,0)),0%,VLOOKUP(A112,'Données projet'!$A$87:$I$107,6,0)*VLOOKUP('Données projet'!$B$11,Paramètres!$A$1:$I$89,7,0))</f>
        <v>9.240000000000001E-2</v>
      </c>
      <c r="BO112" s="16">
        <f>IF(ISNA(VLOOKUP(A112,'Données projet'!$A$87:$I$107,7,0)),0%,VLOOKUP(A112,'Données projet'!$A$87:$I$107,7,0))</f>
        <v>0.13200000000000001</v>
      </c>
      <c r="BP112" s="21">
        <f>EXP(-LN(2)/35)*BP111+(1-EXP(-LN(2)/35))/(LN(2)/35)*BL112*BM112*VLOOKUP('Données projet'!$B$11,Paramètres!$A$1:$I$89,3,0)*0.475*44/12</f>
        <v>66.673687211666817</v>
      </c>
      <c r="BQ112" s="21">
        <f>EXP(-LN(2)/25)*BQ111+(1-EXP(-LN(2)/25))/(LN(2)/25)*Calculateur!BL112*Calculateur!BN112*VLOOKUP('Données projet'!$B$11,Paramètres!$A$1:$I$89,3,0)*0.475*44/12</f>
        <v>20.267362551009228</v>
      </c>
      <c r="BR112" s="21">
        <f>EXP(-LN(2)/2)*BR111+(1-EXP(-LN(2)/2))/(LN(2)/2)*BL112*BO112*VLOOKUP('Données projet'!$B$11,Paramètres!$A$1:$I$89,3,0)*0.475*44/12</f>
        <v>5.7298656809813524</v>
      </c>
      <c r="BS112" s="22">
        <f t="shared" si="63"/>
        <v>92.670915443657393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212.00000000000009</v>
      </c>
      <c r="BZ112" s="13">
        <f>BY112*VLOOKUP('Données projet'!$B$12,Paramètres!$A$1:$I$89,3,0)*VLOOKUP('Données projet'!$B$12,Paramètres!$A$1:$I$89,5,0)</f>
        <v>185.20320000000009</v>
      </c>
      <c r="CA112" s="13">
        <f t="shared" si="93"/>
        <v>46.477875402099386</v>
      </c>
      <c r="CB112" s="20">
        <f t="shared" si="64"/>
        <v>403.5112063253232</v>
      </c>
      <c r="CC112" s="59">
        <f t="shared" si="65"/>
        <v>696.84453965865646</v>
      </c>
      <c r="CD112" s="59">
        <f ca="1">AVERAGE(OFFSET($CC$3,0,0,'Données projet'!$E$12+1,1))-AVERAGE(OFFSET($H$3,0,0,'Données projet'!$E$12+1,1))</f>
        <v>216.10252108537389</v>
      </c>
      <c r="CE112" s="59">
        <f t="shared" si="94"/>
        <v>196.91968622092054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12.496384820387934</v>
      </c>
      <c r="CL112" s="21">
        <f>EXP(-LN(2)/25)*CL111+(1-EXP(-LN(2)/25))/(LN(2)/25)*Calculateur!CG112*Calculateur!CI112*VLOOKUP('Données projet'!$B$12,Paramètres!$A$1:$I$89,3,0)*0.475*44/12</f>
        <v>10.898271710849249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23.394656531237182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5.9865384615384558</v>
      </c>
      <c r="CT112" s="12">
        <f>IF('Données projet'!$A$140&gt;35,CT111+CS112-DB111,IF(A112&lt;'Données projet'!$A$140,$CQ$205^A112,IF(A112='Données projet'!$A$140,'Données projet'!$B$140,CT111+CS112-DB111)))</f>
        <v>263.66346153846143</v>
      </c>
      <c r="CU112" s="17">
        <f>CT112*VLOOKUP('Données projet'!$B$13,Paramètres!$A$1:$I$89,3,0)*VLOOKUP('Données projet'!$B$13,Paramètres!$A$1:$I$89,5,0)</f>
        <v>238.56269999999989</v>
      </c>
      <c r="CV112" s="13">
        <f t="shared" si="95"/>
        <v>58.130180359724058</v>
      </c>
      <c r="CW112" s="20">
        <f t="shared" si="67"/>
        <v>516.74009995985261</v>
      </c>
      <c r="CX112" s="59">
        <f t="shared" si="68"/>
        <v>810.07343329318587</v>
      </c>
      <c r="CY112" s="59">
        <f ca="1">AVERAGE(OFFSET($CX$3,0,0,'Données projet'!$E$13+1,1))-AVERAGE(OFFSET($H$3,0,0,'Données projet'!$E$13+1,1))</f>
        <v>318.01858325056168</v>
      </c>
      <c r="CZ112" s="59">
        <f t="shared" si="96"/>
        <v>119.46953274700951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31.779841691950519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31.779841691950519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51.480000000000146</v>
      </c>
      <c r="D113" s="11">
        <f t="shared" si="86"/>
        <v>14.995324806875265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513.14285815833648</v>
      </c>
      <c r="H113" s="67">
        <f t="shared" si="56"/>
        <v>409.11119070530799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200.15574321350221</v>
      </c>
      <c r="T113" s="59">
        <f t="shared" si="88"/>
        <v>200.70728852570426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48.19154757920959</v>
      </c>
      <c r="AA113" s="21">
        <f>EXP(-LN(2)/25)*AA112+(1-EXP(-LN(2)/25))/(LN(2)/25)*Calculateur!V113*Calculateur!X113*VLOOKUP('Données projet'!$B$9,Paramètres!$A$1:$I$89,3,0)*0.475*44/12</f>
        <v>9.0345457535704163</v>
      </c>
      <c r="AB113" s="21">
        <f>EXP(-LN(2)/2)*AB112+(1-EXP(-LN(2)/2))/(LN(2)/2)*V113*Y113*VLOOKUP('Données projet'!$B$9,Paramètres!$A$1:$I$89,3,0)*0.475*44/12</f>
        <v>9.5256711512739357E-7</v>
      </c>
      <c r="AC113" s="22">
        <f t="shared" si="57"/>
        <v>57.226094285347124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45.407317338461951</v>
      </c>
      <c r="AO113" s="59">
        <f t="shared" si="90"/>
        <v>149.88701606165358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6.0361136513972138</v>
      </c>
      <c r="AV113" s="21">
        <f>EXP(-LN(2)/25)*AV112+(1-EXP(-LN(2)/25))/(LN(2)/25)*Calculateur!AQ113*Calculateur!AS113*VLOOKUP('Données projet'!$B$10,Paramètres!$A$1:$I$89,3,0)*0.475*44/12</f>
        <v>0.63154807619342057</v>
      </c>
      <c r="AW113" s="21">
        <f>EXP(-LN(2)/2)*AW112+(1-EXP(-LN(2)/2))/(LN(2)/2)*AQ113*AT113*VLOOKUP('Données projet'!$B$10,Paramètres!$A$1:$I$89,3,0)*0.475*44/12</f>
        <v>3.1083784298862117E-13</v>
      </c>
      <c r="AX113" s="21">
        <f t="shared" si="60"/>
        <v>6.6676617275909456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7.0884615384615346</v>
      </c>
      <c r="BD113" s="12">
        <f>IF('Données projet'!$A$88&gt;35,BD112+BC113-BL112,IF(A113&lt;'Données projet'!$A$88,$BA$205^A113,IF(A113='Données projet'!$A$88,'Données projet'!$B$88,BD112+BC113-BL112)))</f>
        <v>339.63461538461615</v>
      </c>
      <c r="BE113" s="13">
        <f>BD113*VLOOKUP('Données projet'!$B$11,Paramètres!$A$1:$I$89,3,0)*VLOOKUP('Données projet'!$B$11,Paramètres!$A$1:$I$89,5,0)</f>
        <v>158.94900000000035</v>
      </c>
      <c r="BF113" s="13">
        <f t="shared" si="91"/>
        <v>40.605368573899682</v>
      </c>
      <c r="BG113" s="20">
        <f t="shared" si="61"/>
        <v>347.55719193287587</v>
      </c>
      <c r="BH113" s="59">
        <f t="shared" si="62"/>
        <v>640.89052526620912</v>
      </c>
      <c r="BI113" s="59">
        <f ca="1">AVERAGE(OFFSET($BH$3,0,0,'Données projet'!$E$11+1,1))-AVERAGE(OFFSET($H$3,0,0,'Données projet'!$E$11+1,1))</f>
        <v>183.67580045784649</v>
      </c>
      <c r="BJ113" s="59">
        <f t="shared" si="92"/>
        <v>121.08269345608767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65.366256872379708</v>
      </c>
      <c r="BQ113" s="21">
        <f>EXP(-LN(2)/25)*BQ112+(1-EXP(-LN(2)/25))/(LN(2)/25)*Calculateur!BL113*Calculateur!BN113*VLOOKUP('Données projet'!$B$11,Paramètres!$A$1:$I$89,3,0)*0.475*44/12</f>
        <v>19.713150456237607</v>
      </c>
      <c r="BR113" s="21">
        <f>EXP(-LN(2)/2)*BR112+(1-EXP(-LN(2)/2))/(LN(2)/2)*BL113*BO113*VLOOKUP('Données projet'!$B$11,Paramètres!$A$1:$I$89,3,0)*0.475*44/12</f>
        <v>4.0516268783099898</v>
      </c>
      <c r="BS113" s="22">
        <f t="shared" si="63"/>
        <v>89.13103420692731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212.00000000000009</v>
      </c>
      <c r="BZ113" s="13">
        <f>BY113*VLOOKUP('Données projet'!$B$12,Paramètres!$A$1:$I$89,3,0)*VLOOKUP('Données projet'!$B$12,Paramètres!$A$1:$I$89,5,0)</f>
        <v>185.20320000000009</v>
      </c>
      <c r="CA113" s="13">
        <f t="shared" si="93"/>
        <v>46.477875402099386</v>
      </c>
      <c r="CB113" s="20">
        <f t="shared" si="64"/>
        <v>403.5112063253232</v>
      </c>
      <c r="CC113" s="59">
        <f t="shared" si="65"/>
        <v>696.84453965865646</v>
      </c>
      <c r="CD113" s="59">
        <f ca="1">AVERAGE(OFFSET($CC$3,0,0,'Données projet'!$E$12+1,1))-AVERAGE(OFFSET($H$3,0,0,'Données projet'!$E$12+1,1))</f>
        <v>216.10252108537389</v>
      </c>
      <c r="CE113" s="59">
        <f t="shared" si="94"/>
        <v>196.91968622092054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12.251338336102254</v>
      </c>
      <c r="CL113" s="21">
        <f>EXP(-LN(2)/25)*CL112+(1-EXP(-LN(2)/25))/(LN(2)/25)*Calculateur!CG113*Calculateur!CI113*VLOOKUP('Données projet'!$B$12,Paramètres!$A$1:$I$89,3,0)*0.475*44/12</f>
        <v>10.600257897800875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22.85159623390313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5.9865384615384558</v>
      </c>
      <c r="CT113" s="12">
        <f>IF('Données projet'!$A$140&gt;35,CT112+CS113-DB112,IF(A113&lt;'Données projet'!$A$140,$CQ$205^A113,IF(A113='Données projet'!$A$140,'Données projet'!$B$140,CT112+CS113-DB112)))</f>
        <v>269.64999999999986</v>
      </c>
      <c r="CU113" s="17">
        <f>CT113*VLOOKUP('Données projet'!$B$13,Paramètres!$A$1:$I$89,3,0)*VLOOKUP('Données projet'!$B$13,Paramètres!$A$1:$I$89,5,0)</f>
        <v>243.97931999999986</v>
      </c>
      <c r="CV113" s="13">
        <f t="shared" si="95"/>
        <v>59.294879427135335</v>
      </c>
      <c r="CW113" s="20">
        <f t="shared" si="67"/>
        <v>528.20256400226049</v>
      </c>
      <c r="CX113" s="59">
        <f t="shared" si="68"/>
        <v>821.53589733559375</v>
      </c>
      <c r="CY113" s="59">
        <f ca="1">AVERAGE(OFFSET($CX$3,0,0,'Données projet'!$E$13+1,1))-AVERAGE(OFFSET($H$3,0,0,'Données projet'!$E$13+1,1))</f>
        <v>318.01858325056168</v>
      </c>
      <c r="CZ113" s="59">
        <f t="shared" si="96"/>
        <v>119.46953274700951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31.156658380160813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31.156658380160813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51.94800000000015</v>
      </c>
      <c r="D114" s="11">
        <f t="shared" si="86"/>
        <v>15.115714645211932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517.68481480514595</v>
      </c>
      <c r="H114" s="67">
        <f t="shared" si="56"/>
        <v>410.13596967374434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200.15574321350221</v>
      </c>
      <c r="T114" s="59">
        <f t="shared" si="88"/>
        <v>200.70728852570426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47.246540725122905</v>
      </c>
      <c r="AA114" s="21">
        <f>EXP(-LN(2)/25)*AA113+(1-EXP(-LN(2)/25))/(LN(2)/25)*Calculateur!V114*Calculateur!X114*VLOOKUP('Données projet'!$B$9,Paramètres!$A$1:$I$89,3,0)*0.475*44/12</f>
        <v>8.7874956248329212</v>
      </c>
      <c r="AB114" s="21">
        <f>EXP(-LN(2)/2)*AB113+(1-EXP(-LN(2)/2))/(LN(2)/2)*V114*Y114*VLOOKUP('Données projet'!$B$9,Paramètres!$A$1:$I$89,3,0)*0.475*44/12</f>
        <v>6.7356666664188675E-7</v>
      </c>
      <c r="AC114" s="22">
        <f t="shared" si="57"/>
        <v>56.034037023522494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45.407317338461951</v>
      </c>
      <c r="AO114" s="59">
        <f t="shared" si="90"/>
        <v>149.88701606165358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5.9177491443591075</v>
      </c>
      <c r="AV114" s="21">
        <f>EXP(-LN(2)/25)*AV113+(1-EXP(-LN(2)/25))/(LN(2)/25)*Calculateur!AQ114*Calculateur!AS114*VLOOKUP('Données projet'!$B$10,Paramètres!$A$1:$I$89,3,0)*0.475*44/12</f>
        <v>0.61427836083824161</v>
      </c>
      <c r="AW114" s="21">
        <f>EXP(-LN(2)/2)*AW113+(1-EXP(-LN(2)/2))/(LN(2)/2)*AQ114*AT114*VLOOKUP('Données projet'!$B$10,Paramètres!$A$1:$I$89,3,0)*0.475*44/12</f>
        <v>2.1979554662665337E-13</v>
      </c>
      <c r="AX114" s="21">
        <f t="shared" si="60"/>
        <v>6.5320275051975685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7.0884615384615346</v>
      </c>
      <c r="BD114" s="12">
        <f>IF('Données projet'!$A$88&gt;35,BD113+BC114-BL113,IF(A114&lt;'Données projet'!$A$88,$BA$205^A114,IF(A114='Données projet'!$A$88,'Données projet'!$B$88,BD113+BC114-BL113)))</f>
        <v>346.72307692307771</v>
      </c>
      <c r="BE114" s="13">
        <f>BD114*VLOOKUP('Données projet'!$B$11,Paramètres!$A$1:$I$89,3,0)*VLOOKUP('Données projet'!$B$11,Paramètres!$A$1:$I$89,5,0)</f>
        <v>162.26640000000037</v>
      </c>
      <c r="BF114" s="13">
        <f t="shared" si="91"/>
        <v>41.35328902901945</v>
      </c>
      <c r="BG114" s="20">
        <f t="shared" si="61"/>
        <v>354.63762505887615</v>
      </c>
      <c r="BH114" s="59">
        <f t="shared" si="62"/>
        <v>647.97095839220947</v>
      </c>
      <c r="BI114" s="59">
        <f ca="1">AVERAGE(OFFSET($BH$3,0,0,'Données projet'!$E$11+1,1))-AVERAGE(OFFSET($H$3,0,0,'Données projet'!$E$11+1,1))</f>
        <v>183.67580045784649</v>
      </c>
      <c r="BJ114" s="59">
        <f t="shared" si="92"/>
        <v>121.08269345608767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64.084464444592257</v>
      </c>
      <c r="BQ114" s="21">
        <f>EXP(-LN(2)/25)*BQ113+(1-EXP(-LN(2)/25))/(LN(2)/25)*Calculateur!BL114*Calculateur!BN114*VLOOKUP('Données projet'!$B$11,Paramètres!$A$1:$I$89,3,0)*0.475*44/12</f>
        <v>19.174093320342262</v>
      </c>
      <c r="BR114" s="21">
        <f>EXP(-LN(2)/2)*BR113+(1-EXP(-LN(2)/2))/(LN(2)/2)*BL114*BO114*VLOOKUP('Données projet'!$B$11,Paramètres!$A$1:$I$89,3,0)*0.475*44/12</f>
        <v>2.8649328404906766</v>
      </c>
      <c r="BS114" s="22">
        <f t="shared" si="63"/>
        <v>86.123490605425204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212.00000000000009</v>
      </c>
      <c r="BZ114" s="13">
        <f>BY114*VLOOKUP('Données projet'!$B$12,Paramètres!$A$1:$I$89,3,0)*VLOOKUP('Données projet'!$B$12,Paramètres!$A$1:$I$89,5,0)</f>
        <v>185.20320000000009</v>
      </c>
      <c r="CA114" s="13">
        <f t="shared" si="93"/>
        <v>46.477875402099386</v>
      </c>
      <c r="CB114" s="20">
        <f t="shared" si="64"/>
        <v>403.5112063253232</v>
      </c>
      <c r="CC114" s="59">
        <f t="shared" si="65"/>
        <v>696.84453965865646</v>
      </c>
      <c r="CD114" s="59">
        <f ca="1">AVERAGE(OFFSET($CC$3,0,0,'Données projet'!$E$12+1,1))-AVERAGE(OFFSET($H$3,0,0,'Données projet'!$E$12+1,1))</f>
        <v>216.10252108537389</v>
      </c>
      <c r="CE114" s="59">
        <f t="shared" si="94"/>
        <v>196.91968622092054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12.011097063909817</v>
      </c>
      <c r="CL114" s="21">
        <f>EXP(-LN(2)/25)*CL113+(1-EXP(-LN(2)/25))/(LN(2)/25)*Calculateur!CG114*Calculateur!CI114*VLOOKUP('Données projet'!$B$12,Paramètres!$A$1:$I$89,3,0)*0.475*44/12</f>
        <v>10.310393288142174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22.321490352051992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5.9865384615384558</v>
      </c>
      <c r="CT114" s="12">
        <f>IF('Données projet'!$A$140&gt;35,CT113+CS114-DB113,IF(A114&lt;'Données projet'!$A$140,$CQ$205^A114,IF(A114='Données projet'!$A$140,'Données projet'!$B$140,CT113+CS114-DB113)))</f>
        <v>275.63653846153829</v>
      </c>
      <c r="CU114" s="17">
        <f>CT114*VLOOKUP('Données projet'!$B$13,Paramètres!$A$1:$I$89,3,0)*VLOOKUP('Données projet'!$B$13,Paramètres!$A$1:$I$89,5,0)</f>
        <v>249.39593999999985</v>
      </c>
      <c r="CV114" s="13">
        <f t="shared" si="95"/>
        <v>60.456572288548877</v>
      </c>
      <c r="CW114" s="20">
        <f t="shared" si="67"/>
        <v>539.65979223588909</v>
      </c>
      <c r="CX114" s="59">
        <f t="shared" si="68"/>
        <v>832.99312556922246</v>
      </c>
      <c r="CY114" s="59">
        <f ca="1">AVERAGE(OFFSET($CX$3,0,0,'Données projet'!$E$13+1,1))-AVERAGE(OFFSET($H$3,0,0,'Données projet'!$E$13+1,1))</f>
        <v>318.01858325056168</v>
      </c>
      <c r="CZ114" s="59">
        <f t="shared" si="96"/>
        <v>119.46953274700951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30.545695313011013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30.545695313011013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52.416000000000153</v>
      </c>
      <c r="D115" s="11">
        <f t="shared" si="86"/>
        <v>15.23597830127307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522.22579741333709</v>
      </c>
      <c r="H115" s="67">
        <f t="shared" si="56"/>
        <v>411.1605288747175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200.15574321350221</v>
      </c>
      <c r="T115" s="59">
        <f t="shared" si="88"/>
        <v>200.70728852570426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46.320064879047592</v>
      </c>
      <c r="AA115" s="21">
        <f>EXP(-LN(2)/25)*AA114+(1-EXP(-LN(2)/25))/(LN(2)/25)*Calculateur!V115*Calculateur!X115*VLOOKUP('Données projet'!$B$9,Paramètres!$A$1:$I$89,3,0)*0.475*44/12</f>
        <v>8.5472010948575541</v>
      </c>
      <c r="AB115" s="21">
        <f>EXP(-LN(2)/2)*AB114+(1-EXP(-LN(2)/2))/(LN(2)/2)*V115*Y115*VLOOKUP('Données projet'!$B$9,Paramètres!$A$1:$I$89,3,0)*0.475*44/12</f>
        <v>4.7628355756369684E-7</v>
      </c>
      <c r="AC115" s="22">
        <f t="shared" si="57"/>
        <v>54.867266450188708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45.407317338461951</v>
      </c>
      <c r="AO115" s="59">
        <f t="shared" si="90"/>
        <v>149.88701606165358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5.801705693108798</v>
      </c>
      <c r="AV115" s="21">
        <f>EXP(-LN(2)/25)*AV114+(1-EXP(-LN(2)/25))/(LN(2)/25)*Calculateur!AQ115*Calculateur!AS115*VLOOKUP('Données projet'!$B$10,Paramètres!$A$1:$I$89,3,0)*0.475*44/12</f>
        <v>0.5974808867576249</v>
      </c>
      <c r="AW115" s="21">
        <f>EXP(-LN(2)/2)*AW114+(1-EXP(-LN(2)/2))/(LN(2)/2)*AQ115*AT115*VLOOKUP('Données projet'!$B$10,Paramètres!$A$1:$I$89,3,0)*0.475*44/12</f>
        <v>1.5541892149431059E-13</v>
      </c>
      <c r="AX115" s="21">
        <f t="shared" si="60"/>
        <v>6.3991865798665781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7.0884615384615346</v>
      </c>
      <c r="BD115" s="12">
        <f>IF('Données projet'!$A$88&gt;35,BD114+BC115-BL114,IF(A115&lt;'Données projet'!$A$88,$BA$205^A115,IF(A115='Données projet'!$A$88,'Données projet'!$B$88,BD114+BC115-BL114)))</f>
        <v>353.81153846153927</v>
      </c>
      <c r="BE115" s="13">
        <f>BD115*VLOOKUP('Données projet'!$B$11,Paramètres!$A$1:$I$89,3,0)*VLOOKUP('Données projet'!$B$11,Paramètres!$A$1:$I$89,5,0)</f>
        <v>165.58380000000037</v>
      </c>
      <c r="BF115" s="13">
        <f t="shared" si="91"/>
        <v>42.099431642932551</v>
      </c>
      <c r="BG115" s="20">
        <f t="shared" si="61"/>
        <v>361.71496177810815</v>
      </c>
      <c r="BH115" s="59">
        <f t="shared" si="62"/>
        <v>655.04829511144146</v>
      </c>
      <c r="BI115" s="59">
        <f ca="1">AVERAGE(OFFSET($BH$3,0,0,'Données projet'!$E$11+1,1))-AVERAGE(OFFSET($H$3,0,0,'Données projet'!$E$11+1,1))</f>
        <v>183.67580045784649</v>
      </c>
      <c r="BJ115" s="59">
        <f t="shared" si="92"/>
        <v>121.08269345608767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62.82780718449753</v>
      </c>
      <c r="BQ115" s="21">
        <f>EXP(-LN(2)/25)*BQ114+(1-EXP(-LN(2)/25))/(LN(2)/25)*Calculateur!BL115*Calculateur!BN115*VLOOKUP('Données projet'!$B$11,Paramètres!$A$1:$I$89,3,0)*0.475*44/12</f>
        <v>18.649776730175759</v>
      </c>
      <c r="BR115" s="21">
        <f>EXP(-LN(2)/2)*BR114+(1-EXP(-LN(2)/2))/(LN(2)/2)*BL115*BO115*VLOOKUP('Données projet'!$B$11,Paramètres!$A$1:$I$89,3,0)*0.475*44/12</f>
        <v>2.0258134391549949</v>
      </c>
      <c r="BS115" s="22">
        <f t="shared" si="63"/>
        <v>83.503397353828291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212.00000000000009</v>
      </c>
      <c r="BZ115" s="13">
        <f>BY115*VLOOKUP('Données projet'!$B$12,Paramètres!$A$1:$I$89,3,0)*VLOOKUP('Données projet'!$B$12,Paramètres!$A$1:$I$89,5,0)</f>
        <v>185.20320000000009</v>
      </c>
      <c r="CA115" s="13">
        <f t="shared" si="93"/>
        <v>46.477875402099386</v>
      </c>
      <c r="CB115" s="20">
        <f t="shared" si="64"/>
        <v>403.5112063253232</v>
      </c>
      <c r="CC115" s="59">
        <f t="shared" si="65"/>
        <v>696.84453965865646</v>
      </c>
      <c r="CD115" s="59">
        <f ca="1">AVERAGE(OFFSET($CC$3,0,0,'Données projet'!$E$12+1,1))-AVERAGE(OFFSET($H$3,0,0,'Données projet'!$E$12+1,1))</f>
        <v>216.10252108537389</v>
      </c>
      <c r="CE115" s="59">
        <f t="shared" si="94"/>
        <v>196.91968622092054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11.775566776532369</v>
      </c>
      <c r="CL115" s="21">
        <f>EXP(-LN(2)/25)*CL114+(1-EXP(-LN(2)/25))/(LN(2)/25)*Calculateur!CG115*Calculateur!CI115*VLOOKUP('Données projet'!$B$12,Paramètres!$A$1:$I$89,3,0)*0.475*44/12</f>
        <v>10.028455041477908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21.804021818010277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5.9865384615384558</v>
      </c>
      <c r="CT115" s="12">
        <f>IF('Données projet'!$A$140&gt;35,CT114+CS115-DB114,IF(A115&lt;'Données projet'!$A$140,$CQ$205^A115,IF(A115='Données projet'!$A$140,'Données projet'!$B$140,CT114+CS115-DB114)))</f>
        <v>281.62307692307672</v>
      </c>
      <c r="CU115" s="17">
        <f>CT115*VLOOKUP('Données projet'!$B$13,Paramètres!$A$1:$I$89,3,0)*VLOOKUP('Données projet'!$B$13,Paramètres!$A$1:$I$89,5,0)</f>
        <v>254.81255999999982</v>
      </c>
      <c r="CV115" s="13">
        <f t="shared" si="95"/>
        <v>61.615331755078437</v>
      </c>
      <c r="CW115" s="20">
        <f t="shared" si="67"/>
        <v>551.11191147342799</v>
      </c>
      <c r="CX115" s="59">
        <f t="shared" si="68"/>
        <v>844.44524480676137</v>
      </c>
      <c r="CY115" s="59">
        <f ca="1">AVERAGE(OFFSET($CX$3,0,0,'Données projet'!$E$13+1,1))-AVERAGE(OFFSET($H$3,0,0,'Données projet'!$E$13+1,1))</f>
        <v>318.01858325056168</v>
      </c>
      <c r="CZ115" s="59">
        <f t="shared" si="96"/>
        <v>119.46953274700951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29.946712858957348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29.946712858957348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52.884000000000157</v>
      </c>
      <c r="D116" s="11">
        <f t="shared" si="86"/>
        <v>15.356117032205747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526.76581568720349</v>
      </c>
      <c r="H116" s="67">
        <f t="shared" si="56"/>
        <v>412.1848704977586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200.15574321350221</v>
      </c>
      <c r="T116" s="59">
        <f t="shared" si="88"/>
        <v>200.70728852570426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45.41175665921935</v>
      </c>
      <c r="AA116" s="21">
        <f>EXP(-LN(2)/25)*AA115+(1-EXP(-LN(2)/25))/(LN(2)/25)*Calculateur!V116*Calculateur!X116*VLOOKUP('Données projet'!$B$9,Paramètres!$A$1:$I$89,3,0)*0.475*44/12</f>
        <v>8.3134774314409032</v>
      </c>
      <c r="AB116" s="21">
        <f>EXP(-LN(2)/2)*AB115+(1-EXP(-LN(2)/2))/(LN(2)/2)*V116*Y116*VLOOKUP('Données projet'!$B$9,Paramètres!$A$1:$I$89,3,0)*0.475*44/12</f>
        <v>3.3678333332094343E-7</v>
      </c>
      <c r="AC116" s="22">
        <f t="shared" si="57"/>
        <v>53.725234427443581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45.407317338461951</v>
      </c>
      <c r="AO116" s="59">
        <f t="shared" si="90"/>
        <v>149.88701606165358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5.6879377831579907</v>
      </c>
      <c r="AV116" s="21">
        <f>EXP(-LN(2)/25)*AV115+(1-EXP(-LN(2)/25))/(LN(2)/25)*Calculateur!AQ116*Calculateur!AS116*VLOOKUP('Données projet'!$B$10,Paramètres!$A$1:$I$89,3,0)*0.475*44/12</f>
        <v>0.58114274048908332</v>
      </c>
      <c r="AW116" s="21">
        <f>EXP(-LN(2)/2)*AW115+(1-EXP(-LN(2)/2))/(LN(2)/2)*AQ116*AT116*VLOOKUP('Données projet'!$B$10,Paramètres!$A$1:$I$89,3,0)*0.475*44/12</f>
        <v>1.0989777331332669E-13</v>
      </c>
      <c r="AX116" s="21">
        <f t="shared" si="60"/>
        <v>6.269080523647184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7.0884615384615346</v>
      </c>
      <c r="BD116" s="12">
        <f>IF('Données projet'!$A$88&gt;35,BD115+BC116-BL115,IF(A116&lt;'Données projet'!$A$88,$BA$205^A116,IF(A116='Données projet'!$A$88,'Données projet'!$B$88,BD115+BC116-BL115)))</f>
        <v>360.90000000000083</v>
      </c>
      <c r="BE116" s="13">
        <f>BD116*VLOOKUP('Données projet'!$B$11,Paramètres!$A$1:$I$89,3,0)*VLOOKUP('Données projet'!$B$11,Paramètres!$A$1:$I$89,5,0)</f>
        <v>168.90120000000039</v>
      </c>
      <c r="BF116" s="13">
        <f t="shared" si="91"/>
        <v>42.843836138922327</v>
      </c>
      <c r="BG116" s="20">
        <f t="shared" si="61"/>
        <v>368.78927127529045</v>
      </c>
      <c r="BH116" s="59">
        <f t="shared" si="62"/>
        <v>662.12260460862376</v>
      </c>
      <c r="BI116" s="59">
        <f ca="1">AVERAGE(OFFSET($BH$3,0,0,'Données projet'!$E$11+1,1))-AVERAGE(OFFSET($H$3,0,0,'Données projet'!$E$11+1,1))</f>
        <v>183.67580045784649</v>
      </c>
      <c r="BJ116" s="59">
        <f t="shared" si="92"/>
        <v>121.08269345608767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61.595792206788012</v>
      </c>
      <c r="BQ116" s="21">
        <f>EXP(-LN(2)/25)*BQ115+(1-EXP(-LN(2)/25))/(LN(2)/25)*Calculateur!BL116*Calculateur!BN116*VLOOKUP('Données projet'!$B$11,Paramètres!$A$1:$I$89,3,0)*0.475*44/12</f>
        <v>18.139797604739968</v>
      </c>
      <c r="BR116" s="21">
        <f>EXP(-LN(2)/2)*BR115+(1-EXP(-LN(2)/2))/(LN(2)/2)*BL116*BO116*VLOOKUP('Données projet'!$B$11,Paramètres!$A$1:$I$89,3,0)*0.475*44/12</f>
        <v>1.4324664202453383</v>
      </c>
      <c r="BS116" s="22">
        <f t="shared" si="63"/>
        <v>81.168056231773306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212.00000000000009</v>
      </c>
      <c r="BZ116" s="13">
        <f>BY116*VLOOKUP('Données projet'!$B$12,Paramètres!$A$1:$I$89,3,0)*VLOOKUP('Données projet'!$B$12,Paramètres!$A$1:$I$89,5,0)</f>
        <v>185.20320000000009</v>
      </c>
      <c r="CA116" s="13">
        <f t="shared" si="93"/>
        <v>46.477875402099386</v>
      </c>
      <c r="CB116" s="20">
        <f t="shared" si="64"/>
        <v>403.5112063253232</v>
      </c>
      <c r="CC116" s="59">
        <f t="shared" si="65"/>
        <v>696.84453965865646</v>
      </c>
      <c r="CD116" s="59">
        <f ca="1">AVERAGE(OFFSET($CC$3,0,0,'Données projet'!$E$12+1,1))-AVERAGE(OFFSET($H$3,0,0,'Données projet'!$E$12+1,1))</f>
        <v>216.10252108537389</v>
      </c>
      <c r="CE116" s="59">
        <f t="shared" si="94"/>
        <v>196.91968622092054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11.5446550944311</v>
      </c>
      <c r="CL116" s="21">
        <f>EXP(-LN(2)/25)*CL115+(1-EXP(-LN(2)/25))/(LN(2)/25)*Calculateur!CG116*Calculateur!CI116*VLOOKUP('Données projet'!$B$12,Paramètres!$A$1:$I$89,3,0)*0.475*44/12</f>
        <v>9.7542264109951642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21.298881505426266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5.9865384615384558</v>
      </c>
      <c r="CT116" s="12">
        <f>IF('Données projet'!$A$140&gt;35,CT115+CS116-DB115,IF(A116&lt;'Données projet'!$A$140,$CQ$205^A116,IF(A116='Données projet'!$A$140,'Données projet'!$B$140,CT115+CS116-DB115)))</f>
        <v>287.60961538461515</v>
      </c>
      <c r="CU116" s="17">
        <f>CT116*VLOOKUP('Données projet'!$B$13,Paramètres!$A$1:$I$89,3,0)*VLOOKUP('Données projet'!$B$13,Paramètres!$A$1:$I$89,5,0)</f>
        <v>260.22917999999976</v>
      </c>
      <c r="CV116" s="13">
        <f t="shared" si="95"/>
        <v>62.771227365455701</v>
      </c>
      <c r="CW116" s="20">
        <f t="shared" si="67"/>
        <v>562.55904282816812</v>
      </c>
      <c r="CX116" s="59">
        <f t="shared" si="68"/>
        <v>855.89237616150149</v>
      </c>
      <c r="CY116" s="59">
        <f ca="1">AVERAGE(OFFSET($CX$3,0,0,'Données projet'!$E$13+1,1))-AVERAGE(OFFSET($H$3,0,0,'Données projet'!$E$13+1,1))</f>
        <v>318.01858325056168</v>
      </c>
      <c r="CZ116" s="59">
        <f t="shared" si="96"/>
        <v>119.46953274700951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29.359476085484452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29.359476085484452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53.35200000000016</v>
      </c>
      <c r="D117" s="11">
        <f t="shared" si="86"/>
        <v>15.476132071622883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531.30487914937089</v>
      </c>
      <c r="H117" s="67">
        <f t="shared" si="56"/>
        <v>413.20899669141011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200.15574321350221</v>
      </c>
      <c r="T117" s="59">
        <f t="shared" si="88"/>
        <v>200.70728852570426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44.521259809568626</v>
      </c>
      <c r="AA117" s="21">
        <f>EXP(-LN(2)/25)*AA116+(1-EXP(-LN(2)/25))/(LN(2)/25)*Calculateur!V117*Calculateur!X117*VLOOKUP('Données projet'!$B$9,Paramètres!$A$1:$I$89,3,0)*0.475*44/12</f>
        <v>8.0861449538913739</v>
      </c>
      <c r="AB117" s="21">
        <f>EXP(-LN(2)/2)*AB116+(1-EXP(-LN(2)/2))/(LN(2)/2)*V117*Y117*VLOOKUP('Données projet'!$B$9,Paramètres!$A$1:$I$89,3,0)*0.475*44/12</f>
        <v>2.3814177878184847E-7</v>
      </c>
      <c r="AC117" s="22">
        <f t="shared" si="57"/>
        <v>52.607405001601776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45.407317338461951</v>
      </c>
      <c r="AO117" s="59">
        <f t="shared" si="90"/>
        <v>149.88701606165358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5.5764007925297454</v>
      </c>
      <c r="AV117" s="21">
        <f>EXP(-LN(2)/25)*AV116+(1-EXP(-LN(2)/25))/(LN(2)/25)*Calculateur!AQ117*Calculateur!AS117*VLOOKUP('Données projet'!$B$10,Paramètres!$A$1:$I$89,3,0)*0.475*44/12</f>
        <v>0.56525136168944079</v>
      </c>
      <c r="AW117" s="21">
        <f>EXP(-LN(2)/2)*AW116+(1-EXP(-LN(2)/2))/(LN(2)/2)*AQ117*AT117*VLOOKUP('Données projet'!$B$10,Paramètres!$A$1:$I$89,3,0)*0.475*44/12</f>
        <v>7.7709460747155294E-14</v>
      </c>
      <c r="AX117" s="21">
        <f t="shared" si="60"/>
        <v>6.1416521542192637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7.0884615384615346</v>
      </c>
      <c r="BD117" s="12">
        <f>IF('Données projet'!$A$88&gt;35,BD116+BC117-BL116,IF(A117&lt;'Données projet'!$A$88,$BA$205^A117,IF(A117='Données projet'!$A$88,'Données projet'!$B$88,BD116+BC117-BL116)))</f>
        <v>367.98846153846239</v>
      </c>
      <c r="BE117" s="13">
        <f>BD117*VLOOKUP('Données projet'!$B$11,Paramètres!$A$1:$I$89,3,0)*VLOOKUP('Données projet'!$B$11,Paramètres!$A$1:$I$89,5,0)</f>
        <v>172.21860000000038</v>
      </c>
      <c r="BF117" s="13">
        <f t="shared" si="91"/>
        <v>43.586540590608692</v>
      </c>
      <c r="BG117" s="20">
        <f t="shared" si="61"/>
        <v>375.86061986197745</v>
      </c>
      <c r="BH117" s="59">
        <f t="shared" si="62"/>
        <v>669.19395319531077</v>
      </c>
      <c r="BI117" s="59">
        <f ca="1">AVERAGE(OFFSET($BH$3,0,0,'Données projet'!$E$11+1,1))-AVERAGE(OFFSET($H$3,0,0,'Données projet'!$E$11+1,1))</f>
        <v>183.67580045784649</v>
      </c>
      <c r="BJ117" s="59">
        <f t="shared" si="92"/>
        <v>121.08269345608767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60.387936291336445</v>
      </c>
      <c r="BQ117" s="21">
        <f>EXP(-LN(2)/25)*BQ116+(1-EXP(-LN(2)/25))/(LN(2)/25)*Calculateur!BL117*Calculateur!BN117*VLOOKUP('Données projet'!$B$11,Paramètres!$A$1:$I$89,3,0)*0.475*44/12</f>
        <v>17.643763885307855</v>
      </c>
      <c r="BR117" s="21">
        <f>EXP(-LN(2)/2)*BR116+(1-EXP(-LN(2)/2))/(LN(2)/2)*BL117*BO117*VLOOKUP('Données projet'!$B$11,Paramètres!$A$1:$I$89,3,0)*0.475*44/12</f>
        <v>1.0129067195774974</v>
      </c>
      <c r="BS117" s="22">
        <f t="shared" si="63"/>
        <v>79.044606896221808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212.00000000000009</v>
      </c>
      <c r="BZ117" s="13">
        <f>BY117*VLOOKUP('Données projet'!$B$12,Paramètres!$A$1:$I$89,3,0)*VLOOKUP('Données projet'!$B$12,Paramètres!$A$1:$I$89,5,0)</f>
        <v>185.20320000000009</v>
      </c>
      <c r="CA117" s="13">
        <f t="shared" si="93"/>
        <v>46.477875402099386</v>
      </c>
      <c r="CB117" s="20">
        <f t="shared" si="64"/>
        <v>403.5112063253232</v>
      </c>
      <c r="CC117" s="59">
        <f t="shared" si="65"/>
        <v>696.84453965865646</v>
      </c>
      <c r="CD117" s="59">
        <f ca="1">AVERAGE(OFFSET($CC$3,0,0,'Données projet'!$E$12+1,1))-AVERAGE(OFFSET($H$3,0,0,'Données projet'!$E$12+1,1))</f>
        <v>216.10252108537389</v>
      </c>
      <c r="CE117" s="59">
        <f t="shared" si="94"/>
        <v>196.91968622092054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11.318271449573619</v>
      </c>
      <c r="CL117" s="21">
        <f>EXP(-LN(2)/25)*CL116+(1-EXP(-LN(2)/25))/(LN(2)/25)*Calculateur!CG117*Calculateur!CI117*VLOOKUP('Données projet'!$B$12,Paramètres!$A$1:$I$89,3,0)*0.475*44/12</f>
        <v>9.4874965768340278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20.805768026407648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293.59615384615381</v>
      </c>
      <c r="CR117" s="12">
        <f>VLOOKUP(A117,'Données projet'!$A$139:$I$159,9,0)</f>
        <v>5.9865384615384558</v>
      </c>
      <c r="CS117" s="12">
        <f t="array" ref="CS117">INDEX(CR:CR,MIN(IF(ISNUMBER(CR117:CR313),ROW(CR117:CR313),"")))</f>
        <v>5.9865384615384558</v>
      </c>
      <c r="CT117" s="12">
        <f>IF('Données projet'!$A$140&gt;35,CT116+CS117-DB116,IF(A117&lt;'Données projet'!$A$140,$CQ$205^A117,IF(A117='Données projet'!$A$140,'Données projet'!$B$140,CT116+CS117-DB116)))</f>
        <v>293.59615384615358</v>
      </c>
      <c r="CU117" s="17">
        <f>CT117*VLOOKUP('Données projet'!$B$13,Paramètres!$A$1:$I$89,3,0)*VLOOKUP('Données projet'!$B$13,Paramètres!$A$1:$I$89,5,0)</f>
        <v>265.64579999999972</v>
      </c>
      <c r="CV117" s="13">
        <f t="shared" si="95"/>
        <v>63.924325598105078</v>
      </c>
      <c r="CW117" s="20">
        <f t="shared" si="67"/>
        <v>574.00130208336589</v>
      </c>
      <c r="CX117" s="59">
        <f t="shared" si="68"/>
        <v>867.33463541669926</v>
      </c>
      <c r="CY117" s="59">
        <f ca="1">AVERAGE(OFFSET($CX$3,0,0,'Données projet'!$E$13+1,1))-AVERAGE(OFFSET($H$3,0,0,'Données projet'!$E$13+1,1))</f>
        <v>318.01858325056168</v>
      </c>
      <c r="CZ117" s="59">
        <f t="shared" si="96"/>
        <v>119.46953274700951</v>
      </c>
      <c r="DA117" s="15">
        <f>IF(ISNA(VLOOKUP(A117,'Données projet'!$A$139:$I$159,3,0)),0,VLOOKUP(A117,'Données projet'!$A$139:$I$159,3,0))</f>
        <v>9</v>
      </c>
      <c r="DB117" s="15">
        <f>IF(ISNA(VLOOKUP(A117,'Données projet'!$A$139:$I$159,4,0)),0,VLOOKUP(A117,'Données projet'!$A$139:$I$159,4,0))</f>
        <v>42.78846153846154</v>
      </c>
      <c r="DC117" s="16">
        <f>IF(ISNA(VLOOKUP(A117,'Données projet'!$A$139:$I$159,5,0)),0%,VLOOKUP(A117,'Données projet'!$A$139:$I$159,5,0)*VLOOKUP('Données projet'!$B$13,Paramètres!$A$1:$I$89,7,0))</f>
        <v>0.30099999999999999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41.666038675789366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41.666038675789366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53.820000000000164</v>
      </c>
      <c r="D118" s="11">
        <f t="shared" si="86"/>
        <v>15.596024630246307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535.84299714576218</v>
      </c>
      <c r="H118" s="67">
        <f t="shared" si="56"/>
        <v>414.2329095643459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200.15574321350221</v>
      </c>
      <c r="T118" s="59">
        <f t="shared" si="88"/>
        <v>200.70728852570426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43.648225059990111</v>
      </c>
      <c r="AA118" s="21">
        <f>EXP(-LN(2)/25)*AA117+(1-EXP(-LN(2)/25))/(LN(2)/25)*Calculateur!V118*Calculateur!X118*VLOOKUP('Données projet'!$B$9,Paramètres!$A$1:$I$89,3,0)*0.475*44/12</f>
        <v>7.8650288948953326</v>
      </c>
      <c r="AB118" s="21">
        <f>EXP(-LN(2)/2)*AB117+(1-EXP(-LN(2)/2))/(LN(2)/2)*V118*Y118*VLOOKUP('Données projet'!$B$9,Paramètres!$A$1:$I$89,3,0)*0.475*44/12</f>
        <v>1.6839166666047174E-7</v>
      </c>
      <c r="AC118" s="22">
        <f t="shared" si="57"/>
        <v>51.513254123277108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45.407317338461951</v>
      </c>
      <c r="AO118" s="59">
        <f t="shared" si="90"/>
        <v>149.88701606165358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5.4670509742568729</v>
      </c>
      <c r="AV118" s="21">
        <f>EXP(-LN(2)/25)*AV117+(1-EXP(-LN(2)/25))/(LN(2)/25)*Calculateur!AQ118*Calculateur!AS118*VLOOKUP('Données projet'!$B$10,Paramètres!$A$1:$I$89,3,0)*0.475*44/12</f>
        <v>0.54979453347876583</v>
      </c>
      <c r="AW118" s="21">
        <f>EXP(-LN(2)/2)*AW117+(1-EXP(-LN(2)/2))/(LN(2)/2)*AQ118*AT118*VLOOKUP('Données projet'!$B$10,Paramètres!$A$1:$I$89,3,0)*0.475*44/12</f>
        <v>5.4948886656663343E-14</v>
      </c>
      <c r="AX118" s="21">
        <f t="shared" si="60"/>
        <v>6.0168455077356935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7.0884615384615346</v>
      </c>
      <c r="BD118" s="12">
        <f>IF('Données projet'!$A$88&gt;35,BD117+BC118-BL117,IF(A118&lt;'Données projet'!$A$88,$BA$205^A118,IF(A118='Données projet'!$A$88,'Données projet'!$B$88,BD117+BC118-BL117)))</f>
        <v>375.07692307692395</v>
      </c>
      <c r="BE118" s="13">
        <f>BD118*VLOOKUP('Données projet'!$B$11,Paramètres!$A$1:$I$89,3,0)*VLOOKUP('Données projet'!$B$11,Paramètres!$A$1:$I$89,5,0)</f>
        <v>175.5360000000004</v>
      </c>
      <c r="BF118" s="13">
        <f t="shared" si="91"/>
        <v>44.327581520891201</v>
      </c>
      <c r="BG118" s="20">
        <f t="shared" si="61"/>
        <v>382.92907114888618</v>
      </c>
      <c r="BH118" s="59">
        <f t="shared" si="62"/>
        <v>676.26240448221949</v>
      </c>
      <c r="BI118" s="59">
        <f ca="1">AVERAGE(OFFSET($BH$3,0,0,'Données projet'!$E$11+1,1))-AVERAGE(OFFSET($H$3,0,0,'Données projet'!$E$11+1,1))</f>
        <v>183.67580045784649</v>
      </c>
      <c r="BJ118" s="59">
        <f t="shared" si="92"/>
        <v>121.08269345608767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59.203765693667521</v>
      </c>
      <c r="BQ118" s="21">
        <f>EXP(-LN(2)/25)*BQ117+(1-EXP(-LN(2)/25))/(LN(2)/25)*Calculateur!BL118*Calculateur!BN118*VLOOKUP('Données projet'!$B$11,Paramètres!$A$1:$I$89,3,0)*0.475*44/12</f>
        <v>17.161294234018893</v>
      </c>
      <c r="BR118" s="21">
        <f>EXP(-LN(2)/2)*BR117+(1-EXP(-LN(2)/2))/(LN(2)/2)*BL118*BO118*VLOOKUP('Données projet'!$B$11,Paramètres!$A$1:$I$89,3,0)*0.475*44/12</f>
        <v>0.71623321012266916</v>
      </c>
      <c r="BS118" s="22">
        <f t="shared" si="63"/>
        <v>77.081293137809084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212.00000000000009</v>
      </c>
      <c r="BZ118" s="13">
        <f>BY118*VLOOKUP('Données projet'!$B$12,Paramètres!$A$1:$I$89,3,0)*VLOOKUP('Données projet'!$B$12,Paramètres!$A$1:$I$89,5,0)</f>
        <v>185.20320000000009</v>
      </c>
      <c r="CA118" s="13">
        <f t="shared" si="93"/>
        <v>46.477875402099386</v>
      </c>
      <c r="CB118" s="20">
        <f t="shared" si="64"/>
        <v>403.5112063253232</v>
      </c>
      <c r="CC118" s="59">
        <f t="shared" si="65"/>
        <v>696.84453965865646</v>
      </c>
      <c r="CD118" s="59">
        <f ca="1">AVERAGE(OFFSET($CC$3,0,0,'Données projet'!$E$12+1,1))-AVERAGE(OFFSET($H$3,0,0,'Données projet'!$E$12+1,1))</f>
        <v>216.10252108537389</v>
      </c>
      <c r="CE118" s="59">
        <f t="shared" si="94"/>
        <v>196.91968622092054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11.096327049911404</v>
      </c>
      <c r="CL118" s="21">
        <f>EXP(-LN(2)/25)*CL117+(1-EXP(-LN(2)/25))/(LN(2)/25)*Calculateur!CG118*Calculateur!CI118*VLOOKUP('Données projet'!$B$12,Paramètres!$A$1:$I$89,3,0)*0.475*44/12</f>
        <v>9.2280604840147404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20.324387533926142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6.0153846153846189</v>
      </c>
      <c r="CT118" s="12">
        <f>IF('Données projet'!$A$140&gt;35,CT117+CS118-DB117,IF(A118&lt;'Données projet'!$A$140,$CQ$205^A118,IF(A118='Données projet'!$A$140,'Données projet'!$B$140,CT117+CS118-DB117)))</f>
        <v>256.82307692307666</v>
      </c>
      <c r="CU118" s="17">
        <f>CT118*VLOOKUP('Données projet'!$B$13,Paramètres!$A$1:$I$89,3,0)*VLOOKUP('Données projet'!$B$13,Paramètres!$A$1:$I$89,5,0)</f>
        <v>232.37351999999976</v>
      </c>
      <c r="CV118" s="13">
        <f t="shared" si="95"/>
        <v>56.795584989176909</v>
      </c>
      <c r="CW118" s="20">
        <f t="shared" si="67"/>
        <v>503.63619118948264</v>
      </c>
      <c r="CX118" s="59">
        <f t="shared" si="68"/>
        <v>796.96952452281596</v>
      </c>
      <c r="CY118" s="59">
        <f ca="1">AVERAGE(OFFSET($CX$3,0,0,'Données projet'!$E$13+1,1))-AVERAGE(OFFSET($H$3,0,0,'Données projet'!$E$13+1,1))</f>
        <v>318.01858325056168</v>
      </c>
      <c r="CZ118" s="59">
        <f t="shared" si="96"/>
        <v>119.46953274700951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40.848993071131325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40.848993071131325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54.288000000000167</v>
      </c>
      <c r="D119" s="11">
        <f t="shared" si="86"/>
        <v>15.715795896526787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540.38017885038346</v>
      </c>
      <c r="H119" s="67">
        <f t="shared" si="56"/>
        <v>415.2566111864511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200.15574321350221</v>
      </c>
      <c r="T119" s="59">
        <f t="shared" si="88"/>
        <v>200.70728852570426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42.792309989352212</v>
      </c>
      <c r="AA119" s="21">
        <f>EXP(-LN(2)/25)*AA118+(1-EXP(-LN(2)/25))/(LN(2)/25)*Calculateur!V119*Calculateur!X119*VLOOKUP('Données projet'!$B$9,Paramètres!$A$1:$I$89,3,0)*0.475*44/12</f>
        <v>7.6499592661605256</v>
      </c>
      <c r="AB119" s="21">
        <f>EXP(-LN(2)/2)*AB118+(1-EXP(-LN(2)/2))/(LN(2)/2)*V119*Y119*VLOOKUP('Données projet'!$B$9,Paramètres!$A$1:$I$89,3,0)*0.475*44/12</f>
        <v>1.1907088939092425E-7</v>
      </c>
      <c r="AC119" s="22">
        <f t="shared" si="57"/>
        <v>50.442269374583631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45.407317338461951</v>
      </c>
      <c r="AO119" s="59">
        <f t="shared" si="90"/>
        <v>149.88701606165358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5.3598454392235286</v>
      </c>
      <c r="AV119" s="21">
        <f>EXP(-LN(2)/25)*AV118+(1-EXP(-LN(2)/25))/(LN(2)/25)*Calculateur!AQ119*Calculateur!AS119*VLOOKUP('Données projet'!$B$10,Paramètres!$A$1:$I$89,3,0)*0.475*44/12</f>
        <v>0.534760373048351</v>
      </c>
      <c r="AW119" s="21">
        <f>EXP(-LN(2)/2)*AW118+(1-EXP(-LN(2)/2))/(LN(2)/2)*AQ119*AT119*VLOOKUP('Données projet'!$B$10,Paramètres!$A$1:$I$89,3,0)*0.475*44/12</f>
        <v>3.8854730373577647E-14</v>
      </c>
      <c r="AX119" s="21">
        <f t="shared" si="60"/>
        <v>5.8946058122719185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7.0884615384615346</v>
      </c>
      <c r="BD119" s="12">
        <f>IF('Données projet'!$A$88&gt;35,BD118+BC119-BL118,IF(A119&lt;'Données projet'!$A$88,$BA$205^A119,IF(A119='Données projet'!$A$88,'Données projet'!$B$88,BD118+BC119-BL118)))</f>
        <v>382.16538461538551</v>
      </c>
      <c r="BE119" s="13">
        <f>BD119*VLOOKUP('Données projet'!$B$11,Paramètres!$A$1:$I$89,3,0)*VLOOKUP('Données projet'!$B$11,Paramètres!$A$1:$I$89,5,0)</f>
        <v>178.85340000000042</v>
      </c>
      <c r="BF119" s="13">
        <f t="shared" si="91"/>
        <v>45.066993993201848</v>
      </c>
      <c r="BG119" s="20">
        <f t="shared" si="61"/>
        <v>389.99468620482725</v>
      </c>
      <c r="BH119" s="59">
        <f t="shared" si="62"/>
        <v>683.32801953816056</v>
      </c>
      <c r="BI119" s="59">
        <f ca="1">AVERAGE(OFFSET($BH$3,0,0,'Données projet'!$E$11+1,1))-AVERAGE(OFFSET($H$3,0,0,'Données projet'!$E$11+1,1))</f>
        <v>183.67580045784649</v>
      </c>
      <c r="BJ119" s="59">
        <f t="shared" si="92"/>
        <v>121.08269345608767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58.042815959146132</v>
      </c>
      <c r="BQ119" s="21">
        <f>EXP(-LN(2)/25)*BQ118+(1-EXP(-LN(2)/25))/(LN(2)/25)*Calculateur!BL119*Calculateur!BN119*VLOOKUP('Données projet'!$B$11,Paramètres!$A$1:$I$89,3,0)*0.475*44/12</f>
        <v>16.692017740716405</v>
      </c>
      <c r="BR119" s="21">
        <f>EXP(-LN(2)/2)*BR118+(1-EXP(-LN(2)/2))/(LN(2)/2)*BL119*BO119*VLOOKUP('Données projet'!$B$11,Paramètres!$A$1:$I$89,3,0)*0.475*44/12</f>
        <v>0.50645335978874872</v>
      </c>
      <c r="BS119" s="22">
        <f t="shared" si="63"/>
        <v>75.241287059651285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212.00000000000009</v>
      </c>
      <c r="BZ119" s="13">
        <f>BY119*VLOOKUP('Données projet'!$B$12,Paramètres!$A$1:$I$89,3,0)*VLOOKUP('Données projet'!$B$12,Paramètres!$A$1:$I$89,5,0)</f>
        <v>185.20320000000009</v>
      </c>
      <c r="CA119" s="13">
        <f t="shared" si="93"/>
        <v>46.477875402099386</v>
      </c>
      <c r="CB119" s="20">
        <f t="shared" si="64"/>
        <v>403.5112063253232</v>
      </c>
      <c r="CC119" s="59">
        <f t="shared" si="65"/>
        <v>696.84453965865646</v>
      </c>
      <c r="CD119" s="59">
        <f ca="1">AVERAGE(OFFSET($CC$3,0,0,'Données projet'!$E$12+1,1))-AVERAGE(OFFSET($H$3,0,0,'Données projet'!$E$12+1,1))</f>
        <v>216.10252108537389</v>
      </c>
      <c r="CE119" s="59">
        <f t="shared" si="94"/>
        <v>196.91968622092054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10.878734844553847</v>
      </c>
      <c r="CL119" s="21">
        <f>EXP(-LN(2)/25)*CL118+(1-EXP(-LN(2)/25))/(LN(2)/25)*Calculateur!CG119*Calculateur!CI119*VLOOKUP('Données projet'!$B$12,Paramètres!$A$1:$I$89,3,0)*0.475*44/12</f>
        <v>8.9757186847967478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19.854453529350593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6.0153846153846189</v>
      </c>
      <c r="CT119" s="12">
        <f>IF('Données projet'!$A$140&gt;35,CT118+CS119-DB118,IF(A119&lt;'Données projet'!$A$140,$CQ$205^A119,IF(A119='Données projet'!$A$140,'Données projet'!$B$140,CT118+CS119-DB118)))</f>
        <v>262.83846153846127</v>
      </c>
      <c r="CU119" s="17">
        <f>CT119*VLOOKUP('Données projet'!$B$13,Paramètres!$A$1:$I$89,3,0)*VLOOKUP('Données projet'!$B$13,Paramètres!$A$1:$I$89,5,0)</f>
        <v>237.81623999999974</v>
      </c>
      <c r="CV119" s="13">
        <f t="shared" si="95"/>
        <v>57.969434220881595</v>
      </c>
      <c r="CW119" s="20">
        <f t="shared" si="67"/>
        <v>515.16004926803487</v>
      </c>
      <c r="CX119" s="59">
        <f t="shared" si="68"/>
        <v>808.49338260136824</v>
      </c>
      <c r="CY119" s="59">
        <f ca="1">AVERAGE(OFFSET($CX$3,0,0,'Données projet'!$E$13+1,1))-AVERAGE(OFFSET($H$3,0,0,'Données projet'!$E$13+1,1))</f>
        <v>318.01858325056168</v>
      </c>
      <c r="CZ119" s="59">
        <f t="shared" si="96"/>
        <v>119.46953274700951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40.047969232432017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40.047969232432017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54.756000000000171</v>
      </c>
      <c r="D120" s="11">
        <f t="shared" si="86"/>
        <v>15.835447037242094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544.91643326994028</v>
      </c>
      <c r="H120" s="67">
        <f t="shared" si="56"/>
        <v>416.28010358986359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200.15574321350221</v>
      </c>
      <c r="T120" s="59">
        <f t="shared" si="88"/>
        <v>200.70728852570426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41.953178891192877</v>
      </c>
      <c r="AA120" s="21">
        <f>EXP(-LN(2)/25)*AA119+(1-EXP(-LN(2)/25))/(LN(2)/25)*Calculateur!V120*Calculateur!X120*VLOOKUP('Données projet'!$B$9,Paramètres!$A$1:$I$89,3,0)*0.475*44/12</f>
        <v>7.4407707277334927</v>
      </c>
      <c r="AB120" s="21">
        <f>EXP(-LN(2)/2)*AB119+(1-EXP(-LN(2)/2))/(LN(2)/2)*V120*Y120*VLOOKUP('Données projet'!$B$9,Paramètres!$A$1:$I$89,3,0)*0.475*44/12</f>
        <v>8.4195833330235883E-8</v>
      </c>
      <c r="AC120" s="22">
        <f t="shared" si="57"/>
        <v>49.393949703122203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45.407317338461951</v>
      </c>
      <c r="AO120" s="59">
        <f t="shared" si="90"/>
        <v>149.88701606165358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5.2547421393432678</v>
      </c>
      <c r="AV120" s="21">
        <f>EXP(-LN(2)/25)*AV119+(1-EXP(-LN(2)/25))/(LN(2)/25)*Calculateur!AQ120*Calculateur!AS120*VLOOKUP('Données projet'!$B$10,Paramètres!$A$1:$I$89,3,0)*0.475*44/12</f>
        <v>0.52013732252551803</v>
      </c>
      <c r="AW120" s="21">
        <f>EXP(-LN(2)/2)*AW119+(1-EXP(-LN(2)/2))/(LN(2)/2)*AQ120*AT120*VLOOKUP('Données projet'!$B$10,Paramètres!$A$1:$I$89,3,0)*0.475*44/12</f>
        <v>2.7474443328331671E-14</v>
      </c>
      <c r="AX120" s="21">
        <f t="shared" si="60"/>
        <v>5.7748794618688137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7.0884615384615346</v>
      </c>
      <c r="BD120" s="12">
        <f>IF('Données projet'!$A$88&gt;35,BD119+BC120-BL119,IF(A120&lt;'Données projet'!$A$88,$BA$205^A120,IF(A120='Données projet'!$A$88,'Données projet'!$B$88,BD119+BC120-BL119)))</f>
        <v>389.25384615384706</v>
      </c>
      <c r="BE120" s="13">
        <f>BD120*VLOOKUP('Données projet'!$B$11,Paramètres!$A$1:$I$89,3,0)*VLOOKUP('Données projet'!$B$11,Paramètres!$A$1:$I$89,5,0)</f>
        <v>182.17080000000044</v>
      </c>
      <c r="BF120" s="13">
        <f t="shared" si="91"/>
        <v>45.804811695795308</v>
      </c>
      <c r="BG120" s="20">
        <f t="shared" si="61"/>
        <v>397.05752370351092</v>
      </c>
      <c r="BH120" s="59">
        <f t="shared" si="62"/>
        <v>690.39085703684418</v>
      </c>
      <c r="BI120" s="59">
        <f ca="1">AVERAGE(OFFSET($BH$3,0,0,'Données projet'!$E$11+1,1))-AVERAGE(OFFSET($H$3,0,0,'Données projet'!$E$11+1,1))</f>
        <v>183.67580045784649</v>
      </c>
      <c r="BJ120" s="59">
        <f t="shared" si="92"/>
        <v>121.08269345608767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56.904631740809293</v>
      </c>
      <c r="BQ120" s="21">
        <f>EXP(-LN(2)/25)*BQ119+(1-EXP(-LN(2)/25))/(LN(2)/25)*Calculateur!BL120*Calculateur!BN120*VLOOKUP('Données projet'!$B$11,Paramètres!$A$1:$I$89,3,0)*0.475*44/12</f>
        <v>16.235573637801451</v>
      </c>
      <c r="BR120" s="21">
        <f>EXP(-LN(2)/2)*BR119+(1-EXP(-LN(2)/2))/(LN(2)/2)*BL120*BO120*VLOOKUP('Données projet'!$B$11,Paramètres!$A$1:$I$89,3,0)*0.475*44/12</f>
        <v>0.35811660506133458</v>
      </c>
      <c r="BS120" s="22">
        <f t="shared" si="63"/>
        <v>73.498321983672085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212.00000000000009</v>
      </c>
      <c r="BZ120" s="13">
        <f>BY120*VLOOKUP('Données projet'!$B$12,Paramètres!$A$1:$I$89,3,0)*VLOOKUP('Données projet'!$B$12,Paramètres!$A$1:$I$89,5,0)</f>
        <v>185.20320000000009</v>
      </c>
      <c r="CA120" s="13">
        <f t="shared" si="93"/>
        <v>46.477875402099386</v>
      </c>
      <c r="CB120" s="20">
        <f t="shared" si="64"/>
        <v>403.5112063253232</v>
      </c>
      <c r="CC120" s="59">
        <f t="shared" si="65"/>
        <v>696.84453965865646</v>
      </c>
      <c r="CD120" s="59">
        <f ca="1">AVERAGE(OFFSET($CC$3,0,0,'Données projet'!$E$12+1,1))-AVERAGE(OFFSET($H$3,0,0,'Données projet'!$E$12+1,1))</f>
        <v>216.10252108537389</v>
      </c>
      <c r="CE120" s="59">
        <f t="shared" si="94"/>
        <v>196.91968622092054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10.665409489625212</v>
      </c>
      <c r="CL120" s="21">
        <f>EXP(-LN(2)/25)*CL119+(1-EXP(-LN(2)/25))/(LN(2)/25)*Calculateur!CG120*Calculateur!CI120*VLOOKUP('Données projet'!$B$12,Paramètres!$A$1:$I$89,3,0)*0.475*44/12</f>
        <v>8.7302771853484487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19.395686674973661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6.0153846153846189</v>
      </c>
      <c r="CT120" s="12">
        <f>IF('Données projet'!$A$140&gt;35,CT119+CS120-DB119,IF(A120&lt;'Données projet'!$A$140,$CQ$205^A120,IF(A120='Données projet'!$A$140,'Données projet'!$B$140,CT119+CS120-DB119)))</f>
        <v>268.85384615384589</v>
      </c>
      <c r="CU120" s="17">
        <f>CT120*VLOOKUP('Données projet'!$B$13,Paramètres!$A$1:$I$89,3,0)*VLOOKUP('Données projet'!$B$13,Paramètres!$A$1:$I$89,5,0)</f>
        <v>243.25895999999975</v>
      </c>
      <c r="CV120" s="13">
        <f t="shared" si="95"/>
        <v>59.140160240229264</v>
      </c>
      <c r="CW120" s="20">
        <f t="shared" si="67"/>
        <v>526.67846775173223</v>
      </c>
      <c r="CX120" s="59">
        <f t="shared" si="68"/>
        <v>820.0118010850656</v>
      </c>
      <c r="CY120" s="59">
        <f ca="1">AVERAGE(OFFSET($CX$3,0,0,'Données projet'!$E$13+1,1))-AVERAGE(OFFSET($H$3,0,0,'Données projet'!$E$13+1,1))</f>
        <v>318.01858325056168</v>
      </c>
      <c r="CZ120" s="59">
        <f t="shared" si="96"/>
        <v>119.46953274700951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39.262652982633305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39.262652982633305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55.224000000000174</v>
      </c>
      <c r="D121" s="11">
        <f t="shared" si="86"/>
        <v>15.954979198073998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549.45176924829184</v>
      </c>
      <c r="H121" s="67">
        <f t="shared" si="56"/>
        <v>417.30338876997916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200.15574321350221</v>
      </c>
      <c r="T121" s="59">
        <f t="shared" si="88"/>
        <v>200.70728852570426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41.130502642049017</v>
      </c>
      <c r="AA121" s="21">
        <f>EXP(-LN(2)/25)*AA120+(1-EXP(-LN(2)/25))/(LN(2)/25)*Calculateur!V121*Calculateur!X121*VLOOKUP('Données projet'!$B$9,Paramètres!$A$1:$I$89,3,0)*0.475*44/12</f>
        <v>7.2373024608904934</v>
      </c>
      <c r="AB121" s="21">
        <f>EXP(-LN(2)/2)*AB120+(1-EXP(-LN(2)/2))/(LN(2)/2)*V121*Y121*VLOOKUP('Données projet'!$B$9,Paramètres!$A$1:$I$89,3,0)*0.475*44/12</f>
        <v>5.9535444695462131E-8</v>
      </c>
      <c r="AC121" s="22">
        <f t="shared" si="57"/>
        <v>48.367805162474959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45.407317338461951</v>
      </c>
      <c r="AO121" s="59">
        <f t="shared" si="90"/>
        <v>149.88701606165358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5.1516998510669767</v>
      </c>
      <c r="AV121" s="21">
        <f>EXP(-LN(2)/25)*AV120+(1-EXP(-LN(2)/25))/(LN(2)/25)*Calculateur!AQ121*Calculateur!AS121*VLOOKUP('Données projet'!$B$10,Paramètres!$A$1:$I$89,3,0)*0.475*44/12</f>
        <v>0.50591414008822477</v>
      </c>
      <c r="AW121" s="21">
        <f>EXP(-LN(2)/2)*AW120+(1-EXP(-LN(2)/2))/(LN(2)/2)*AQ121*AT121*VLOOKUP('Données projet'!$B$10,Paramètres!$A$1:$I$89,3,0)*0.475*44/12</f>
        <v>1.9427365186788823E-14</v>
      </c>
      <c r="AX121" s="21">
        <f t="shared" si="60"/>
        <v>5.6576139911552215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7.0884615384615346</v>
      </c>
      <c r="BD121" s="12">
        <f>IF('Données projet'!$A$88&gt;35,BD120+BC121-BL120,IF(A121&lt;'Données projet'!$A$88,$BA$205^A121,IF(A121='Données projet'!$A$88,'Données projet'!$B$88,BD120+BC121-BL120)))</f>
        <v>396.34230769230862</v>
      </c>
      <c r="BE121" s="13">
        <f>BD121*VLOOKUP('Données projet'!$B$11,Paramètres!$A$1:$I$89,3,0)*VLOOKUP('Données projet'!$B$11,Paramètres!$A$1:$I$89,5,0)</f>
        <v>185.48820000000043</v>
      </c>
      <c r="BF121" s="13">
        <f t="shared" si="91"/>
        <v>46.541067019726086</v>
      </c>
      <c r="BG121" s="20">
        <f t="shared" si="61"/>
        <v>404.11764005935697</v>
      </c>
      <c r="BH121" s="59">
        <f t="shared" si="62"/>
        <v>697.45097339269023</v>
      </c>
      <c r="BI121" s="59">
        <f ca="1">AVERAGE(OFFSET($BH$3,0,0,'Données projet'!$E$11+1,1))-AVERAGE(OFFSET($H$3,0,0,'Données projet'!$E$11+1,1))</f>
        <v>183.67580045784649</v>
      </c>
      <c r="BJ121" s="59">
        <f t="shared" si="92"/>
        <v>121.08269345608767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55.788766620770218</v>
      </c>
      <c r="BQ121" s="21">
        <f>EXP(-LN(2)/25)*BQ120+(1-EXP(-LN(2)/25))/(LN(2)/25)*Calculateur!BL121*Calculateur!BN121*VLOOKUP('Données projet'!$B$11,Paramètres!$A$1:$I$89,3,0)*0.475*44/12</f>
        <v>15.79161102288406</v>
      </c>
      <c r="BR121" s="21">
        <f>EXP(-LN(2)/2)*BR120+(1-EXP(-LN(2)/2))/(LN(2)/2)*BL121*BO121*VLOOKUP('Données projet'!$B$11,Paramètres!$A$1:$I$89,3,0)*0.475*44/12</f>
        <v>0.25322667989437436</v>
      </c>
      <c r="BS121" s="22">
        <f t="shared" si="63"/>
        <v>71.833604323548641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212.00000000000009</v>
      </c>
      <c r="BZ121" s="13">
        <f>BY121*VLOOKUP('Données projet'!$B$12,Paramètres!$A$1:$I$89,3,0)*VLOOKUP('Données projet'!$B$12,Paramètres!$A$1:$I$89,5,0)</f>
        <v>185.20320000000009</v>
      </c>
      <c r="CA121" s="13">
        <f t="shared" si="93"/>
        <v>46.477875402099386</v>
      </c>
      <c r="CB121" s="20">
        <f t="shared" si="64"/>
        <v>403.5112063253232</v>
      </c>
      <c r="CC121" s="59">
        <f t="shared" si="65"/>
        <v>696.84453965865646</v>
      </c>
      <c r="CD121" s="59">
        <f ca="1">AVERAGE(OFFSET($CC$3,0,0,'Données projet'!$E$12+1,1))-AVERAGE(OFFSET($H$3,0,0,'Données projet'!$E$12+1,1))</f>
        <v>216.10252108537389</v>
      </c>
      <c r="CE121" s="59">
        <f t="shared" si="94"/>
        <v>196.91968622092054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10.456267314791109</v>
      </c>
      <c r="CL121" s="21">
        <f>EXP(-LN(2)/25)*CL120+(1-EXP(-LN(2)/25))/(LN(2)/25)*Calculateur!CG121*Calculateur!CI121*VLOOKUP('Données projet'!$B$12,Paramètres!$A$1:$I$89,3,0)*0.475*44/12</f>
        <v>8.491547296609772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18.947814611400879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6.0153846153846189</v>
      </c>
      <c r="CT121" s="12">
        <f>IF('Données projet'!$A$140&gt;35,CT120+CS121-DB120,IF(A121&lt;'Données projet'!$A$140,$CQ$205^A121,IF(A121='Données projet'!$A$140,'Données projet'!$B$140,CT120+CS121-DB120)))</f>
        <v>274.86923076923051</v>
      </c>
      <c r="CU121" s="17">
        <f>CT121*VLOOKUP('Données projet'!$B$13,Paramètres!$A$1:$I$89,3,0)*VLOOKUP('Données projet'!$B$13,Paramètres!$A$1:$I$89,5,0)</f>
        <v>248.70167999999973</v>
      </c>
      <c r="CV121" s="13">
        <f t="shared" si="95"/>
        <v>60.307840972128631</v>
      </c>
      <c r="CW121" s="20">
        <f t="shared" si="67"/>
        <v>538.19158235979023</v>
      </c>
      <c r="CX121" s="59">
        <f t="shared" si="68"/>
        <v>831.5249156931236</v>
      </c>
      <c r="CY121" s="59">
        <f ca="1">AVERAGE(OFFSET($CX$3,0,0,'Données projet'!$E$13+1,1))-AVERAGE(OFFSET($H$3,0,0,'Données projet'!$E$13+1,1))</f>
        <v>318.01858325056168</v>
      </c>
      <c r="CZ121" s="59">
        <f t="shared" si="96"/>
        <v>119.46953274700951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38.49273630549753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38.49273630549753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55.692000000000178</v>
      </c>
      <c r="D122" s="11">
        <f t="shared" si="86"/>
        <v>16.074393504165254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553.98619547075066</v>
      </c>
      <c r="H122" s="67">
        <f t="shared" si="56"/>
        <v>418.32646868642144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200.15574321350221</v>
      </c>
      <c r="T122" s="59">
        <f t="shared" si="88"/>
        <v>200.70728852570426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40.3239585723679</v>
      </c>
      <c r="AA122" s="21">
        <f>EXP(-LN(2)/25)*AA121+(1-EXP(-LN(2)/25))/(LN(2)/25)*Calculateur!V122*Calculateur!X122*VLOOKUP('Données projet'!$B$9,Paramètres!$A$1:$I$89,3,0)*0.475*44/12</f>
        <v>7.0393980445042477</v>
      </c>
      <c r="AB122" s="21">
        <f>EXP(-LN(2)/2)*AB121+(1-EXP(-LN(2)/2))/(LN(2)/2)*V122*Y122*VLOOKUP('Données projet'!$B$9,Paramètres!$A$1:$I$89,3,0)*0.475*44/12</f>
        <v>4.2097916665117948E-8</v>
      </c>
      <c r="AC122" s="22">
        <f t="shared" si="57"/>
        <v>47.363356658970062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45.407317338461951</v>
      </c>
      <c r="AO122" s="59">
        <f t="shared" si="90"/>
        <v>149.88701606165358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5.0506781592141934</v>
      </c>
      <c r="AV122" s="21">
        <f>EXP(-LN(2)/25)*AV121+(1-EXP(-LN(2)/25))/(LN(2)/25)*Calculateur!AQ122*Calculateur!AS122*VLOOKUP('Données projet'!$B$10,Paramètres!$A$1:$I$89,3,0)*0.475*44/12</f>
        <v>0.4920798913226439</v>
      </c>
      <c r="AW122" s="21">
        <f>EXP(-LN(2)/2)*AW121+(1-EXP(-LN(2)/2))/(LN(2)/2)*AQ122*AT122*VLOOKUP('Données projet'!$B$10,Paramètres!$A$1:$I$89,3,0)*0.475*44/12</f>
        <v>1.3737221664165836E-14</v>
      </c>
      <c r="AX122" s="21">
        <f t="shared" si="60"/>
        <v>5.5427580505368503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7.0884615384615346</v>
      </c>
      <c r="BD122" s="12">
        <f>IF('Données projet'!$A$88&gt;35,BD121+BC122-BL121,IF(A122&lt;'Données projet'!$A$88,$BA$205^A122,IF(A122='Données projet'!$A$88,'Données projet'!$B$88,BD121+BC122-BL121)))</f>
        <v>403.43076923077018</v>
      </c>
      <c r="BE122" s="13">
        <f>BD122*VLOOKUP('Données projet'!$B$11,Paramètres!$A$1:$I$89,3,0)*VLOOKUP('Données projet'!$B$11,Paramètres!$A$1:$I$89,5,0)</f>
        <v>188.80560000000045</v>
      </c>
      <c r="BF122" s="13">
        <f t="shared" si="91"/>
        <v>47.275791131089136</v>
      </c>
      <c r="BG122" s="20">
        <f t="shared" si="61"/>
        <v>411.17508955331436</v>
      </c>
      <c r="BH122" s="59">
        <f t="shared" si="62"/>
        <v>704.50842288664762</v>
      </c>
      <c r="BI122" s="59">
        <f ca="1">AVERAGE(OFFSET($BH$3,0,0,'Données projet'!$E$11+1,1))-AVERAGE(OFFSET($H$3,0,0,'Données projet'!$E$11+1,1))</f>
        <v>183.67580045784649</v>
      </c>
      <c r="BJ122" s="59">
        <f t="shared" si="92"/>
        <v>121.08269345608767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54.694782935124586</v>
      </c>
      <c r="BQ122" s="21">
        <f>EXP(-LN(2)/25)*BQ121+(1-EXP(-LN(2)/25))/(LN(2)/25)*Calculateur!BL122*Calculateur!BN122*VLOOKUP('Données projet'!$B$11,Paramètres!$A$1:$I$89,3,0)*0.475*44/12</f>
        <v>15.359788589018564</v>
      </c>
      <c r="BR122" s="21">
        <f>EXP(-LN(2)/2)*BR121+(1-EXP(-LN(2)/2))/(LN(2)/2)*BL122*BO122*VLOOKUP('Données projet'!$B$11,Paramètres!$A$1:$I$89,3,0)*0.475*44/12</f>
        <v>0.17905830253066729</v>
      </c>
      <c r="BS122" s="22">
        <f t="shared" si="63"/>
        <v>70.233629826673805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212.00000000000009</v>
      </c>
      <c r="BZ122" s="13">
        <f>BY122*VLOOKUP('Données projet'!$B$12,Paramètres!$A$1:$I$89,3,0)*VLOOKUP('Données projet'!$B$12,Paramètres!$A$1:$I$89,5,0)</f>
        <v>185.20320000000009</v>
      </c>
      <c r="CA122" s="13">
        <f t="shared" si="93"/>
        <v>46.477875402099386</v>
      </c>
      <c r="CB122" s="20">
        <f t="shared" si="64"/>
        <v>403.5112063253232</v>
      </c>
      <c r="CC122" s="59">
        <f t="shared" si="65"/>
        <v>696.84453965865646</v>
      </c>
      <c r="CD122" s="59">
        <f ca="1">AVERAGE(OFFSET($CC$3,0,0,'Données projet'!$E$12+1,1))-AVERAGE(OFFSET($H$3,0,0,'Données projet'!$E$12+1,1))</f>
        <v>216.10252108537389</v>
      </c>
      <c r="CE122" s="59">
        <f t="shared" si="94"/>
        <v>196.91968622092054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10.251226290441373</v>
      </c>
      <c r="CL122" s="21">
        <f>EXP(-LN(2)/25)*CL121+(1-EXP(-LN(2)/25))/(LN(2)/25)*Calculateur!CG122*Calculateur!CI122*VLOOKUP('Données projet'!$B$12,Paramètres!$A$1:$I$89,3,0)*0.475*44/12</f>
        <v>8.2593454892329135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18.510571779674287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6.0153846153846189</v>
      </c>
      <c r="CT122" s="12">
        <f>IF('Données projet'!$A$140&gt;35,CT121+CS122-DB121,IF(A122&lt;'Données projet'!$A$140,$CQ$205^A122,IF(A122='Données projet'!$A$140,'Données projet'!$B$140,CT121+CS122-DB121)))</f>
        <v>280.88461538461513</v>
      </c>
      <c r="CU122" s="17">
        <f>CT122*VLOOKUP('Données projet'!$B$13,Paramètres!$A$1:$I$89,3,0)*VLOOKUP('Données projet'!$B$13,Paramètres!$A$1:$I$89,5,0)</f>
        <v>254.14439999999976</v>
      </c>
      <c r="CV122" s="13">
        <f t="shared" si="95"/>
        <v>61.472550736013424</v>
      </c>
      <c r="CW122" s="20">
        <f t="shared" si="67"/>
        <v>549.69952253188956</v>
      </c>
      <c r="CX122" s="59">
        <f t="shared" si="68"/>
        <v>843.03285586522293</v>
      </c>
      <c r="CY122" s="59">
        <f ca="1">AVERAGE(OFFSET($CX$3,0,0,'Données projet'!$E$13+1,1))-AVERAGE(OFFSET($H$3,0,0,'Données projet'!$E$13+1,1))</f>
        <v>318.01858325056168</v>
      </c>
      <c r="CZ122" s="59">
        <f t="shared" si="96"/>
        <v>119.46953274700951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37.737917224797584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37.737917224797584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56.160000000000181</v>
      </c>
      <c r="D123" s="11">
        <f t="shared" si="86"/>
        <v>16.193691060657081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558.51972046823164</v>
      </c>
      <c r="H123" s="67">
        <f t="shared" si="56"/>
        <v>419.34934526397802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200.15574321350221</v>
      </c>
      <c r="T123" s="59">
        <f t="shared" si="88"/>
        <v>200.70728852570426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39.533230339949924</v>
      </c>
      <c r="AA123" s="21">
        <f>EXP(-LN(2)/25)*AA122+(1-EXP(-LN(2)/25))/(LN(2)/25)*Calculateur!V123*Calculateur!X123*VLOOKUP('Données projet'!$B$9,Paramètres!$A$1:$I$89,3,0)*0.475*44/12</f>
        <v>6.8469053347914244</v>
      </c>
      <c r="AB123" s="21">
        <f>EXP(-LN(2)/2)*AB122+(1-EXP(-LN(2)/2))/(LN(2)/2)*V123*Y123*VLOOKUP('Données projet'!$B$9,Paramètres!$A$1:$I$89,3,0)*0.475*44/12</f>
        <v>2.9767722347731072E-8</v>
      </c>
      <c r="AC123" s="22">
        <f t="shared" si="57"/>
        <v>46.380135704509065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45.407317338461951</v>
      </c>
      <c r="AO123" s="59">
        <f t="shared" si="90"/>
        <v>149.88701606165358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4.9516374411214956</v>
      </c>
      <c r="AV123" s="21">
        <f>EXP(-LN(2)/25)*AV122+(1-EXP(-LN(2)/25))/(LN(2)/25)*Calculateur!AQ123*Calculateur!AS123*VLOOKUP('Données projet'!$B$10,Paramètres!$A$1:$I$89,3,0)*0.475*44/12</f>
        <v>0.47862394081706938</v>
      </c>
      <c r="AW123" s="21">
        <f>EXP(-LN(2)/2)*AW122+(1-EXP(-LN(2)/2))/(LN(2)/2)*AQ123*AT123*VLOOKUP('Données projet'!$B$10,Paramètres!$A$1:$I$89,3,0)*0.475*44/12</f>
        <v>9.7136825933944117E-15</v>
      </c>
      <c r="AX123" s="21">
        <f t="shared" si="60"/>
        <v>5.4302613819385748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7.0884615384615346</v>
      </c>
      <c r="BD123" s="12">
        <f>IF('Données projet'!$A$88&gt;35,BD122+BC123-BL122,IF(A123&lt;'Données projet'!$A$88,$BA$205^A123,IF(A123='Données projet'!$A$88,'Données projet'!$B$88,BD122+BC123-BL122)))</f>
        <v>410.51923076923174</v>
      </c>
      <c r="BE123" s="13">
        <f>BD123*VLOOKUP('Données projet'!$B$11,Paramètres!$A$1:$I$89,3,0)*VLOOKUP('Données projet'!$B$11,Paramètres!$A$1:$I$89,5,0)</f>
        <v>192.12300000000045</v>
      </c>
      <c r="BF123" s="13">
        <f t="shared" si="91"/>
        <v>48.009014038039808</v>
      </c>
      <c r="BG123" s="20">
        <f t="shared" si="61"/>
        <v>418.2299244495868</v>
      </c>
      <c r="BH123" s="59">
        <f t="shared" si="62"/>
        <v>711.56325778292012</v>
      </c>
      <c r="BI123" s="59">
        <f ca="1">AVERAGE(OFFSET($BH$3,0,0,'Données projet'!$E$11+1,1))-AVERAGE(OFFSET($H$3,0,0,'Données projet'!$E$11+1,1))</f>
        <v>183.67580045784649</v>
      </c>
      <c r="BJ123" s="59">
        <f t="shared" si="92"/>
        <v>121.08269345608767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53.622251602290305</v>
      </c>
      <c r="BQ123" s="21">
        <f>EXP(-LN(2)/25)*BQ122+(1-EXP(-LN(2)/25))/(LN(2)/25)*Calculateur!BL123*Calculateur!BN123*VLOOKUP('Données projet'!$B$11,Paramètres!$A$1:$I$89,3,0)*0.475*44/12</f>
        <v>14.939774362315674</v>
      </c>
      <c r="BR123" s="21">
        <f>EXP(-LN(2)/2)*BR122+(1-EXP(-LN(2)/2))/(LN(2)/2)*BL123*BO123*VLOOKUP('Données projet'!$B$11,Paramètres!$A$1:$I$89,3,0)*0.475*44/12</f>
        <v>0.12661333994718718</v>
      </c>
      <c r="BS123" s="22">
        <f t="shared" si="63"/>
        <v>68.688639304553163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212.00000000000009</v>
      </c>
      <c r="BZ123" s="13">
        <f>BY123*VLOOKUP('Données projet'!$B$12,Paramètres!$A$1:$I$89,3,0)*VLOOKUP('Données projet'!$B$12,Paramètres!$A$1:$I$89,5,0)</f>
        <v>185.20320000000009</v>
      </c>
      <c r="CA123" s="13">
        <f t="shared" si="93"/>
        <v>46.477875402099386</v>
      </c>
      <c r="CB123" s="20">
        <f t="shared" si="64"/>
        <v>403.5112063253232</v>
      </c>
      <c r="CC123" s="59">
        <f t="shared" si="65"/>
        <v>696.84453965865646</v>
      </c>
      <c r="CD123" s="59">
        <f ca="1">AVERAGE(OFFSET($CC$3,0,0,'Données projet'!$E$12+1,1))-AVERAGE(OFFSET($H$3,0,0,'Données projet'!$E$12+1,1))</f>
        <v>216.10252108537389</v>
      </c>
      <c r="CE123" s="59">
        <f t="shared" si="94"/>
        <v>196.91968622092054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10.050205995516459</v>
      </c>
      <c r="CL123" s="21">
        <f>EXP(-LN(2)/25)*CL122+(1-EXP(-LN(2)/25))/(LN(2)/25)*Calculateur!CG123*Calculateur!CI123*VLOOKUP('Données projet'!$B$12,Paramètres!$A$1:$I$89,3,0)*0.475*44/12</f>
        <v>8.0334932524897376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18.083699248006198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6.0153846153846189</v>
      </c>
      <c r="CT123" s="12">
        <f>IF('Données projet'!$A$140&gt;35,CT122+CS123-DB122,IF(A123&lt;'Données projet'!$A$140,$CQ$205^A123,IF(A123='Données projet'!$A$140,'Données projet'!$B$140,CT122+CS123-DB122)))</f>
        <v>286.89999999999975</v>
      </c>
      <c r="CU123" s="17">
        <f>CT123*VLOOKUP('Données projet'!$B$13,Paramètres!$A$1:$I$89,3,0)*VLOOKUP('Données projet'!$B$13,Paramètres!$A$1:$I$89,5,0)</f>
        <v>259.58711999999974</v>
      </c>
      <c r="CV123" s="13">
        <f t="shared" si="95"/>
        <v>62.634360486247317</v>
      </c>
      <c r="CW123" s="20">
        <f t="shared" si="67"/>
        <v>561.2024118468803</v>
      </c>
      <c r="CX123" s="59">
        <f t="shared" si="68"/>
        <v>854.53574518021355</v>
      </c>
      <c r="CY123" s="59">
        <f ca="1">AVERAGE(OFFSET($CX$3,0,0,'Données projet'!$E$13+1,1))-AVERAGE(OFFSET($H$3,0,0,'Données projet'!$E$13+1,1))</f>
        <v>318.01858325056168</v>
      </c>
      <c r="CZ123" s="59">
        <f t="shared" si="96"/>
        <v>119.46953274700951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36.997899685875986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36.997899685875986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56.628000000000185</v>
      </c>
      <c r="D124" s="11">
        <f t="shared" si="86"/>
        <v>16.312872953208569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563.05235262126064</v>
      </c>
      <c r="H124" s="67">
        <f t="shared" si="56"/>
        <v>420.37202039350524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200.15574321350221</v>
      </c>
      <c r="T124" s="59">
        <f t="shared" si="88"/>
        <v>200.70728852570426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38.758007805873063</v>
      </c>
      <c r="AA124" s="21">
        <f>EXP(-LN(2)/25)*AA123+(1-EXP(-LN(2)/25))/(LN(2)/25)*Calculateur!V124*Calculateur!X124*VLOOKUP('Données projet'!$B$9,Paramètres!$A$1:$I$89,3,0)*0.475*44/12</f>
        <v>6.6596763483484498</v>
      </c>
      <c r="AB124" s="21">
        <f>EXP(-LN(2)/2)*AB123+(1-EXP(-LN(2)/2))/(LN(2)/2)*V124*Y124*VLOOKUP('Données projet'!$B$9,Paramètres!$A$1:$I$89,3,0)*0.475*44/12</f>
        <v>2.1048958332558977E-8</v>
      </c>
      <c r="AC124" s="22">
        <f t="shared" si="57"/>
        <v>45.417684175270473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45.407317338461951</v>
      </c>
      <c r="AO124" s="59">
        <f t="shared" si="90"/>
        <v>149.88701606165358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4.8545388511017222</v>
      </c>
      <c r="AV124" s="21">
        <f>EXP(-LN(2)/25)*AV123+(1-EXP(-LN(2)/25))/(LN(2)/25)*Calculateur!AQ124*Calculateur!AS124*VLOOKUP('Données projet'!$B$10,Paramètres!$A$1:$I$89,3,0)*0.475*44/12</f>
        <v>0.46553594398568748</v>
      </c>
      <c r="AW124" s="21">
        <f>EXP(-LN(2)/2)*AW123+(1-EXP(-LN(2)/2))/(LN(2)/2)*AQ124*AT124*VLOOKUP('Données projet'!$B$10,Paramètres!$A$1:$I$89,3,0)*0.475*44/12</f>
        <v>6.8686108320829178E-15</v>
      </c>
      <c r="AX124" s="21">
        <f t="shared" si="60"/>
        <v>5.3200747950874172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>
        <f>VLOOKUP(A124,'Données projet'!$A$87:$I$107,2,0)</f>
        <v>417.60769230769228</v>
      </c>
      <c r="BB124" s="12">
        <f>VLOOKUP(A124,'Données projet'!$A$87:$I$107,9,0)</f>
        <v>7.0884615384615346</v>
      </c>
      <c r="BC124" s="12">
        <f t="array" ref="BC124">INDEX(BB:BB,MIN(IF(ISNUMBER(BB124:BB320),ROW(BB124:BB320),"")))</f>
        <v>7.0884615384615346</v>
      </c>
      <c r="BD124" s="12">
        <f>IF('Données projet'!$A$88&gt;35,BD123+BC124-BL123,IF(A124&lt;'Données projet'!$A$88,$BA$205^A124,IF(A124='Données projet'!$A$88,'Données projet'!$B$88,BD123+BC124-BL123)))</f>
        <v>417.6076923076933</v>
      </c>
      <c r="BE124" s="13">
        <f>BD124*VLOOKUP('Données projet'!$B$11,Paramètres!$A$1:$I$89,3,0)*VLOOKUP('Données projet'!$B$11,Paramètres!$A$1:$I$89,5,0)</f>
        <v>195.44040000000044</v>
      </c>
      <c r="BF124" s="13">
        <f t="shared" si="91"/>
        <v>48.740764653053404</v>
      </c>
      <c r="BG124" s="20">
        <f t="shared" si="61"/>
        <v>425.28219510406871</v>
      </c>
      <c r="BH124" s="59">
        <f t="shared" si="62"/>
        <v>718.61552843740196</v>
      </c>
      <c r="BI124" s="59">
        <f ca="1">AVERAGE(OFFSET($BH$3,0,0,'Données projet'!$E$11+1,1))-AVERAGE(OFFSET($H$3,0,0,'Données projet'!$E$11+1,1))</f>
        <v>183.67580045784649</v>
      </c>
      <c r="BJ124" s="59">
        <f t="shared" si="92"/>
        <v>121.08269345608767</v>
      </c>
      <c r="BK124" s="15">
        <f>IF(ISNA(VLOOKUP(A124,'Données projet'!$A$87:$I$107,3,0)),0,VLOOKUP(A124,'Données projet'!$A$87:$I$107,3,0))</f>
        <v>7</v>
      </c>
      <c r="BL124" s="15">
        <f>IF(ISNA(VLOOKUP(A124,'Données projet'!$A$87:$I$107,4,0)),0,VLOOKUP(A124,'Données projet'!$A$87:$I$107,4,0))</f>
        <v>207.07692307692307</v>
      </c>
      <c r="BM124" s="16">
        <f>IF(ISNA(VLOOKUP(A124,'Données projet'!$A$87:$I$107,5,0)),0%,VLOOKUP(A124,'Données projet'!$A$87:$I$107,5,0)*VLOOKUP('Données projet'!$B$11,Paramètres!$A$1:$I$89,7,0))</f>
        <v>0.38500000000000001</v>
      </c>
      <c r="BN124" s="16">
        <f>IF(ISNA(VLOOKUP(A124,'Données projet'!$A$87:$I$107,6,0)),0%,VLOOKUP(A124,'Données projet'!$A$87:$I$107,6,0)*VLOOKUP('Données projet'!$B$11,Paramètres!$A$1:$I$89,7,0))</f>
        <v>9.240000000000001E-2</v>
      </c>
      <c r="BO124" s="16">
        <f>IF(ISNA(VLOOKUP(A124,'Données projet'!$A$87:$I$107,7,0)),0%,VLOOKUP(A124,'Données projet'!$A$87:$I$107,7,0))</f>
        <v>0.13200000000000001</v>
      </c>
      <c r="BP124" s="21">
        <f>EXP(-LN(2)/35)*BP123+(1-EXP(-LN(2)/35))/(LN(2)/35)*BL124*BM124*VLOOKUP('Données projet'!$B$11,Paramètres!$A$1:$I$89,3,0)*0.475*44/12</f>
        <v>102.06635753935271</v>
      </c>
      <c r="BQ124" s="21">
        <f>EXP(-LN(2)/25)*BQ123+(1-EXP(-LN(2)/25))/(LN(2)/25)*Calculateur!BL124*Calculateur!BN124*VLOOKUP('Données projet'!$B$11,Paramètres!$A$1:$I$89,3,0)*0.475*44/12</f>
        <v>26.363418853005165</v>
      </c>
      <c r="BR124" s="21">
        <f>EXP(-LN(2)/2)*BR123+(1-EXP(-LN(2)/2))/(LN(2)/2)*BL124*BO124*VLOOKUP('Données projet'!$B$11,Paramètres!$A$1:$I$89,3,0)*0.475*44/12</f>
        <v>14.573479478426137</v>
      </c>
      <c r="BS124" s="22">
        <f t="shared" si="63"/>
        <v>143.00325587078402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212.00000000000009</v>
      </c>
      <c r="BZ124" s="13">
        <f>BY124*VLOOKUP('Données projet'!$B$12,Paramètres!$A$1:$I$89,3,0)*VLOOKUP('Données projet'!$B$12,Paramètres!$A$1:$I$89,5,0)</f>
        <v>185.20320000000009</v>
      </c>
      <c r="CA124" s="13">
        <f t="shared" si="93"/>
        <v>46.477875402099386</v>
      </c>
      <c r="CB124" s="20">
        <f t="shared" si="64"/>
        <v>403.5112063253232</v>
      </c>
      <c r="CC124" s="59">
        <f t="shared" si="65"/>
        <v>696.84453965865646</v>
      </c>
      <c r="CD124" s="59">
        <f ca="1">AVERAGE(OFFSET($CC$3,0,0,'Données projet'!$E$12+1,1))-AVERAGE(OFFSET($H$3,0,0,'Données projet'!$E$12+1,1))</f>
        <v>216.10252108537389</v>
      </c>
      <c r="CE124" s="59">
        <f t="shared" si="94"/>
        <v>196.91968622092054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9.8531275859647494</v>
      </c>
      <c r="CL124" s="21">
        <f>EXP(-LN(2)/25)*CL123+(1-EXP(-LN(2)/25))/(LN(2)/25)*Calculateur!CG124*Calculateur!CI124*VLOOKUP('Données projet'!$B$12,Paramètres!$A$1:$I$89,3,0)*0.475*44/12</f>
        <v>7.8138169570373561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17.666944543002106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6.0153846153846189</v>
      </c>
      <c r="CT124" s="12">
        <f>IF('Données projet'!$A$140&gt;35,CT123+CS124-DB123,IF(A124&lt;'Données projet'!$A$140,$CQ$205^A124,IF(A124='Données projet'!$A$140,'Données projet'!$B$140,CT123+CS124-DB123)))</f>
        <v>292.91538461538437</v>
      </c>
      <c r="CU124" s="17">
        <f>CT124*VLOOKUP('Données projet'!$B$13,Paramètres!$A$1:$I$89,3,0)*VLOOKUP('Données projet'!$B$13,Paramètres!$A$1:$I$89,5,0)</f>
        <v>265.02983999999975</v>
      </c>
      <c r="CV124" s="13">
        <f t="shared" si="95"/>
        <v>63.793338031797148</v>
      </c>
      <c r="CW124" s="20">
        <f t="shared" si="67"/>
        <v>572.70036840537955</v>
      </c>
      <c r="CX124" s="59">
        <f t="shared" si="68"/>
        <v>866.03370173871281</v>
      </c>
      <c r="CY124" s="59">
        <f ca="1">AVERAGE(OFFSET($CX$3,0,0,'Données projet'!$E$13+1,1))-AVERAGE(OFFSET($H$3,0,0,'Données projet'!$E$13+1,1))</f>
        <v>318.01858325056168</v>
      </c>
      <c r="CZ124" s="59">
        <f t="shared" si="96"/>
        <v>119.46953274700951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36.27239343952651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36.27239343952651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57.096000000000188</v>
      </c>
      <c r="D125" s="11">
        <f t="shared" si="86"/>
        <v>16.431940248498069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567.58410016384607</v>
      </c>
      <c r="H125" s="67">
        <f t="shared" si="56"/>
        <v>421.39449593280108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200.15574321350221</v>
      </c>
      <c r="T125" s="59">
        <f t="shared" si="88"/>
        <v>200.70728852570426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37.997986912850394</v>
      </c>
      <c r="AA125" s="21">
        <f>EXP(-LN(2)/25)*AA124+(1-EXP(-LN(2)/25))/(LN(2)/25)*Calculateur!V125*Calculateur!X125*VLOOKUP('Données projet'!$B$9,Paramètres!$A$1:$I$89,3,0)*0.475*44/12</f>
        <v>6.4775671483857034</v>
      </c>
      <c r="AB125" s="21">
        <f>EXP(-LN(2)/2)*AB124+(1-EXP(-LN(2)/2))/(LN(2)/2)*V125*Y125*VLOOKUP('Données projet'!$B$9,Paramètres!$A$1:$I$89,3,0)*0.475*44/12</f>
        <v>1.4883861173865538E-8</v>
      </c>
      <c r="AC125" s="22">
        <f t="shared" si="57"/>
        <v>44.475554076119955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45.407317338461951</v>
      </c>
      <c r="AO125" s="59">
        <f t="shared" si="90"/>
        <v>149.88701606165358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4.7593443052079447</v>
      </c>
      <c r="AV125" s="21">
        <f>EXP(-LN(2)/25)*AV124+(1-EXP(-LN(2)/25))/(LN(2)/25)*Calculateur!AQ125*Calculateur!AS125*VLOOKUP('Données projet'!$B$10,Paramètres!$A$1:$I$89,3,0)*0.475*44/12</f>
        <v>0.45280583911592759</v>
      </c>
      <c r="AW125" s="21">
        <f>EXP(-LN(2)/2)*AW124+(1-EXP(-LN(2)/2))/(LN(2)/2)*AQ125*AT125*VLOOKUP('Données projet'!$B$10,Paramètres!$A$1:$I$89,3,0)*0.475*44/12</f>
        <v>4.8568412966972059E-15</v>
      </c>
      <c r="AX125" s="21">
        <f t="shared" si="60"/>
        <v>5.2121501443238767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4.9084615384615375</v>
      </c>
      <c r="BD125" s="12">
        <f>IF('Données projet'!$A$88&gt;35,BD124+BC125-BL124,IF(A125&lt;'Données projet'!$A$88,$BA$205^A125,IF(A125='Données projet'!$A$88,'Données projet'!$B$88,BD124+BC125-BL124)))</f>
        <v>215.43923076923178</v>
      </c>
      <c r="BE125" s="13">
        <f>BD125*VLOOKUP('Données projet'!$B$11,Paramètres!$A$1:$I$89,3,0)*VLOOKUP('Données projet'!$B$11,Paramètres!$A$1:$I$89,5,0)</f>
        <v>100.82556000000046</v>
      </c>
      <c r="BF125" s="13">
        <f t="shared" si="91"/>
        <v>27.158581624033999</v>
      </c>
      <c r="BG125" s="20">
        <f t="shared" si="61"/>
        <v>222.90571332852667</v>
      </c>
      <c r="BH125" s="59">
        <f t="shared" si="62"/>
        <v>516.23904666186002</v>
      </c>
      <c r="BI125" s="59">
        <f ca="1">AVERAGE(OFFSET($BH$3,0,0,'Données projet'!$E$11+1,1))-AVERAGE(OFFSET($H$3,0,0,'Données projet'!$E$11+1,1))</f>
        <v>183.67580045784649</v>
      </c>
      <c r="BJ125" s="59">
        <f t="shared" si="92"/>
        <v>121.08269345608767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100.06489852233699</v>
      </c>
      <c r="BQ125" s="21">
        <f>EXP(-LN(2)/25)*BQ124+(1-EXP(-LN(2)/25))/(LN(2)/25)*Calculateur!BL125*Calculateur!BN125*VLOOKUP('Données projet'!$B$11,Paramètres!$A$1:$I$89,3,0)*0.475*44/12</f>
        <v>25.642509778077795</v>
      </c>
      <c r="BR125" s="21">
        <f>EXP(-LN(2)/2)*BR124+(1-EXP(-LN(2)/2))/(LN(2)/2)*BL125*BO125*VLOOKUP('Données projet'!$B$11,Paramètres!$A$1:$I$89,3,0)*0.475*44/12</f>
        <v>10.305006164678112</v>
      </c>
      <c r="BS125" s="22">
        <f t="shared" si="63"/>
        <v>136.01241446509289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212.00000000000009</v>
      </c>
      <c r="BZ125" s="13">
        <f>BY125*VLOOKUP('Données projet'!$B$12,Paramètres!$A$1:$I$89,3,0)*VLOOKUP('Données projet'!$B$12,Paramètres!$A$1:$I$89,5,0)</f>
        <v>185.20320000000009</v>
      </c>
      <c r="CA125" s="13">
        <f t="shared" si="93"/>
        <v>46.477875402099386</v>
      </c>
      <c r="CB125" s="20">
        <f t="shared" si="64"/>
        <v>403.5112063253232</v>
      </c>
      <c r="CC125" s="59">
        <f t="shared" si="65"/>
        <v>696.84453965865646</v>
      </c>
      <c r="CD125" s="59">
        <f ca="1">AVERAGE(OFFSET($CC$3,0,0,'Données projet'!$E$12+1,1))-AVERAGE(OFFSET($H$3,0,0,'Données projet'!$E$12+1,1))</f>
        <v>216.10252108537389</v>
      </c>
      <c r="CE125" s="59">
        <f t="shared" si="94"/>
        <v>196.91968622092054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9.6599137638183876</v>
      </c>
      <c r="CL125" s="21">
        <f>EXP(-LN(2)/25)*CL124+(1-EXP(-LN(2)/25))/(LN(2)/25)*Calculateur!CG125*Calculateur!CI125*VLOOKUP('Données projet'!$B$12,Paramètres!$A$1:$I$89,3,0)*0.475*44/12</f>
        <v>7.6001477214363948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17.260061485254781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6.0153846153846189</v>
      </c>
      <c r="CT125" s="12">
        <f>IF('Données projet'!$A$140&gt;35,CT124+CS125-DB124,IF(A125&lt;'Données projet'!$A$140,$CQ$205^A125,IF(A125='Données projet'!$A$140,'Données projet'!$B$140,CT124+CS125-DB124)))</f>
        <v>298.93076923076899</v>
      </c>
      <c r="CU125" s="17">
        <f>CT125*VLOOKUP('Données projet'!$B$13,Paramètres!$A$1:$I$89,3,0)*VLOOKUP('Données projet'!$B$13,Paramètres!$A$1:$I$89,5,0)</f>
        <v>270.47255999999976</v>
      </c>
      <c r="CV125" s="13">
        <f t="shared" si="95"/>
        <v>64.949548237352417</v>
      </c>
      <c r="CW125" s="20">
        <f t="shared" si="67"/>
        <v>584.19350518005501</v>
      </c>
      <c r="CX125" s="59">
        <f t="shared" si="68"/>
        <v>877.52683851338838</v>
      </c>
      <c r="CY125" s="59">
        <f ca="1">AVERAGE(OFFSET($CX$3,0,0,'Données projet'!$E$13+1,1))-AVERAGE(OFFSET($H$3,0,0,'Données projet'!$E$13+1,1))</f>
        <v>318.01858325056168</v>
      </c>
      <c r="CZ125" s="59">
        <f t="shared" si="96"/>
        <v>119.46953274700951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35.561113928152835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35.561113928152835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57.564000000000192</v>
      </c>
      <c r="D126" s="11">
        <f t="shared" si="86"/>
        <v>16.55089399470792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572.11497118722059</v>
      </c>
      <c r="H126" s="67">
        <f t="shared" si="56"/>
        <v>422.41677370744992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200.15574321350221</v>
      </c>
      <c r="T126" s="59">
        <f t="shared" si="88"/>
        <v>200.70728852570426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37.252869565972929</v>
      </c>
      <c r="AA126" s="21">
        <f>EXP(-LN(2)/25)*AA125+(1-EXP(-LN(2)/25))/(LN(2)/25)*Calculateur!V126*Calculateur!X126*VLOOKUP('Données projet'!$B$9,Paramètres!$A$1:$I$89,3,0)*0.475*44/12</f>
        <v>6.300437734072645</v>
      </c>
      <c r="AB126" s="21">
        <f>EXP(-LN(2)/2)*AB125+(1-EXP(-LN(2)/2))/(LN(2)/2)*V126*Y126*VLOOKUP('Données projet'!$B$9,Paramètres!$A$1:$I$89,3,0)*0.475*44/12</f>
        <v>1.052447916627949E-8</v>
      </c>
      <c r="AC126" s="22">
        <f t="shared" si="57"/>
        <v>43.553307310570055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45.407317338461951</v>
      </c>
      <c r="AO126" s="59">
        <f t="shared" si="90"/>
        <v>149.88701606165358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4.6660164662962043</v>
      </c>
      <c r="AV126" s="21">
        <f>EXP(-LN(2)/25)*AV125+(1-EXP(-LN(2)/25))/(LN(2)/25)*Calculateur!AQ126*Calculateur!AS126*VLOOKUP('Données projet'!$B$10,Paramètres!$A$1:$I$89,3,0)*0.475*44/12</f>
        <v>0.44042383963327836</v>
      </c>
      <c r="AW126" s="21">
        <f>EXP(-LN(2)/2)*AW125+(1-EXP(-LN(2)/2))/(LN(2)/2)*AQ126*AT126*VLOOKUP('Données projet'!$B$10,Paramètres!$A$1:$I$89,3,0)*0.475*44/12</f>
        <v>3.4343054160414589E-15</v>
      </c>
      <c r="AX126" s="21">
        <f t="shared" si="60"/>
        <v>5.1064403059294863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4.9084615384615375</v>
      </c>
      <c r="BD126" s="12">
        <f>IF('Données projet'!$A$88&gt;35,BD125+BC126-BL125,IF(A126&lt;'Données projet'!$A$88,$BA$205^A126,IF(A126='Données projet'!$A$88,'Données projet'!$B$88,BD125+BC126-BL125)))</f>
        <v>220.34769230769331</v>
      </c>
      <c r="BE126" s="13">
        <f>BD126*VLOOKUP('Données projet'!$B$11,Paramètres!$A$1:$I$89,3,0)*VLOOKUP('Données projet'!$B$11,Paramètres!$A$1:$I$89,5,0)</f>
        <v>103.12272000000047</v>
      </c>
      <c r="BF126" s="13">
        <f t="shared" si="91"/>
        <v>27.70460592159175</v>
      </c>
      <c r="BG126" s="20">
        <f t="shared" si="61"/>
        <v>227.8575926467731</v>
      </c>
      <c r="BH126" s="59">
        <f t="shared" si="62"/>
        <v>521.19092598010639</v>
      </c>
      <c r="BI126" s="59">
        <f ca="1">AVERAGE(OFFSET($BH$3,0,0,'Données projet'!$E$11+1,1))-AVERAGE(OFFSET($H$3,0,0,'Données projet'!$E$11+1,1))</f>
        <v>183.67580045784649</v>
      </c>
      <c r="BJ126" s="59">
        <f t="shared" si="92"/>
        <v>121.08269345608767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98.102686895875493</v>
      </c>
      <c r="BQ126" s="21">
        <f>EXP(-LN(2)/25)*BQ125+(1-EXP(-LN(2)/25))/(LN(2)/25)*Calculateur!BL126*Calculateur!BN126*VLOOKUP('Données projet'!$B$11,Paramètres!$A$1:$I$89,3,0)*0.475*44/12</f>
        <v>24.941313999715273</v>
      </c>
      <c r="BR126" s="21">
        <f>EXP(-LN(2)/2)*BR125+(1-EXP(-LN(2)/2))/(LN(2)/2)*BL126*BO126*VLOOKUP('Données projet'!$B$11,Paramètres!$A$1:$I$89,3,0)*0.475*44/12</f>
        <v>7.2867397392130693</v>
      </c>
      <c r="BS126" s="22">
        <f t="shared" si="63"/>
        <v>130.33074063480385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212.00000000000009</v>
      </c>
      <c r="BZ126" s="13">
        <f>BY126*VLOOKUP('Données projet'!$B$12,Paramètres!$A$1:$I$89,3,0)*VLOOKUP('Données projet'!$B$12,Paramètres!$A$1:$I$89,5,0)</f>
        <v>185.20320000000009</v>
      </c>
      <c r="CA126" s="13">
        <f t="shared" si="93"/>
        <v>46.477875402099386</v>
      </c>
      <c r="CB126" s="20">
        <f t="shared" si="64"/>
        <v>403.5112063253232</v>
      </c>
      <c r="CC126" s="59">
        <f t="shared" si="65"/>
        <v>696.84453965865646</v>
      </c>
      <c r="CD126" s="59">
        <f ca="1">AVERAGE(OFFSET($CC$3,0,0,'Données projet'!$E$12+1,1))-AVERAGE(OFFSET($H$3,0,0,'Données projet'!$E$12+1,1))</f>
        <v>216.10252108537389</v>
      </c>
      <c r="CE126" s="59">
        <f t="shared" si="94"/>
        <v>196.91968622092054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9.470488746875521</v>
      </c>
      <c r="CL126" s="21">
        <f>EXP(-LN(2)/25)*CL125+(1-EXP(-LN(2)/25))/(LN(2)/25)*Calculateur!CG126*Calculateur!CI126*VLOOKUP('Données projet'!$B$12,Paramètres!$A$1:$I$89,3,0)*0.475*44/12</f>
        <v>7.3923212823193181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16.86281002919484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6.0153846153846189</v>
      </c>
      <c r="CT126" s="12">
        <f>IF('Données projet'!$A$140&gt;35,CT125+CS126-DB125,IF(A126&lt;'Données projet'!$A$140,$CQ$205^A126,IF(A126='Données projet'!$A$140,'Données projet'!$B$140,CT125+CS126-DB125)))</f>
        <v>304.94615384615361</v>
      </c>
      <c r="CU126" s="17">
        <f>CT126*VLOOKUP('Données projet'!$B$13,Paramètres!$A$1:$I$89,3,0)*VLOOKUP('Données projet'!$B$13,Paramètres!$A$1:$I$89,5,0)</f>
        <v>275.91527999999977</v>
      </c>
      <c r="CV126" s="13">
        <f t="shared" si="95"/>
        <v>66.103053207798197</v>
      </c>
      <c r="CW126" s="20">
        <f t="shared" si="67"/>
        <v>595.68193033691477</v>
      </c>
      <c r="CX126" s="59">
        <f t="shared" si="68"/>
        <v>889.01526367024803</v>
      </c>
      <c r="CY126" s="59">
        <f ca="1">AVERAGE(OFFSET($CX$3,0,0,'Données projet'!$E$13+1,1))-AVERAGE(OFFSET($H$3,0,0,'Données projet'!$E$13+1,1))</f>
        <v>318.01858325056168</v>
      </c>
      <c r="CZ126" s="59">
        <f t="shared" si="96"/>
        <v>119.46953274700951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34.863782174159532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34.863782174159532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58.032000000000195</v>
      </c>
      <c r="D127" s="11">
        <f t="shared" si="86"/>
        <v>16.669735221992848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576.64497364345516</v>
      </c>
      <c r="H127" s="67">
        <f t="shared" si="56"/>
        <v>423.43885551163788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200.15574321350221</v>
      </c>
      <c r="T127" s="59">
        <f t="shared" si="88"/>
        <v>200.70728852570426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36.522363515791021</v>
      </c>
      <c r="AA127" s="21">
        <f>EXP(-LN(2)/25)*AA126+(1-EXP(-LN(2)/25))/(LN(2)/25)*Calculateur!V127*Calculateur!X127*VLOOKUP('Données projet'!$B$9,Paramètres!$A$1:$I$89,3,0)*0.475*44/12</f>
        <v>6.1281519329088079</v>
      </c>
      <c r="AB127" s="21">
        <f>EXP(-LN(2)/2)*AB126+(1-EXP(-LN(2)/2))/(LN(2)/2)*V127*Y127*VLOOKUP('Données projet'!$B$9,Paramètres!$A$1:$I$89,3,0)*0.475*44/12</f>
        <v>7.4419305869327706E-9</v>
      </c>
      <c r="AC127" s="22">
        <f t="shared" si="57"/>
        <v>42.650515456141761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45.407317338461951</v>
      </c>
      <c r="AO127" s="59">
        <f t="shared" si="90"/>
        <v>149.88701606165358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4.574518729381162</v>
      </c>
      <c r="AV127" s="21">
        <f>EXP(-LN(2)/25)*AV126+(1-EXP(-LN(2)/25))/(LN(2)/25)*Calculateur!AQ127*Calculateur!AS127*VLOOKUP('Données projet'!$B$10,Paramètres!$A$1:$I$89,3,0)*0.475*44/12</f>
        <v>0.42838042657762326</v>
      </c>
      <c r="AW127" s="21">
        <f>EXP(-LN(2)/2)*AW126+(1-EXP(-LN(2)/2))/(LN(2)/2)*AQ127*AT127*VLOOKUP('Données projet'!$B$10,Paramètres!$A$1:$I$89,3,0)*0.475*44/12</f>
        <v>2.4284206483486029E-15</v>
      </c>
      <c r="AX127" s="21">
        <f t="shared" si="60"/>
        <v>5.0028991559587883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4.9084615384615375</v>
      </c>
      <c r="BD127" s="12">
        <f>IF('Données projet'!$A$88&gt;35,BD126+BC127-BL126,IF(A127&lt;'Données projet'!$A$88,$BA$205^A127,IF(A127='Données projet'!$A$88,'Données projet'!$B$88,BD126+BC127-BL126)))</f>
        <v>225.25615384615486</v>
      </c>
      <c r="BE127" s="13">
        <f>BD127*VLOOKUP('Données projet'!$B$11,Paramètres!$A$1:$I$89,3,0)*VLOOKUP('Données projet'!$B$11,Paramètres!$A$1:$I$89,5,0)</f>
        <v>105.41988000000046</v>
      </c>
      <c r="BF127" s="13">
        <f t="shared" si="91"/>
        <v>28.249216129722416</v>
      </c>
      <c r="BG127" s="20">
        <f t="shared" si="61"/>
        <v>232.80700909260065</v>
      </c>
      <c r="BH127" s="59">
        <f t="shared" si="62"/>
        <v>526.14034242593402</v>
      </c>
      <c r="BI127" s="59">
        <f ca="1">AVERAGE(OFFSET($BH$3,0,0,'Données projet'!$E$11+1,1))-AVERAGE(OFFSET($H$3,0,0,'Données projet'!$E$11+1,1))</f>
        <v>183.67580045784649</v>
      </c>
      <c r="BJ127" s="59">
        <f t="shared" si="92"/>
        <v>121.08269345608767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96.178953042578001</v>
      </c>
      <c r="BQ127" s="21">
        <f>EXP(-LN(2)/25)*BQ126+(1-EXP(-LN(2)/25))/(LN(2)/25)*Calculateur!BL127*Calculateur!BN127*VLOOKUP('Données projet'!$B$11,Paramètres!$A$1:$I$89,3,0)*0.475*44/12</f>
        <v>24.259292456786358</v>
      </c>
      <c r="BR127" s="21">
        <f>EXP(-LN(2)/2)*BR126+(1-EXP(-LN(2)/2))/(LN(2)/2)*BL127*BO127*VLOOKUP('Données projet'!$B$11,Paramètres!$A$1:$I$89,3,0)*0.475*44/12</f>
        <v>5.1525030823390567</v>
      </c>
      <c r="BS127" s="22">
        <f t="shared" si="63"/>
        <v>125.59074858170341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212.00000000000009</v>
      </c>
      <c r="BZ127" s="13">
        <f>BY127*VLOOKUP('Données projet'!$B$12,Paramètres!$A$1:$I$89,3,0)*VLOOKUP('Données projet'!$B$12,Paramètres!$A$1:$I$89,5,0)</f>
        <v>185.20320000000009</v>
      </c>
      <c r="CA127" s="13">
        <f t="shared" si="93"/>
        <v>46.477875402099386</v>
      </c>
      <c r="CB127" s="20">
        <f t="shared" si="64"/>
        <v>403.5112063253232</v>
      </c>
      <c r="CC127" s="59">
        <f t="shared" si="65"/>
        <v>696.84453965865646</v>
      </c>
      <c r="CD127" s="59">
        <f ca="1">AVERAGE(OFFSET($CC$3,0,0,'Données projet'!$E$12+1,1))-AVERAGE(OFFSET($H$3,0,0,'Données projet'!$E$12+1,1))</f>
        <v>216.10252108537389</v>
      </c>
      <c r="CE127" s="59">
        <f t="shared" si="94"/>
        <v>196.91968622092054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9.2847782389770526</v>
      </c>
      <c r="CL127" s="21">
        <f>EXP(-LN(2)/25)*CL126+(1-EXP(-LN(2)/25))/(LN(2)/25)*Calculateur!CG127*Calculateur!CI127*VLOOKUP('Données projet'!$B$12,Paramètres!$A$1:$I$89,3,0)*0.475*44/12</f>
        <v>7.1901778681090152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16.474956107086069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>
        <f>VLOOKUP(A127,'Données projet'!$A$139:$I$159,2,0)</f>
        <v>310.96153846153845</v>
      </c>
      <c r="CR127" s="12">
        <f>VLOOKUP(A127,'Données projet'!$A$139:$I$159,9,0)</f>
        <v>6.0153846153846189</v>
      </c>
      <c r="CS127" s="12">
        <f t="array" ref="CS127">INDEX(CR:CR,MIN(IF(ISNUMBER(CR127:CR323),ROW(CR127:CR323),"")))</f>
        <v>6.0153846153846189</v>
      </c>
      <c r="CT127" s="12">
        <f>IF('Données projet'!$A$140&gt;35,CT126+CS127-DB126,IF(A127&lt;'Données projet'!$A$140,$CQ$205^A127,IF(A127='Données projet'!$A$140,'Données projet'!$B$140,CT126+CS127-DB126)))</f>
        <v>310.96153846153823</v>
      </c>
      <c r="CU127" s="17">
        <f>CT127*VLOOKUP('Données projet'!$B$13,Paramètres!$A$1:$I$89,3,0)*VLOOKUP('Données projet'!$B$13,Paramètres!$A$1:$I$89,5,0)</f>
        <v>281.35799999999978</v>
      </c>
      <c r="CV127" s="13">
        <f t="shared" si="95"/>
        <v>67.253912457721626</v>
      </c>
      <c r="CW127" s="20">
        <f t="shared" si="67"/>
        <v>607.16574753053146</v>
      </c>
      <c r="CX127" s="59">
        <f t="shared" si="68"/>
        <v>900.49908086386472</v>
      </c>
      <c r="CY127" s="59">
        <f ca="1">AVERAGE(OFFSET($CX$3,0,0,'Données projet'!$E$13+1,1))-AVERAGE(OFFSET($H$3,0,0,'Données projet'!$E$13+1,1))</f>
        <v>318.01858325056168</v>
      </c>
      <c r="CZ127" s="59">
        <f t="shared" si="96"/>
        <v>119.46953274700951</v>
      </c>
      <c r="DA127" s="15">
        <f>IF(ISNA(VLOOKUP(A127,'Données projet'!$A$139:$I$159,3,0)),0,VLOOKUP(A127,'Données projet'!$A$139:$I$159,3,0))</f>
        <v>10</v>
      </c>
      <c r="DB127" s="15">
        <f>IF(ISNA(VLOOKUP(A127,'Données projet'!$A$139:$I$159,4,0)),0,VLOOKUP(A127,'Données projet'!$A$139:$I$159,4,0))</f>
        <v>39.820512820512818</v>
      </c>
      <c r="DC127" s="16">
        <f>IF(ISNA(VLOOKUP(A127,'Données projet'!$A$139:$I$159,5,0)),0%,VLOOKUP(A127,'Données projet'!$A$139:$I$159,5,0)*VLOOKUP('Données projet'!$B$13,Paramètres!$A$1:$I$89,7,0))</f>
        <v>0.30099999999999999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46.168851002044192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46.168851002044192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58.500000000000199</v>
      </c>
      <c r="D128" s="11">
        <f t="shared" si="86"/>
        <v>16.788464942932855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581.17411534895689</v>
      </c>
      <c r="H128" s="67">
        <f t="shared" si="56"/>
        <v>424.4607431089417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200.15574321350221</v>
      </c>
      <c r="T128" s="59">
        <f t="shared" si="88"/>
        <v>200.70728852570426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35.80618224368849</v>
      </c>
      <c r="AA128" s="21">
        <f>EXP(-LN(2)/25)*AA127+(1-EXP(-LN(2)/25))/(LN(2)/25)*Calculateur!V128*Calculateur!X128*VLOOKUP('Données projet'!$B$9,Paramètres!$A$1:$I$89,3,0)*0.475*44/12</f>
        <v>5.9605772960379122</v>
      </c>
      <c r="AB128" s="21">
        <f>EXP(-LN(2)/2)*AB127+(1-EXP(-LN(2)/2))/(LN(2)/2)*V128*Y128*VLOOKUP('Données projet'!$B$9,Paramètres!$A$1:$I$89,3,0)*0.475*44/12</f>
        <v>5.262239583139746E-9</v>
      </c>
      <c r="AC128" s="22">
        <f t="shared" si="57"/>
        <v>41.766759544988638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45.407317338461951</v>
      </c>
      <c r="AO128" s="59">
        <f t="shared" si="90"/>
        <v>149.88701606165358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4.4848152072789151</v>
      </c>
      <c r="AV128" s="21">
        <f>EXP(-LN(2)/25)*AV127+(1-EXP(-LN(2)/25))/(LN(2)/25)*Calculateur!AQ128*Calculateur!AS128*VLOOKUP('Données projet'!$B$10,Paramètres!$A$1:$I$89,3,0)*0.475*44/12</f>
        <v>0.4166663412853106</v>
      </c>
      <c r="AW128" s="21">
        <f>EXP(-LN(2)/2)*AW127+(1-EXP(-LN(2)/2))/(LN(2)/2)*AQ128*AT128*VLOOKUP('Données projet'!$B$10,Paramètres!$A$1:$I$89,3,0)*0.475*44/12</f>
        <v>1.7171527080207295E-15</v>
      </c>
      <c r="AX128" s="21">
        <f t="shared" si="60"/>
        <v>4.9014815485642274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4.9084615384615375</v>
      </c>
      <c r="BD128" s="12">
        <f>IF('Données projet'!$A$88&gt;35,BD127+BC128-BL127,IF(A128&lt;'Données projet'!$A$88,$BA$205^A128,IF(A128='Données projet'!$A$88,'Données projet'!$B$88,BD127+BC128-BL127)))</f>
        <v>230.16461538461641</v>
      </c>
      <c r="BE128" s="13">
        <f>BD128*VLOOKUP('Données projet'!$B$11,Paramètres!$A$1:$I$89,3,0)*VLOOKUP('Données projet'!$B$11,Paramètres!$A$1:$I$89,5,0)</f>
        <v>107.71704000000048</v>
      </c>
      <c r="BF128" s="13">
        <f t="shared" si="91"/>
        <v>28.792446610882244</v>
      </c>
      <c r="BG128" s="20">
        <f t="shared" si="61"/>
        <v>237.75402251395406</v>
      </c>
      <c r="BH128" s="59">
        <f t="shared" si="62"/>
        <v>531.08735584728743</v>
      </c>
      <c r="BI128" s="59">
        <f ca="1">AVERAGE(OFFSET($BH$3,0,0,'Données projet'!$E$11+1,1))-AVERAGE(OFFSET($H$3,0,0,'Données projet'!$E$11+1,1))</f>
        <v>183.67580045784649</v>
      </c>
      <c r="BJ128" s="59">
        <f t="shared" si="92"/>
        <v>121.08269345608767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94.292942436781871</v>
      </c>
      <c r="BQ128" s="21">
        <f>EXP(-LN(2)/25)*BQ127+(1-EXP(-LN(2)/25))/(LN(2)/25)*Calculateur!BL128*Calculateur!BN128*VLOOKUP('Données projet'!$B$11,Paramètres!$A$1:$I$89,3,0)*0.475*44/12</f>
        <v>23.595920828814791</v>
      </c>
      <c r="BR128" s="21">
        <f>EXP(-LN(2)/2)*BR127+(1-EXP(-LN(2)/2))/(LN(2)/2)*BL128*BO128*VLOOKUP('Données projet'!$B$11,Paramètres!$A$1:$I$89,3,0)*0.475*44/12</f>
        <v>3.6433698696065351</v>
      </c>
      <c r="BS128" s="22">
        <f t="shared" si="63"/>
        <v>121.53223313520319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212.00000000000009</v>
      </c>
      <c r="BZ128" s="13">
        <f>BY128*VLOOKUP('Données projet'!$B$12,Paramètres!$A$1:$I$89,3,0)*VLOOKUP('Données projet'!$B$12,Paramètres!$A$1:$I$89,5,0)</f>
        <v>185.20320000000009</v>
      </c>
      <c r="CA128" s="13">
        <f t="shared" si="93"/>
        <v>46.477875402099386</v>
      </c>
      <c r="CB128" s="20">
        <f t="shared" si="64"/>
        <v>403.5112063253232</v>
      </c>
      <c r="CC128" s="59">
        <f t="shared" si="65"/>
        <v>696.84453965865646</v>
      </c>
      <c r="CD128" s="59">
        <f ca="1">AVERAGE(OFFSET($CC$3,0,0,'Données projet'!$E$12+1,1))-AVERAGE(OFFSET($H$3,0,0,'Données projet'!$E$12+1,1))</f>
        <v>216.10252108537389</v>
      </c>
      <c r="CE128" s="59">
        <f t="shared" si="94"/>
        <v>196.91968622092054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9.1027094008662477</v>
      </c>
      <c r="CL128" s="21">
        <f>EXP(-LN(2)/25)*CL127+(1-EXP(-LN(2)/25))/(LN(2)/25)*Calculateur!CG128*Calculateur!CI128*VLOOKUP('Données projet'!$B$12,Paramètres!$A$1:$I$89,3,0)*0.475*44/12</f>
        <v>6.9935620761905533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16.096271477056803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6.0711538461538508</v>
      </c>
      <c r="CT128" s="12">
        <f>IF('Données projet'!$A$140&gt;35,CT127+CS128-DB127,IF(A128&lt;'Données projet'!$A$140,$CQ$205^A128,IF(A128='Données projet'!$A$140,'Données projet'!$B$140,CT127+CS128-DB127)))</f>
        <v>277.21217948717924</v>
      </c>
      <c r="CU128" s="17">
        <f>CT128*VLOOKUP('Données projet'!$B$13,Paramètres!$A$1:$I$89,3,0)*VLOOKUP('Données projet'!$B$13,Paramètres!$A$1:$I$89,5,0)</f>
        <v>250.82157999999976</v>
      </c>
      <c r="CV128" s="13">
        <f t="shared" si="95"/>
        <v>60.761836236258191</v>
      </c>
      <c r="CW128" s="20">
        <f t="shared" si="67"/>
        <v>542.67444994481593</v>
      </c>
      <c r="CX128" s="59">
        <f t="shared" si="68"/>
        <v>836.00778327814919</v>
      </c>
      <c r="CY128" s="59">
        <f ca="1">AVERAGE(OFFSET($CX$3,0,0,'Données projet'!$E$13+1,1))-AVERAGE(OFFSET($H$3,0,0,'Données projet'!$E$13+1,1))</f>
        <v>318.01858325056168</v>
      </c>
      <c r="CZ128" s="59">
        <f t="shared" si="96"/>
        <v>119.46953274700951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45.263507994112629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45.263507994112629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58.968000000000202</v>
      </c>
      <c r="D129" s="11">
        <f t="shared" si="86"/>
        <v>16.907084152971169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585.70240398784915</v>
      </c>
      <c r="H129" s="67">
        <f t="shared" si="56"/>
        <v>425.48243823309178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200.15574321350221</v>
      </c>
      <c r="T129" s="59">
        <f t="shared" si="88"/>
        <v>200.70728852570426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35.104044849504447</v>
      </c>
      <c r="AA129" s="21">
        <f>EXP(-LN(2)/25)*AA128+(1-EXP(-LN(2)/25))/(LN(2)/25)*Calculateur!V129*Calculateur!X129*VLOOKUP('Données projet'!$B$9,Paramètres!$A$1:$I$89,3,0)*0.475*44/12</f>
        <v>5.7975849964246189</v>
      </c>
      <c r="AB129" s="21">
        <f>EXP(-LN(2)/2)*AB128+(1-EXP(-LN(2)/2))/(LN(2)/2)*V129*Y129*VLOOKUP('Données projet'!$B$9,Paramètres!$A$1:$I$89,3,0)*0.475*44/12</f>
        <v>3.7209652934663857E-9</v>
      </c>
      <c r="AC129" s="22">
        <f t="shared" si="57"/>
        <v>40.901629849650028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45.407317338461951</v>
      </c>
      <c r="AO129" s="59">
        <f t="shared" si="90"/>
        <v>149.88701606165358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4.396870716531347</v>
      </c>
      <c r="AV129" s="21">
        <f>EXP(-LN(2)/25)*AV128+(1-EXP(-LN(2)/25))/(LN(2)/25)*Calculateur!AQ129*Calculateur!AS129*VLOOKUP('Données projet'!$B$10,Paramètres!$A$1:$I$89,3,0)*0.475*44/12</f>
        <v>0.40527257827133323</v>
      </c>
      <c r="AW129" s="21">
        <f>EXP(-LN(2)/2)*AW128+(1-EXP(-LN(2)/2))/(LN(2)/2)*AQ129*AT129*VLOOKUP('Données projet'!$B$10,Paramètres!$A$1:$I$89,3,0)*0.475*44/12</f>
        <v>1.2142103241743015E-15</v>
      </c>
      <c r="AX129" s="21">
        <f t="shared" si="60"/>
        <v>4.802143294802681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4.9084615384615375</v>
      </c>
      <c r="BD129" s="12">
        <f>IF('Données projet'!$A$88&gt;35,BD128+BC129-BL128,IF(A129&lt;'Données projet'!$A$88,$BA$205^A129,IF(A129='Données projet'!$A$88,'Données projet'!$B$88,BD128+BC129-BL128)))</f>
        <v>235.07307692307796</v>
      </c>
      <c r="BE129" s="13">
        <f>BD129*VLOOKUP('Données projet'!$B$11,Paramètres!$A$1:$I$89,3,0)*VLOOKUP('Données projet'!$B$11,Paramètres!$A$1:$I$89,5,0)</f>
        <v>110.01420000000049</v>
      </c>
      <c r="BF129" s="13">
        <f t="shared" si="91"/>
        <v>29.334330178180249</v>
      </c>
      <c r="BG129" s="20">
        <f t="shared" si="61"/>
        <v>242.69869006033142</v>
      </c>
      <c r="BH129" s="59">
        <f t="shared" si="62"/>
        <v>536.03202339366476</v>
      </c>
      <c r="BI129" s="59">
        <f ca="1">AVERAGE(OFFSET($BH$3,0,0,'Données projet'!$E$11+1,1))-AVERAGE(OFFSET($H$3,0,0,'Données projet'!$E$11+1,1))</f>
        <v>183.67580045784649</v>
      </c>
      <c r="BJ129" s="59">
        <f t="shared" si="92"/>
        <v>121.08269345608767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92.443915348612521</v>
      </c>
      <c r="BQ129" s="21">
        <f>EXP(-LN(2)/25)*BQ128+(1-EXP(-LN(2)/25))/(LN(2)/25)*Calculateur!BL129*Calculateur!BN129*VLOOKUP('Données projet'!$B$11,Paramètres!$A$1:$I$89,3,0)*0.475*44/12</f>
        <v>22.950689132895302</v>
      </c>
      <c r="BR129" s="21">
        <f>EXP(-LN(2)/2)*BR128+(1-EXP(-LN(2)/2))/(LN(2)/2)*BL129*BO129*VLOOKUP('Données projet'!$B$11,Paramètres!$A$1:$I$89,3,0)*0.475*44/12</f>
        <v>2.5762515411695284</v>
      </c>
      <c r="BS129" s="22">
        <f t="shared" si="63"/>
        <v>117.97085602267735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212.00000000000009</v>
      </c>
      <c r="BZ129" s="13">
        <f>BY129*VLOOKUP('Données projet'!$B$12,Paramètres!$A$1:$I$89,3,0)*VLOOKUP('Données projet'!$B$12,Paramètres!$A$1:$I$89,5,0)</f>
        <v>185.20320000000009</v>
      </c>
      <c r="CA129" s="13">
        <f t="shared" si="93"/>
        <v>46.477875402099386</v>
      </c>
      <c r="CB129" s="20">
        <f t="shared" si="64"/>
        <v>403.5112063253232</v>
      </c>
      <c r="CC129" s="59">
        <f t="shared" si="65"/>
        <v>696.84453965865646</v>
      </c>
      <c r="CD129" s="59">
        <f ca="1">AVERAGE(OFFSET($CC$3,0,0,'Données projet'!$E$12+1,1))-AVERAGE(OFFSET($H$3,0,0,'Données projet'!$E$12+1,1))</f>
        <v>216.10252108537389</v>
      </c>
      <c r="CE129" s="59">
        <f t="shared" si="94"/>
        <v>196.91968622092054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8.92421082161977</v>
      </c>
      <c r="CL129" s="21">
        <f>EXP(-LN(2)/25)*CL128+(1-EXP(-LN(2)/25))/(LN(2)/25)*Calculateur!CG129*Calculateur!CI129*VLOOKUP('Données projet'!$B$12,Paramètres!$A$1:$I$89,3,0)*0.475*44/12</f>
        <v>6.8023227534416772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15.726533575061447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6.0711538461538508</v>
      </c>
      <c r="CT129" s="12">
        <f>IF('Données projet'!$A$140&gt;35,CT128+CS129-DB128,IF(A129&lt;'Données projet'!$A$140,$CQ$205^A129,IF(A129='Données projet'!$A$140,'Données projet'!$B$140,CT128+CS129-DB128)))</f>
        <v>283.28333333333308</v>
      </c>
      <c r="CU129" s="17">
        <f>CT129*VLOOKUP('Données projet'!$B$13,Paramètres!$A$1:$I$89,3,0)*VLOOKUP('Données projet'!$B$13,Paramètres!$A$1:$I$89,5,0)</f>
        <v>256.31475999999975</v>
      </c>
      <c r="CV129" s="13">
        <f t="shared" si="95"/>
        <v>61.936182251682439</v>
      </c>
      <c r="CW129" s="20">
        <f t="shared" si="67"/>
        <v>554.28705775501305</v>
      </c>
      <c r="CX129" s="59">
        <f t="shared" si="68"/>
        <v>847.62039108834642</v>
      </c>
      <c r="CY129" s="59">
        <f ca="1">AVERAGE(OFFSET($CX$3,0,0,'Données projet'!$E$13+1,1))-AVERAGE(OFFSET($H$3,0,0,'Données projet'!$E$13+1,1))</f>
        <v>318.01858325056168</v>
      </c>
      <c r="CZ129" s="59">
        <f t="shared" si="96"/>
        <v>119.46953274700951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44.375918210361895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44.375918210361895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59.436000000000206</v>
      </c>
      <c r="D130" s="11">
        <f t="shared" si="86"/>
        <v>17.025593830837963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590.22984711524202</v>
      </c>
      <c r="H130" s="67">
        <f t="shared" si="56"/>
        <v>426.50394258870983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200.15574321350221</v>
      </c>
      <c r="T130" s="59">
        <f t="shared" si="88"/>
        <v>200.70728852570426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34.415675941358828</v>
      </c>
      <c r="AA130" s="21">
        <f>EXP(-LN(2)/25)*AA129+(1-EXP(-LN(2)/25))/(LN(2)/25)*Calculateur!V130*Calculateur!X130*VLOOKUP('Données projet'!$B$9,Paramètres!$A$1:$I$89,3,0)*0.475*44/12</f>
        <v>5.6390497298156435</v>
      </c>
      <c r="AB130" s="21">
        <f>EXP(-LN(2)/2)*AB129+(1-EXP(-LN(2)/2))/(LN(2)/2)*V130*Y130*VLOOKUP('Données projet'!$B$9,Paramètres!$A$1:$I$89,3,0)*0.475*44/12</f>
        <v>2.6311197915698734E-9</v>
      </c>
      <c r="AC130" s="22">
        <f t="shared" si="57"/>
        <v>40.054725673805592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45.407317338461951</v>
      </c>
      <c r="AO130" s="59">
        <f t="shared" si="90"/>
        <v>149.88701606165358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4.3106507636064961</v>
      </c>
      <c r="AV130" s="21">
        <f>EXP(-LN(2)/25)*AV129+(1-EXP(-LN(2)/25))/(LN(2)/25)*Calculateur!AQ130*Calculateur!AS130*VLOOKUP('Données projet'!$B$10,Paramètres!$A$1:$I$89,3,0)*0.475*44/12</f>
        <v>0.39419037830614501</v>
      </c>
      <c r="AW130" s="21">
        <f>EXP(-LN(2)/2)*AW129+(1-EXP(-LN(2)/2))/(LN(2)/2)*AQ130*AT130*VLOOKUP('Données projet'!$B$10,Paramètres!$A$1:$I$89,3,0)*0.475*44/12</f>
        <v>8.5857635401036473E-16</v>
      </c>
      <c r="AX130" s="21">
        <f t="shared" si="60"/>
        <v>4.7048411419126417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4.9084615384615375</v>
      </c>
      <c r="BD130" s="12">
        <f>IF('Données projet'!$A$88&gt;35,BD129+BC130-BL129,IF(A130&lt;'Données projet'!$A$88,$BA$205^A130,IF(A130='Données projet'!$A$88,'Données projet'!$B$88,BD129+BC130-BL129)))</f>
        <v>239.98153846153951</v>
      </c>
      <c r="BE130" s="13">
        <f>BD130*VLOOKUP('Données projet'!$B$11,Paramètres!$A$1:$I$89,3,0)*VLOOKUP('Données projet'!$B$11,Paramètres!$A$1:$I$89,5,0)</f>
        <v>112.31136000000051</v>
      </c>
      <c r="BF130" s="13">
        <f t="shared" si="91"/>
        <v>29.874898196104638</v>
      </c>
      <c r="BG130" s="20">
        <f t="shared" si="61"/>
        <v>247.64106635821645</v>
      </c>
      <c r="BH130" s="59">
        <f t="shared" si="62"/>
        <v>540.97439969154971</v>
      </c>
      <c r="BI130" s="59">
        <f ca="1">AVERAGE(OFFSET($BH$3,0,0,'Données projet'!$E$11+1,1))-AVERAGE(OFFSET($H$3,0,0,'Données projet'!$E$11+1,1))</f>
        <v>183.67580045784649</v>
      </c>
      <c r="BJ130" s="59">
        <f t="shared" si="92"/>
        <v>121.08269345608767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90.631146553847017</v>
      </c>
      <c r="BQ130" s="21">
        <f>EXP(-LN(2)/25)*BQ129+(1-EXP(-LN(2)/25))/(LN(2)/25)*Calculateur!BL130*Calculateur!BN130*VLOOKUP('Données projet'!$B$11,Paramètres!$A$1:$I$89,3,0)*0.475*44/12</f>
        <v>22.323101331631992</v>
      </c>
      <c r="BR130" s="21">
        <f>EXP(-LN(2)/2)*BR129+(1-EXP(-LN(2)/2))/(LN(2)/2)*BL130*BO130*VLOOKUP('Données projet'!$B$11,Paramètres!$A$1:$I$89,3,0)*0.475*44/12</f>
        <v>1.8216849348032675</v>
      </c>
      <c r="BS130" s="22">
        <f t="shared" si="63"/>
        <v>114.77593282028228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212.00000000000009</v>
      </c>
      <c r="BZ130" s="13">
        <f>BY130*VLOOKUP('Données projet'!$B$12,Paramètres!$A$1:$I$89,3,0)*VLOOKUP('Données projet'!$B$12,Paramètres!$A$1:$I$89,5,0)</f>
        <v>185.20320000000009</v>
      </c>
      <c r="CA130" s="13">
        <f t="shared" si="93"/>
        <v>46.477875402099386</v>
      </c>
      <c r="CB130" s="20">
        <f t="shared" si="64"/>
        <v>403.5112063253232</v>
      </c>
      <c r="CC130" s="59">
        <f t="shared" si="65"/>
        <v>696.84453965865646</v>
      </c>
      <c r="CD130" s="59">
        <f ca="1">AVERAGE(OFFSET($CC$3,0,0,'Données projet'!$E$12+1,1))-AVERAGE(OFFSET($H$3,0,0,'Données projet'!$E$12+1,1))</f>
        <v>216.10252108537389</v>
      </c>
      <c r="CE130" s="59">
        <f t="shared" si="94"/>
        <v>196.91968622092054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8.7492124906389339</v>
      </c>
      <c r="CL130" s="21">
        <f>EXP(-LN(2)/25)*CL129+(1-EXP(-LN(2)/25))/(LN(2)/25)*Calculateur!CG130*Calculateur!CI130*VLOOKUP('Données projet'!$B$12,Paramètres!$A$1:$I$89,3,0)*0.475*44/12</f>
        <v>6.6163128800302076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15.365525370669141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6.0711538461538508</v>
      </c>
      <c r="CT130" s="12">
        <f>IF('Données projet'!$A$140&gt;35,CT129+CS130-DB129,IF(A130&lt;'Données projet'!$A$140,$CQ$205^A130,IF(A130='Données projet'!$A$140,'Données projet'!$B$140,CT129+CS130-DB129)))</f>
        <v>289.35448717948691</v>
      </c>
      <c r="CU130" s="17">
        <f>CT130*VLOOKUP('Données projet'!$B$13,Paramètres!$A$1:$I$89,3,0)*VLOOKUP('Données projet'!$B$13,Paramètres!$A$1:$I$89,5,0)</f>
        <v>261.80793999999975</v>
      </c>
      <c r="CV130" s="13">
        <f t="shared" si="95"/>
        <v>63.107602142412418</v>
      </c>
      <c r="CW130" s="20">
        <f t="shared" si="67"/>
        <v>565.89456923136788</v>
      </c>
      <c r="CX130" s="59">
        <f t="shared" si="68"/>
        <v>859.22790256470125</v>
      </c>
      <c r="CY130" s="59">
        <f ca="1">AVERAGE(OFFSET($CX$3,0,0,'Données projet'!$E$13+1,1))-AVERAGE(OFFSET($H$3,0,0,'Données projet'!$E$13+1,1))</f>
        <v>318.01858325056168</v>
      </c>
      <c r="CZ130" s="59">
        <f t="shared" si="96"/>
        <v>119.46953274700951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43.505733520894196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43.505733520894196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59.90400000000021</v>
      </c>
      <c r="D131" s="11">
        <f t="shared" si="86"/>
        <v>17.143994938960237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594.75645216039641</v>
      </c>
      <c r="H131" s="67">
        <f t="shared" si="56"/>
        <v>427.52525785202272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200.15574321350221</v>
      </c>
      <c r="T131" s="59">
        <f t="shared" si="88"/>
        <v>200.70728852570426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33.740805527638365</v>
      </c>
      <c r="AA131" s="21">
        <f>EXP(-LN(2)/25)*AA130+(1-EXP(-LN(2)/25))/(LN(2)/25)*Calculateur!V131*Calculateur!X131*VLOOKUP('Données projet'!$B$9,Paramètres!$A$1:$I$89,3,0)*0.475*44/12</f>
        <v>5.4848496184090978</v>
      </c>
      <c r="AB131" s="21">
        <f>EXP(-LN(2)/2)*AB130+(1-EXP(-LN(2)/2))/(LN(2)/2)*V131*Y131*VLOOKUP('Données projet'!$B$9,Paramètres!$A$1:$I$89,3,0)*0.475*44/12</f>
        <v>1.8604826467331931E-9</v>
      </c>
      <c r="AC131" s="22">
        <f t="shared" si="57"/>
        <v>39.22565514790795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45.407317338461951</v>
      </c>
      <c r="AO131" s="59">
        <f t="shared" si="90"/>
        <v>149.88701606165358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4.2261215313695226</v>
      </c>
      <c r="AV131" s="21">
        <f>EXP(-LN(2)/25)*AV130+(1-EXP(-LN(2)/25))/(LN(2)/25)*Calculateur!AQ131*Calculateur!AS131*VLOOKUP('Données projet'!$B$10,Paramètres!$A$1:$I$89,3,0)*0.475*44/12</f>
        <v>0.38341122168179242</v>
      </c>
      <c r="AW131" s="21">
        <f>EXP(-LN(2)/2)*AW130+(1-EXP(-LN(2)/2))/(LN(2)/2)*AQ131*AT131*VLOOKUP('Données projet'!$B$10,Paramètres!$A$1:$I$89,3,0)*0.475*44/12</f>
        <v>6.0710516208715073E-16</v>
      </c>
      <c r="AX131" s="21">
        <f t="shared" si="60"/>
        <v>4.6095327530513162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4.9084615384615375</v>
      </c>
      <c r="BD131" s="12">
        <f>IF('Données projet'!$A$88&gt;35,BD130+BC131-BL130,IF(A131&lt;'Données projet'!$A$88,$BA$205^A131,IF(A131='Données projet'!$A$88,'Données projet'!$B$88,BD130+BC131-BL130)))</f>
        <v>244.89000000000107</v>
      </c>
      <c r="BE131" s="13">
        <f>BD131*VLOOKUP('Données projet'!$B$11,Paramètres!$A$1:$I$89,3,0)*VLOOKUP('Données projet'!$B$11,Paramètres!$A$1:$I$89,5,0)</f>
        <v>114.6085200000005</v>
      </c>
      <c r="BF131" s="13">
        <f t="shared" si="91"/>
        <v>30.414180672775728</v>
      </c>
      <c r="BG131" s="20">
        <f t="shared" si="61"/>
        <v>252.58120367175192</v>
      </c>
      <c r="BH131" s="59">
        <f t="shared" si="62"/>
        <v>545.91453700508521</v>
      </c>
      <c r="BI131" s="59">
        <f ca="1">AVERAGE(OFFSET($BH$3,0,0,'Données projet'!$E$11+1,1))-AVERAGE(OFFSET($H$3,0,0,'Données projet'!$E$11+1,1))</f>
        <v>183.67580045784649</v>
      </c>
      <c r="BJ131" s="59">
        <f t="shared" si="92"/>
        <v>121.08269345608767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88.85392504946708</v>
      </c>
      <c r="BQ131" s="21">
        <f>EXP(-LN(2)/25)*BQ130+(1-EXP(-LN(2)/25))/(LN(2)/25)*Calculateur!BL131*Calculateur!BN131*VLOOKUP('Données projet'!$B$11,Paramètres!$A$1:$I$89,3,0)*0.475*44/12</f>
        <v>21.712674951797638</v>
      </c>
      <c r="BR131" s="21">
        <f>EXP(-LN(2)/2)*BR130+(1-EXP(-LN(2)/2))/(LN(2)/2)*BL131*BO131*VLOOKUP('Données projet'!$B$11,Paramètres!$A$1:$I$89,3,0)*0.475*44/12</f>
        <v>1.2881257705847642</v>
      </c>
      <c r="BS131" s="22">
        <f t="shared" si="63"/>
        <v>111.85472577184949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212.00000000000009</v>
      </c>
      <c r="BZ131" s="13">
        <f>BY131*VLOOKUP('Données projet'!$B$12,Paramètres!$A$1:$I$89,3,0)*VLOOKUP('Données projet'!$B$12,Paramètres!$A$1:$I$89,5,0)</f>
        <v>185.20320000000009</v>
      </c>
      <c r="CA131" s="13">
        <f t="shared" si="93"/>
        <v>46.477875402099386</v>
      </c>
      <c r="CB131" s="20">
        <f t="shared" si="64"/>
        <v>403.5112063253232</v>
      </c>
      <c r="CC131" s="59">
        <f t="shared" si="65"/>
        <v>696.84453965865646</v>
      </c>
      <c r="CD131" s="59">
        <f ca="1">AVERAGE(OFFSET($CC$3,0,0,'Données projet'!$E$12+1,1))-AVERAGE(OFFSET($H$3,0,0,'Données projet'!$E$12+1,1))</f>
        <v>216.10252108537389</v>
      </c>
      <c r="CE131" s="59">
        <f t="shared" si="94"/>
        <v>196.91968622092054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8.5776457701901894</v>
      </c>
      <c r="CL131" s="21">
        <f>EXP(-LN(2)/25)*CL130+(1-EXP(-LN(2)/25))/(LN(2)/25)*Calculateur!CG131*Calculateur!CI131*VLOOKUP('Données projet'!$B$12,Paramètres!$A$1:$I$89,3,0)*0.475*44/12</f>
        <v>6.4353894563890091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15.013035226579198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6.0711538461538508</v>
      </c>
      <c r="CT131" s="12">
        <f>IF('Données projet'!$A$140&gt;35,CT130+CS131-DB130,IF(A131&lt;'Données projet'!$A$140,$CQ$205^A131,IF(A131='Données projet'!$A$140,'Données projet'!$B$140,CT130+CS131-DB130)))</f>
        <v>295.42564102564074</v>
      </c>
      <c r="CU131" s="17">
        <f>CT131*VLOOKUP('Données projet'!$B$13,Paramètres!$A$1:$I$89,3,0)*VLOOKUP('Données projet'!$B$13,Paramètres!$A$1:$I$89,5,0)</f>
        <v>267.30111999999974</v>
      </c>
      <c r="CV131" s="13">
        <f t="shared" si="95"/>
        <v>64.276164376472181</v>
      </c>
      <c r="CW131" s="20">
        <f t="shared" si="67"/>
        <v>577.49710362235521</v>
      </c>
      <c r="CX131" s="59">
        <f t="shared" si="68"/>
        <v>870.83043695568858</v>
      </c>
      <c r="CY131" s="59">
        <f ca="1">AVERAGE(OFFSET($CX$3,0,0,'Données projet'!$E$13+1,1))-AVERAGE(OFFSET($H$3,0,0,'Données projet'!$E$13+1,1))</f>
        <v>318.01858325056168</v>
      </c>
      <c r="CZ131" s="59">
        <f t="shared" si="96"/>
        <v>119.46953274700951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42.652612622426709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42.652612622426709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60.372000000000213</v>
      </c>
      <c r="D132" s="11">
        <f t="shared" si="86"/>
        <v>17.262288423858621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599.28222642978756</v>
      </c>
      <c r="H132" s="67">
        <f t="shared" ref="H132:H195" si="110">(B132+E132+F132)*44/12+(C132+D132)*0.475*44/12</f>
        <v>428.54638567155416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200.15574321350221</v>
      </c>
      <c r="T132" s="59">
        <f t="shared" si="88"/>
        <v>200.70728852570426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33.079168911100659</v>
      </c>
      <c r="AA132" s="21">
        <f>EXP(-LN(2)/25)*AA131+(1-EXP(-LN(2)/25))/(LN(2)/25)*Calculateur!V132*Calculateur!X132*VLOOKUP('Données projet'!$B$9,Paramètres!$A$1:$I$89,3,0)*0.475*44/12</f>
        <v>5.3348661171579952</v>
      </c>
      <c r="AB132" s="21">
        <f>EXP(-LN(2)/2)*AB131+(1-EXP(-LN(2)/2))/(LN(2)/2)*V132*Y132*VLOOKUP('Données projet'!$B$9,Paramètres!$A$1:$I$89,3,0)*0.475*44/12</f>
        <v>1.3155598957849369E-9</v>
      </c>
      <c r="AC132" s="22">
        <f t="shared" ref="AC132:AC153" si="111">SUM(Z132:AB132)</f>
        <v>38.414035029574215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45.407317338461951</v>
      </c>
      <c r="AO132" s="59">
        <f t="shared" si="90"/>
        <v>149.88701606165358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4.1432498658189756</v>
      </c>
      <c r="AV132" s="21">
        <f>EXP(-LN(2)/25)*AV131+(1-EXP(-LN(2)/25))/(LN(2)/25)*Calculateur!AQ132*Calculateur!AS132*VLOOKUP('Données projet'!$B$10,Paramètres!$A$1:$I$89,3,0)*0.475*44/12</f>
        <v>0.37292682166218394</v>
      </c>
      <c r="AW132" s="21">
        <f>EXP(-LN(2)/2)*AW131+(1-EXP(-LN(2)/2))/(LN(2)/2)*AQ132*AT132*VLOOKUP('Données projet'!$B$10,Paramètres!$A$1:$I$89,3,0)*0.475*44/12</f>
        <v>4.2928817700518237E-16</v>
      </c>
      <c r="AX132" s="21">
        <f t="shared" ref="AX132:AX153" si="114">SUM(AU132:AW132)</f>
        <v>4.5161766874811597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4.9084615384615375</v>
      </c>
      <c r="BD132" s="12">
        <f>IF('Données projet'!$A$88&gt;35,BD131+BC132-BL131,IF(A132&lt;'Données projet'!$A$88,$BA$205^A132,IF(A132='Données projet'!$A$88,'Données projet'!$B$88,BD131+BC132-BL131)))</f>
        <v>249.79846153846262</v>
      </c>
      <c r="BE132" s="13">
        <f>BD132*VLOOKUP('Données projet'!$B$11,Paramètres!$A$1:$I$89,3,0)*VLOOKUP('Données projet'!$B$11,Paramètres!$A$1:$I$89,5,0)</f>
        <v>116.90568000000052</v>
      </c>
      <c r="BF132" s="13">
        <f t="shared" si="91"/>
        <v>30.952206344593481</v>
      </c>
      <c r="BG132" s="20">
        <f t="shared" ref="BG132:BG153" si="115">(BE132+BF132)*0.475*44/12</f>
        <v>257.51915205016786</v>
      </c>
      <c r="BH132" s="59">
        <f t="shared" ref="BH132:BH195" si="116">BG132+(AY132+AZ132)*44/12</f>
        <v>550.85248538350118</v>
      </c>
      <c r="BI132" s="59">
        <f ca="1">AVERAGE(OFFSET($BH$3,0,0,'Données projet'!$E$11+1,1))-AVERAGE(OFFSET($H$3,0,0,'Données projet'!$E$11+1,1))</f>
        <v>183.67580045784649</v>
      </c>
      <c r="BJ132" s="59">
        <f t="shared" si="92"/>
        <v>121.08269345608767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87.11155377478994</v>
      </c>
      <c r="BQ132" s="21">
        <f>EXP(-LN(2)/25)*BQ131+(1-EXP(-LN(2)/25))/(LN(2)/25)*Calculateur!BL132*Calculateur!BN132*VLOOKUP('Données projet'!$B$11,Paramètres!$A$1:$I$89,3,0)*0.475*44/12</f>
        <v>21.11894071342078</v>
      </c>
      <c r="BR132" s="21">
        <f>EXP(-LN(2)/2)*BR131+(1-EXP(-LN(2)/2))/(LN(2)/2)*BL132*BO132*VLOOKUP('Données projet'!$B$11,Paramètres!$A$1:$I$89,3,0)*0.475*44/12</f>
        <v>0.91084246740163377</v>
      </c>
      <c r="BS132" s="22">
        <f t="shared" ref="BS132:BS153" si="117">SUM(BP132:BR132)</f>
        <v>109.14133695561236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212.00000000000009</v>
      </c>
      <c r="BZ132" s="13">
        <f>BY132*VLOOKUP('Données projet'!$B$12,Paramètres!$A$1:$I$89,3,0)*VLOOKUP('Données projet'!$B$12,Paramètres!$A$1:$I$89,5,0)</f>
        <v>185.20320000000009</v>
      </c>
      <c r="CA132" s="13">
        <f t="shared" si="93"/>
        <v>46.477875402099386</v>
      </c>
      <c r="CB132" s="20">
        <f t="shared" ref="CB132:CB153" si="118">(BZ132+CA132)*0.475*44/12</f>
        <v>403.5112063253232</v>
      </c>
      <c r="CC132" s="59">
        <f t="shared" ref="CC132:CC195" si="119">CB132+(BT132+BU132)*44/12</f>
        <v>696.84453965865646</v>
      </c>
      <c r="CD132" s="59">
        <f ca="1">AVERAGE(OFFSET($CC$3,0,0,'Données projet'!$E$12+1,1))-AVERAGE(OFFSET($H$3,0,0,'Données projet'!$E$12+1,1))</f>
        <v>216.10252108537389</v>
      </c>
      <c r="CE132" s="59">
        <f t="shared" si="94"/>
        <v>196.91968622092054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8.4094433684840784</v>
      </c>
      <c r="CL132" s="21">
        <f>EXP(-LN(2)/25)*CL131+(1-EXP(-LN(2)/25))/(LN(2)/25)*Calculateur!CG132*Calculateur!CI132*VLOOKUP('Données projet'!$B$12,Paramètres!$A$1:$I$89,3,0)*0.475*44/12</f>
        <v>6.259413393281628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14.668856761765706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6.0711538461538508</v>
      </c>
      <c r="CT132" s="12">
        <f>IF('Données projet'!$A$140&gt;35,CT131+CS132-DB131,IF(A132&lt;'Données projet'!$A$140,$CQ$205^A132,IF(A132='Données projet'!$A$140,'Données projet'!$B$140,CT131+CS132-DB131)))</f>
        <v>301.49679487179458</v>
      </c>
      <c r="CU132" s="17">
        <f>CT132*VLOOKUP('Données projet'!$B$13,Paramètres!$A$1:$I$89,3,0)*VLOOKUP('Données projet'!$B$13,Paramètres!$A$1:$I$89,5,0)</f>
        <v>272.79429999999974</v>
      </c>
      <c r="CV132" s="13">
        <f t="shared" si="95"/>
        <v>65.441934446926723</v>
      </c>
      <c r="CW132" s="20">
        <f t="shared" ref="CW132:CW153" si="121">(CU132+CV132)*0.475*44/12</f>
        <v>589.09477499506363</v>
      </c>
      <c r="CX132" s="59">
        <f t="shared" ref="CX132:CX195" si="122">CW132+(CO132+CP132)*44/12</f>
        <v>882.428108328397</v>
      </c>
      <c r="CY132" s="59">
        <f ca="1">AVERAGE(OFFSET($CX$3,0,0,'Données projet'!$E$13+1,1))-AVERAGE(OFFSET($H$3,0,0,'Données projet'!$E$13+1,1))</f>
        <v>318.01858325056168</v>
      </c>
      <c r="CZ132" s="59">
        <f t="shared" si="96"/>
        <v>119.46953274700951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41.816220904425798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41.816220904425798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60.840000000000217</v>
      </c>
      <c r="D133" s="11">
        <f t="shared" ref="D133:D196" si="140">IFERROR(EXP(-1.0587+0.8836*LN(C133)+0.284),0)</f>
        <v>17.380475216531508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603.80717711006946</v>
      </c>
      <c r="H133" s="67">
        <f t="shared" si="110"/>
        <v>429.5673276687927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200.15574321350221</v>
      </c>
      <c r="T133" s="59">
        <f t="shared" ref="T133:T196" si="142">$T$3</f>
        <v>200.70728852570426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32.430506585054765</v>
      </c>
      <c r="AA133" s="21">
        <f>EXP(-LN(2)/25)*AA132+(1-EXP(-LN(2)/25))/(LN(2)/25)*Calculateur!V133*Calculateur!X133*VLOOKUP('Données projet'!$B$9,Paramètres!$A$1:$I$89,3,0)*0.475*44/12</f>
        <v>5.1889839226358934</v>
      </c>
      <c r="AB133" s="21">
        <f>EXP(-LN(2)/2)*AB132+(1-EXP(-LN(2)/2))/(LN(2)/2)*V133*Y133*VLOOKUP('Données projet'!$B$9,Paramètres!$A$1:$I$89,3,0)*0.475*44/12</f>
        <v>9.3024132336659673E-10</v>
      </c>
      <c r="AC133" s="22">
        <f t="shared" si="111"/>
        <v>37.619490508620899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45.407317338461951</v>
      </c>
      <c r="AO133" s="59">
        <f t="shared" ref="AO133:AO196" si="144">$AO$3</f>
        <v>149.88701606165358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4.0620032630831497</v>
      </c>
      <c r="AV133" s="21">
        <f>EXP(-LN(2)/25)*AV132+(1-EXP(-LN(2)/25))/(LN(2)/25)*Calculateur!AQ133*Calculateur!AS133*VLOOKUP('Données projet'!$B$10,Paramètres!$A$1:$I$89,3,0)*0.475*44/12</f>
        <v>0.36272911811246228</v>
      </c>
      <c r="AW133" s="21">
        <f>EXP(-LN(2)/2)*AW132+(1-EXP(-LN(2)/2))/(LN(2)/2)*AQ133*AT133*VLOOKUP('Données projet'!$B$10,Paramètres!$A$1:$I$89,3,0)*0.475*44/12</f>
        <v>3.0355258104357537E-16</v>
      </c>
      <c r="AX133" s="21">
        <f t="shared" si="114"/>
        <v>4.4247323811956116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4.9084615384615375</v>
      </c>
      <c r="BD133" s="12">
        <f>IF('Données projet'!$A$88&gt;35,BD132+BC133-BL132,IF(A133&lt;'Données projet'!$A$88,$BA$205^A133,IF(A133='Données projet'!$A$88,'Données projet'!$B$88,BD132+BC133-BL132)))</f>
        <v>254.70692307692417</v>
      </c>
      <c r="BE133" s="13">
        <f>BD133*VLOOKUP('Données projet'!$B$11,Paramètres!$A$1:$I$89,3,0)*VLOOKUP('Données projet'!$B$11,Paramètres!$A$1:$I$89,5,0)</f>
        <v>119.20284000000051</v>
      </c>
      <c r="BF133" s="13">
        <f t="shared" ref="BF133:BF153" si="145">EXP(-1.0587+0.8836*LN(BE133)+0.284)</f>
        <v>31.489002754044087</v>
      </c>
      <c r="BG133" s="20">
        <f t="shared" si="115"/>
        <v>262.4549594632943</v>
      </c>
      <c r="BH133" s="59">
        <f t="shared" si="116"/>
        <v>555.78829279662762</v>
      </c>
      <c r="BI133" s="59">
        <f ca="1">AVERAGE(OFFSET($BH$3,0,0,'Données projet'!$E$11+1,1))-AVERAGE(OFFSET($H$3,0,0,'Données projet'!$E$11+1,1))</f>
        <v>183.67580045784649</v>
      </c>
      <c r="BJ133" s="59">
        <f t="shared" ref="BJ133:BJ196" si="146">$BJ$3</f>
        <v>121.08269345608767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85.403349338067684</v>
      </c>
      <c r="BQ133" s="21">
        <f>EXP(-LN(2)/25)*BQ132+(1-EXP(-LN(2)/25))/(LN(2)/25)*Calculateur!BL133*Calculateur!BN133*VLOOKUP('Données projet'!$B$11,Paramètres!$A$1:$I$89,3,0)*0.475*44/12</f>
        <v>20.541442169015465</v>
      </c>
      <c r="BR133" s="21">
        <f>EXP(-LN(2)/2)*BR132+(1-EXP(-LN(2)/2))/(LN(2)/2)*BL133*BO133*VLOOKUP('Données projet'!$B$11,Paramètres!$A$1:$I$89,3,0)*0.475*44/12</f>
        <v>0.64406288529238209</v>
      </c>
      <c r="BS133" s="22">
        <f t="shared" si="117"/>
        <v>106.58885439237554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212.00000000000009</v>
      </c>
      <c r="BZ133" s="13">
        <f>BY133*VLOOKUP('Données projet'!$B$12,Paramètres!$A$1:$I$89,3,0)*VLOOKUP('Données projet'!$B$12,Paramètres!$A$1:$I$89,5,0)</f>
        <v>185.20320000000009</v>
      </c>
      <c r="CA133" s="13">
        <f t="shared" ref="CA133:CA153" si="147">EXP(-1.0587+0.8836*LN(BZ133)+0.284)</f>
        <v>46.477875402099386</v>
      </c>
      <c r="CB133" s="20">
        <f t="shared" si="118"/>
        <v>403.5112063253232</v>
      </c>
      <c r="CC133" s="59">
        <f t="shared" si="119"/>
        <v>696.84453965865646</v>
      </c>
      <c r="CD133" s="59">
        <f ca="1">AVERAGE(OFFSET($CC$3,0,0,'Données projet'!$E$12+1,1))-AVERAGE(OFFSET($H$3,0,0,'Données projet'!$E$12+1,1))</f>
        <v>216.10252108537389</v>
      </c>
      <c r="CE133" s="59">
        <f t="shared" ref="CE133:CE196" si="148">$CE$3</f>
        <v>196.91968622092054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8.2445393132820879</v>
      </c>
      <c r="CL133" s="21">
        <f>EXP(-LN(2)/25)*CL132+(1-EXP(-LN(2)/25))/(LN(2)/25)*Calculateur!CG133*Calculateur!CI133*VLOOKUP('Données projet'!$B$12,Paramètres!$A$1:$I$89,3,0)*0.475*44/12</f>
        <v>6.088249404874098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14.332788718156186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6.0711538461538508</v>
      </c>
      <c r="CT133" s="12">
        <f>IF('Données projet'!$A$140&gt;35,CT132+CS133-DB132,IF(A133&lt;'Données projet'!$A$140,$CQ$205^A133,IF(A133='Données projet'!$A$140,'Données projet'!$B$140,CT132+CS133-DB132)))</f>
        <v>307.56794871794841</v>
      </c>
      <c r="CU133" s="17">
        <f>CT133*VLOOKUP('Données projet'!$B$13,Paramètres!$A$1:$I$89,3,0)*VLOOKUP('Données projet'!$B$13,Paramètres!$A$1:$I$89,5,0)</f>
        <v>278.28747999999968</v>
      </c>
      <c r="CV133" s="13">
        <f t="shared" ref="CV133:CV153" si="149">EXP(-1.0587+0.8836*LN(CU133)+0.284)</f>
        <v>66.60497505840425</v>
      </c>
      <c r="CW133" s="20">
        <f t="shared" si="121"/>
        <v>600.68769256005351</v>
      </c>
      <c r="CX133" s="59">
        <f t="shared" si="122"/>
        <v>894.02102589338688</v>
      </c>
      <c r="CY133" s="59">
        <f ca="1">AVERAGE(OFFSET($CX$3,0,0,'Données projet'!$E$13+1,1))-AVERAGE(OFFSET($H$3,0,0,'Données projet'!$E$13+1,1))</f>
        <v>318.01858325056168</v>
      </c>
      <c r="CZ133" s="59">
        <f t="shared" ref="CZ133:CZ196" si="150">$CZ$3</f>
        <v>119.46953274700951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40.996230317866313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40.996230317866313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61.30800000000022</v>
      </c>
      <c r="D134" s="11">
        <f t="shared" si="140"/>
        <v>17.498556232826935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608.33131127094646</v>
      </c>
      <c r="H134" s="67">
        <f t="shared" si="110"/>
        <v>430.58808543884061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200.15574321350221</v>
      </c>
      <c r="T134" s="59">
        <f t="shared" si="142"/>
        <v>200.70728852570426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31.79456413157768</v>
      </c>
      <c r="AA134" s="21">
        <f>EXP(-LN(2)/25)*AA133+(1-EXP(-LN(2)/25))/(LN(2)/25)*Calculateur!V134*Calculateur!X134*VLOOKUP('Données projet'!$B$9,Paramètres!$A$1:$I$89,3,0)*0.475*44/12</f>
        <v>5.0470908843946098</v>
      </c>
      <c r="AB134" s="21">
        <f>EXP(-LN(2)/2)*AB133+(1-EXP(-LN(2)/2))/(LN(2)/2)*V134*Y134*VLOOKUP('Données projet'!$B$9,Paramètres!$A$1:$I$89,3,0)*0.475*44/12</f>
        <v>6.5777994789246856E-10</v>
      </c>
      <c r="AC134" s="22">
        <f t="shared" si="111"/>
        <v>36.841655016630071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45.407317338461951</v>
      </c>
      <c r="AO134" s="59">
        <f t="shared" si="144"/>
        <v>149.88701606165358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3.9823498566714393</v>
      </c>
      <c r="AV134" s="21">
        <f>EXP(-LN(2)/25)*AV133+(1-EXP(-LN(2)/25))/(LN(2)/25)*Calculateur!AQ134*Calculateur!AS134*VLOOKUP('Données projet'!$B$10,Paramètres!$A$1:$I$89,3,0)*0.475*44/12</f>
        <v>0.35281027130258169</v>
      </c>
      <c r="AW134" s="21">
        <f>EXP(-LN(2)/2)*AW133+(1-EXP(-LN(2)/2))/(LN(2)/2)*AQ134*AT134*VLOOKUP('Données projet'!$B$10,Paramètres!$A$1:$I$89,3,0)*0.475*44/12</f>
        <v>2.1464408850259118E-16</v>
      </c>
      <c r="AX134" s="21">
        <f t="shared" si="114"/>
        <v>4.3351601279740208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>
        <f>VLOOKUP(A134,'Données projet'!$A$87:$I$107,2,0)</f>
        <v>259.61538461538458</v>
      </c>
      <c r="BB134" s="12">
        <f>VLOOKUP(A134,'Données projet'!$A$87:$I$107,9,0)</f>
        <v>4.9084615384615375</v>
      </c>
      <c r="BC134" s="12">
        <f t="array" ref="BC134">INDEX(BB:BB,MIN(IF(ISNUMBER(BB134:BB330),ROW(BB134:BB330),"")))</f>
        <v>4.9084615384615375</v>
      </c>
      <c r="BD134" s="12">
        <f>IF('Données projet'!$A$88&gt;35,BD133+BC134-BL133,IF(A134&lt;'Données projet'!$A$88,$BA$205^A134,IF(A134='Données projet'!$A$88,'Données projet'!$B$88,BD133+BC134-BL133)))</f>
        <v>259.61538461538572</v>
      </c>
      <c r="BE134" s="13">
        <f>BD134*VLOOKUP('Données projet'!$B$11,Paramètres!$A$1:$I$89,3,0)*VLOOKUP('Données projet'!$B$11,Paramètres!$A$1:$I$89,5,0)</f>
        <v>121.50000000000051</v>
      </c>
      <c r="BF134" s="13">
        <f t="shared" si="145"/>
        <v>32.024596321339168</v>
      </c>
      <c r="BG134" s="20">
        <f t="shared" si="115"/>
        <v>267.3886719263333</v>
      </c>
      <c r="BH134" s="59">
        <f t="shared" si="116"/>
        <v>560.72200525966662</v>
      </c>
      <c r="BI134" s="59">
        <f ca="1">AVERAGE(OFFSET($BH$3,0,0,'Données projet'!$E$11+1,1))-AVERAGE(OFFSET($H$3,0,0,'Données projet'!$E$11+1,1))</f>
        <v>183.67580045784649</v>
      </c>
      <c r="BJ134" s="59">
        <f t="shared" si="146"/>
        <v>121.08269345608767</v>
      </c>
      <c r="BK134" s="15">
        <f>IF(ISNA(VLOOKUP(A134,'Données projet'!$A$87:$I$107,3,0)),0,VLOOKUP(A134,'Données projet'!$A$87:$I$107,3,0))</f>
        <v>8</v>
      </c>
      <c r="BL134" s="15">
        <f>IF(ISNA(VLOOKUP(A134,'Données projet'!$A$87:$I$107,4,0)),0,VLOOKUP(A134,'Données projet'!$A$87:$I$107,4,0))</f>
        <v>259.61538461538458</v>
      </c>
      <c r="BM134" s="16">
        <f>IF(ISNA(VLOOKUP(A134,'Données projet'!$A$87:$I$107,5,0)),0%,VLOOKUP(A134,'Données projet'!$A$87:$I$107,5,0)*VLOOKUP('Données projet'!$B$11,Paramètres!$A$1:$I$89,7,0))</f>
        <v>0.38500000000000001</v>
      </c>
      <c r="BN134" s="16">
        <f>IF(ISNA(VLOOKUP(A134,'Données projet'!$A$87:$I$107,6,0)),0%,VLOOKUP(A134,'Données projet'!$A$87:$I$107,6,0)*VLOOKUP('Données projet'!$B$11,Paramètres!$A$1:$I$89,7,0))</f>
        <v>9.240000000000001E-2</v>
      </c>
      <c r="BO134" s="16">
        <f>IF(ISNA(VLOOKUP(A134,'Données projet'!$A$87:$I$107,7,0)),0%,VLOOKUP(A134,'Données projet'!$A$87:$I$107,7,0))</f>
        <v>0.13200000000000001</v>
      </c>
      <c r="BP134" s="21">
        <f>EXP(-LN(2)/35)*BP133+(1-EXP(-LN(2)/35))/(LN(2)/35)*BL134*BM134*VLOOKUP('Données projet'!$B$11,Paramètres!$A$1:$I$89,3,0)*0.475*44/12</f>
        <v>145.78201056277081</v>
      </c>
      <c r="BQ134" s="21">
        <f>EXP(-LN(2)/25)*BQ133+(1-EXP(-LN(2)/25))/(LN(2)/25)*Calculateur!BL134*Calculateur!BN134*VLOOKUP('Données projet'!$B$11,Paramètres!$A$1:$I$89,3,0)*0.475*44/12</f>
        <v>34.813905206383581</v>
      </c>
      <c r="BR134" s="21">
        <f>EXP(-LN(2)/2)*BR133+(1-EXP(-LN(2)/2))/(LN(2)/2)*BL134*BO134*VLOOKUP('Données projet'!$B$11,Paramètres!$A$1:$I$89,3,0)*0.475*44/12</f>
        <v>18.614162821430273</v>
      </c>
      <c r="BS134" s="22">
        <f t="shared" si="117"/>
        <v>199.21007859058466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212.00000000000009</v>
      </c>
      <c r="BZ134" s="13">
        <f>BY134*VLOOKUP('Données projet'!$B$12,Paramètres!$A$1:$I$89,3,0)*VLOOKUP('Données projet'!$B$12,Paramètres!$A$1:$I$89,5,0)</f>
        <v>185.20320000000009</v>
      </c>
      <c r="CA134" s="13">
        <f t="shared" si="147"/>
        <v>46.477875402099386</v>
      </c>
      <c r="CB134" s="20">
        <f t="shared" si="118"/>
        <v>403.5112063253232</v>
      </c>
      <c r="CC134" s="59">
        <f t="shared" si="119"/>
        <v>696.84453965865646</v>
      </c>
      <c r="CD134" s="59">
        <f ca="1">AVERAGE(OFFSET($CC$3,0,0,'Données projet'!$E$12+1,1))-AVERAGE(OFFSET($H$3,0,0,'Données projet'!$E$12+1,1))</f>
        <v>216.10252108537389</v>
      </c>
      <c r="CE134" s="59">
        <f t="shared" si="148"/>
        <v>196.91968622092054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8.0828689260210673</v>
      </c>
      <c r="CL134" s="21">
        <f>EXP(-LN(2)/25)*CL133+(1-EXP(-LN(2)/25))/(LN(2)/25)*Calculateur!CG134*Calculateur!CI134*VLOOKUP('Données projet'!$B$12,Paramètres!$A$1:$I$89,3,0)*0.475*44/12</f>
        <v>5.9217659047306945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14.004634830751762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6.0711538461538508</v>
      </c>
      <c r="CT134" s="12">
        <f>IF('Données projet'!$A$140&gt;35,CT133+CS134-DB133,IF(A134&lt;'Données projet'!$A$140,$CQ$205^A134,IF(A134='Données projet'!$A$140,'Données projet'!$B$140,CT133+CS134-DB133)))</f>
        <v>313.63910256410225</v>
      </c>
      <c r="CU134" s="17">
        <f>CT134*VLOOKUP('Données projet'!$B$13,Paramètres!$A$1:$I$89,3,0)*VLOOKUP('Données projet'!$B$13,Paramètres!$A$1:$I$89,5,0)</f>
        <v>283.78065999999973</v>
      </c>
      <c r="CV134" s="13">
        <f t="shared" si="149"/>
        <v>67.76534629847545</v>
      </c>
      <c r="CW134" s="20">
        <f t="shared" si="121"/>
        <v>612.27596096984428</v>
      </c>
      <c r="CX134" s="59">
        <f t="shared" si="122"/>
        <v>905.60929430317765</v>
      </c>
      <c r="CY134" s="59">
        <f ca="1">AVERAGE(OFFSET($CX$3,0,0,'Données projet'!$E$13+1,1))-AVERAGE(OFFSET($H$3,0,0,'Données projet'!$E$13+1,1))</f>
        <v>318.01858325056168</v>
      </c>
      <c r="CZ134" s="59">
        <f t="shared" si="150"/>
        <v>119.46953274700951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40.192319246564388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40.192319246564388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61.776000000000224</v>
      </c>
      <c r="D135" s="11">
        <f t="shared" si="140"/>
        <v>17.616532373802929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612.85463586795424</v>
      </c>
      <c r="H135" s="67">
        <f t="shared" si="110"/>
        <v>431.60866055104043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200.15574321350221</v>
      </c>
      <c r="T135" s="59">
        <f t="shared" si="142"/>
        <v>200.70728852570426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31.171092121726684</v>
      </c>
      <c r="AA135" s="21">
        <f>EXP(-LN(2)/25)*AA134+(1-EXP(-LN(2)/25))/(LN(2)/25)*Calculateur!V135*Calculateur!X135*VLOOKUP('Données projet'!$B$9,Paramètres!$A$1:$I$89,3,0)*0.475*44/12</f>
        <v>4.9090779187458651</v>
      </c>
      <c r="AB135" s="21">
        <f>EXP(-LN(2)/2)*AB134+(1-EXP(-LN(2)/2))/(LN(2)/2)*V135*Y135*VLOOKUP('Données projet'!$B$9,Paramètres!$A$1:$I$89,3,0)*0.475*44/12</f>
        <v>4.6512066168329842E-10</v>
      </c>
      <c r="AC135" s="22">
        <f t="shared" si="111"/>
        <v>36.080170040937674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45.407317338461951</v>
      </c>
      <c r="AO135" s="59">
        <f t="shared" si="144"/>
        <v>149.88701606165358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3.9042584049756819</v>
      </c>
      <c r="AV135" s="21">
        <f>EXP(-LN(2)/25)*AV134+(1-EXP(-LN(2)/25))/(LN(2)/25)*Calculateur!AQ135*Calculateur!AS135*VLOOKUP('Données projet'!$B$10,Paramètres!$A$1:$I$89,3,0)*0.475*44/12</f>
        <v>0.34316265588032679</v>
      </c>
      <c r="AW135" s="21">
        <f>EXP(-LN(2)/2)*AW134+(1-EXP(-LN(2)/2))/(LN(2)/2)*AQ135*AT135*VLOOKUP('Données projet'!$B$10,Paramètres!$A$1:$I$89,3,0)*0.475*44/12</f>
        <v>1.5177629052178768E-16</v>
      </c>
      <c r="AX135" s="21">
        <f t="shared" si="114"/>
        <v>4.2474210608560083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1.1368683772161603E-12</v>
      </c>
      <c r="BE135" s="13">
        <f>BD135*VLOOKUP('Données projet'!$B$11,Paramètres!$A$1:$I$89,3,0)*VLOOKUP('Données projet'!$B$11,Paramètres!$A$1:$I$89,5,0)</f>
        <v>5.3205440053716299E-13</v>
      </c>
      <c r="BF135" s="13">
        <f t="shared" si="145"/>
        <v>6.579711042921201E-12</v>
      </c>
      <c r="BG135" s="20">
        <f t="shared" si="115"/>
        <v>1.2386324814023317E-11</v>
      </c>
      <c r="BH135" s="59">
        <f t="shared" si="116"/>
        <v>293.33333333334571</v>
      </c>
      <c r="BI135" s="59">
        <f ca="1">AVERAGE(OFFSET($BH$3,0,0,'Données projet'!$E$11+1,1))-AVERAGE(OFFSET($H$3,0,0,'Données projet'!$E$11+1,1))</f>
        <v>183.67580045784649</v>
      </c>
      <c r="BJ135" s="59">
        <f t="shared" si="146"/>
        <v>121.08269345608767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142.92331425388136</v>
      </c>
      <c r="BQ135" s="21">
        <f>EXP(-LN(2)/25)*BQ134+(1-EXP(-LN(2)/25))/(LN(2)/25)*Calculateur!BL135*Calculateur!BN135*VLOOKUP('Données projet'!$B$11,Paramètres!$A$1:$I$89,3,0)*0.475*44/12</f>
        <v>33.861917137731318</v>
      </c>
      <c r="BR135" s="21">
        <f>EXP(-LN(2)/2)*BR134+(1-EXP(-LN(2)/2))/(LN(2)/2)*BL135*BO135*VLOOKUP('Données projet'!$B$11,Paramètres!$A$1:$I$89,3,0)*0.475*44/12</f>
        <v>13.162200757143866</v>
      </c>
      <c r="BS135" s="22">
        <f t="shared" si="117"/>
        <v>189.94743214875655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212.00000000000009</v>
      </c>
      <c r="BZ135" s="13">
        <f>BY135*VLOOKUP('Données projet'!$B$12,Paramètres!$A$1:$I$89,3,0)*VLOOKUP('Données projet'!$B$12,Paramètres!$A$1:$I$89,5,0)</f>
        <v>185.20320000000009</v>
      </c>
      <c r="CA135" s="13">
        <f t="shared" si="147"/>
        <v>46.477875402099386</v>
      </c>
      <c r="CB135" s="20">
        <f t="shared" si="118"/>
        <v>403.5112063253232</v>
      </c>
      <c r="CC135" s="59">
        <f t="shared" si="119"/>
        <v>696.84453965865646</v>
      </c>
      <c r="CD135" s="59">
        <f ca="1">AVERAGE(OFFSET($CC$3,0,0,'Données projet'!$E$12+1,1))-AVERAGE(OFFSET($H$3,0,0,'Données projet'!$E$12+1,1))</f>
        <v>216.10252108537389</v>
      </c>
      <c r="CE135" s="59">
        <f t="shared" si="148"/>
        <v>196.91968622092054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7.9243687964450356</v>
      </c>
      <c r="CL135" s="21">
        <f>EXP(-LN(2)/25)*CL134+(1-EXP(-LN(2)/25))/(LN(2)/25)*Calculateur!CG135*Calculateur!CI135*VLOOKUP('Données projet'!$B$12,Paramètres!$A$1:$I$89,3,0)*0.475*44/12</f>
        <v>5.7598349046536992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13.684203701098735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6.0711538461538508</v>
      </c>
      <c r="CT135" s="12">
        <f>IF('Données projet'!$A$140&gt;35,CT134+CS135-DB134,IF(A135&lt;'Données projet'!$A$140,$CQ$205^A135,IF(A135='Données projet'!$A$140,'Données projet'!$B$140,CT134+CS135-DB134)))</f>
        <v>319.71025641025608</v>
      </c>
      <c r="CU135" s="17">
        <f>CT135*VLOOKUP('Données projet'!$B$13,Paramètres!$A$1:$I$89,3,0)*VLOOKUP('Données projet'!$B$13,Paramètres!$A$1:$I$89,5,0)</f>
        <v>289.27383999999967</v>
      </c>
      <c r="CV135" s="13">
        <f t="shared" si="149"/>
        <v>68.923105795388125</v>
      </c>
      <c r="CW135" s="20">
        <f t="shared" si="121"/>
        <v>623.8596805936337</v>
      </c>
      <c r="CX135" s="59">
        <f t="shared" si="122"/>
        <v>917.19301392696707</v>
      </c>
      <c r="CY135" s="59">
        <f ca="1">AVERAGE(OFFSET($CX$3,0,0,'Données projet'!$E$13+1,1))-AVERAGE(OFFSET($H$3,0,0,'Données projet'!$E$13+1,1))</f>
        <v>318.01858325056168</v>
      </c>
      <c r="CZ135" s="59">
        <f t="shared" si="150"/>
        <v>119.46953274700951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39.404172381033355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39.404172381033355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62.244000000000227</v>
      </c>
      <c r="D136" s="11">
        <f t="shared" si="140"/>
        <v>17.734404526076489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617.37715774515357</v>
      </c>
      <c r="H136" s="67">
        <f t="shared" si="110"/>
        <v>432.6290545495836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200.15574321350221</v>
      </c>
      <c r="T136" s="59">
        <f t="shared" si="142"/>
        <v>200.70728852570426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30.559846017708491</v>
      </c>
      <c r="AA136" s="21">
        <f>EXP(-LN(2)/25)*AA135+(1-EXP(-LN(2)/25))/(LN(2)/25)*Calculateur!V136*Calculateur!X136*VLOOKUP('Données projet'!$B$9,Paramètres!$A$1:$I$89,3,0)*0.475*44/12</f>
        <v>4.7748389249005712</v>
      </c>
      <c r="AB136" s="21">
        <f>EXP(-LN(2)/2)*AB135+(1-EXP(-LN(2)/2))/(LN(2)/2)*V136*Y136*VLOOKUP('Données projet'!$B$9,Paramètres!$A$1:$I$89,3,0)*0.475*44/12</f>
        <v>3.2888997394623433E-10</v>
      </c>
      <c r="AC136" s="22">
        <f t="shared" si="111"/>
        <v>35.334684942937947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45.407317338461951</v>
      </c>
      <c r="AO136" s="59">
        <f t="shared" si="144"/>
        <v>149.88701606165358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3.8276982790165959</v>
      </c>
      <c r="AV136" s="21">
        <f>EXP(-LN(2)/25)*AV135+(1-EXP(-LN(2)/25))/(LN(2)/25)*Calculateur!AQ136*Calculateur!AS136*VLOOKUP('Données projet'!$B$10,Paramètres!$A$1:$I$89,3,0)*0.475*44/12</f>
        <v>0.33377885500913951</v>
      </c>
      <c r="AW136" s="21">
        <f>EXP(-LN(2)/2)*AW135+(1-EXP(-LN(2)/2))/(LN(2)/2)*AQ136*AT136*VLOOKUP('Données projet'!$B$10,Paramètres!$A$1:$I$89,3,0)*0.475*44/12</f>
        <v>1.0732204425129559E-16</v>
      </c>
      <c r="AX136" s="21">
        <f t="shared" si="114"/>
        <v>4.161477134025735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1.1368683772161603E-12</v>
      </c>
      <c r="BE136" s="13">
        <f>BD136*VLOOKUP('Données projet'!$B$11,Paramètres!$A$1:$I$89,3,0)*VLOOKUP('Données projet'!$B$11,Paramètres!$A$1:$I$89,5,0)</f>
        <v>5.3205440053716299E-13</v>
      </c>
      <c r="BF136" s="13">
        <f t="shared" si="145"/>
        <v>6.579711042921201E-12</v>
      </c>
      <c r="BG136" s="20">
        <f t="shared" si="115"/>
        <v>1.2386324814023317E-11</v>
      </c>
      <c r="BH136" s="59">
        <f t="shared" si="116"/>
        <v>293.33333333334571</v>
      </c>
      <c r="BI136" s="59">
        <f ca="1">AVERAGE(OFFSET($BH$3,0,0,'Données projet'!$E$11+1,1))-AVERAGE(OFFSET($H$3,0,0,'Données projet'!$E$11+1,1))</f>
        <v>183.67580045784649</v>
      </c>
      <c r="BJ136" s="59">
        <f t="shared" si="146"/>
        <v>121.08269345608767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140.12067523597665</v>
      </c>
      <c r="BQ136" s="21">
        <f>EXP(-LN(2)/25)*BQ135+(1-EXP(-LN(2)/25))/(LN(2)/25)*Calculateur!BL136*Calculateur!BN136*VLOOKUP('Données projet'!$B$11,Paramètres!$A$1:$I$89,3,0)*0.475*44/12</f>
        <v>32.935961232879222</v>
      </c>
      <c r="BR136" s="21">
        <f>EXP(-LN(2)/2)*BR135+(1-EXP(-LN(2)/2))/(LN(2)/2)*BL136*BO136*VLOOKUP('Données projet'!$B$11,Paramètres!$A$1:$I$89,3,0)*0.475*44/12</f>
        <v>9.3070814107151385</v>
      </c>
      <c r="BS136" s="22">
        <f t="shared" si="117"/>
        <v>182.363717879571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212.00000000000009</v>
      </c>
      <c r="BZ136" s="13">
        <f>BY136*VLOOKUP('Données projet'!$B$12,Paramètres!$A$1:$I$89,3,0)*VLOOKUP('Données projet'!$B$12,Paramètres!$A$1:$I$89,5,0)</f>
        <v>185.20320000000009</v>
      </c>
      <c r="CA136" s="13">
        <f t="shared" si="147"/>
        <v>46.477875402099386</v>
      </c>
      <c r="CB136" s="20">
        <f t="shared" si="118"/>
        <v>403.5112063253232</v>
      </c>
      <c r="CC136" s="59">
        <f t="shared" si="119"/>
        <v>696.84453965865646</v>
      </c>
      <c r="CD136" s="59">
        <f ca="1">AVERAGE(OFFSET($CC$3,0,0,'Données projet'!$E$12+1,1))-AVERAGE(OFFSET($H$3,0,0,'Données projet'!$E$12+1,1))</f>
        <v>216.10252108537389</v>
      </c>
      <c r="CE136" s="59">
        <f t="shared" si="148"/>
        <v>196.91968622092054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7.7689767577344568</v>
      </c>
      <c r="CL136" s="21">
        <f>EXP(-LN(2)/25)*CL135+(1-EXP(-LN(2)/25))/(LN(2)/25)*Calculateur!CG136*Calculateur!CI136*VLOOKUP('Données projet'!$B$12,Paramètres!$A$1:$I$89,3,0)*0.475*44/12</f>
        <v>5.6023319162893905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13.371308674023847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6.0711538461538508</v>
      </c>
      <c r="CT136" s="12">
        <f>IF('Données projet'!$A$140&gt;35,CT135+CS136-DB135,IF(A136&lt;'Données projet'!$A$140,$CQ$205^A136,IF(A136='Données projet'!$A$140,'Données projet'!$B$140,CT135+CS136-DB135)))</f>
        <v>325.78141025640991</v>
      </c>
      <c r="CU136" s="17">
        <f>CT136*VLOOKUP('Données projet'!$B$13,Paramètres!$A$1:$I$89,3,0)*VLOOKUP('Données projet'!$B$13,Paramètres!$A$1:$I$89,5,0)</f>
        <v>294.76701999999966</v>
      </c>
      <c r="CV136" s="13">
        <f t="shared" si="149"/>
        <v>70.078308863481737</v>
      </c>
      <c r="CW136" s="20">
        <f t="shared" si="121"/>
        <v>635.43894777056346</v>
      </c>
      <c r="CX136" s="59">
        <f t="shared" si="122"/>
        <v>928.77228110389683</v>
      </c>
      <c r="CY136" s="59">
        <f ca="1">AVERAGE(OFFSET($CX$3,0,0,'Données projet'!$E$13+1,1))-AVERAGE(OFFSET($H$3,0,0,'Données projet'!$E$13+1,1))</f>
        <v>318.01858325056168</v>
      </c>
      <c r="CZ136" s="59">
        <f t="shared" si="150"/>
        <v>119.46953274700951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38.631480594813269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38.631480594813269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62.712000000000231</v>
      </c>
      <c r="D137" s="11">
        <f t="shared" si="140"/>
        <v>17.852173562161887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621.89888363774276</v>
      </c>
      <c r="H137" s="67">
        <f t="shared" si="110"/>
        <v>433.649268954099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200.15574321350221</v>
      </c>
      <c r="T137" s="59">
        <f t="shared" si="142"/>
        <v>200.70728852570426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29.960586076966784</v>
      </c>
      <c r="AA137" s="21">
        <f>EXP(-LN(2)/25)*AA136+(1-EXP(-LN(2)/25))/(LN(2)/25)*Calculateur!V137*Calculateur!X137*VLOOKUP('Données projet'!$B$9,Paramètres!$A$1:$I$89,3,0)*0.475*44/12</f>
        <v>4.6442707034012987</v>
      </c>
      <c r="AB137" s="21">
        <f>EXP(-LN(2)/2)*AB136+(1-EXP(-LN(2)/2))/(LN(2)/2)*V137*Y137*VLOOKUP('Données projet'!$B$9,Paramètres!$A$1:$I$89,3,0)*0.475*44/12</f>
        <v>2.3256033084164926E-10</v>
      </c>
      <c r="AC137" s="22">
        <f t="shared" si="111"/>
        <v>34.604856780600642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45.407317338461951</v>
      </c>
      <c r="AO137" s="59">
        <f t="shared" si="144"/>
        <v>149.88701606165358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3.7526394504305016</v>
      </c>
      <c r="AV137" s="21">
        <f>EXP(-LN(2)/25)*AV136+(1-EXP(-LN(2)/25))/(LN(2)/25)*Calculateur!AQ137*Calculateur!AS137*VLOOKUP('Données projet'!$B$10,Paramètres!$A$1:$I$89,3,0)*0.475*44/12</f>
        <v>0.32465165466624746</v>
      </c>
      <c r="AW137" s="21">
        <f>EXP(-LN(2)/2)*AW136+(1-EXP(-LN(2)/2))/(LN(2)/2)*AQ137*AT137*VLOOKUP('Données projet'!$B$10,Paramètres!$A$1:$I$89,3,0)*0.475*44/12</f>
        <v>7.5888145260893841E-17</v>
      </c>
      <c r="AX137" s="21">
        <f t="shared" si="114"/>
        <v>4.0772911050967489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1.1368683772161603E-12</v>
      </c>
      <c r="BE137" s="13">
        <f>BD137*VLOOKUP('Données projet'!$B$11,Paramètres!$A$1:$I$89,3,0)*VLOOKUP('Données projet'!$B$11,Paramètres!$A$1:$I$89,5,0)</f>
        <v>5.3205440053716299E-13</v>
      </c>
      <c r="BF137" s="13">
        <f t="shared" si="145"/>
        <v>6.579711042921201E-12</v>
      </c>
      <c r="BG137" s="20">
        <f t="shared" si="115"/>
        <v>1.2386324814023317E-11</v>
      </c>
      <c r="BH137" s="59">
        <f t="shared" si="116"/>
        <v>293.33333333334571</v>
      </c>
      <c r="BI137" s="59">
        <f ca="1">AVERAGE(OFFSET($BH$3,0,0,'Données projet'!$E$11+1,1))-AVERAGE(OFFSET($H$3,0,0,'Données projet'!$E$11+1,1))</f>
        <v>183.67580045784649</v>
      </c>
      <c r="BJ137" s="59">
        <f t="shared" si="146"/>
        <v>121.08269345608767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137.37299425977204</v>
      </c>
      <c r="BQ137" s="21">
        <f>EXP(-LN(2)/25)*BQ136+(1-EXP(-LN(2)/25))/(LN(2)/25)*Calculateur!BL137*Calculateur!BN137*VLOOKUP('Données projet'!$B$11,Paramètres!$A$1:$I$89,3,0)*0.475*44/12</f>
        <v>32.035325640939213</v>
      </c>
      <c r="BR137" s="21">
        <f>EXP(-LN(2)/2)*BR136+(1-EXP(-LN(2)/2))/(LN(2)/2)*BL137*BO137*VLOOKUP('Données projet'!$B$11,Paramètres!$A$1:$I$89,3,0)*0.475*44/12</f>
        <v>6.581100378571934</v>
      </c>
      <c r="BS137" s="22">
        <f t="shared" si="117"/>
        <v>175.98942027928319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212.00000000000009</v>
      </c>
      <c r="BZ137" s="13">
        <f>BY137*VLOOKUP('Données projet'!$B$12,Paramètres!$A$1:$I$89,3,0)*VLOOKUP('Données projet'!$B$12,Paramètres!$A$1:$I$89,5,0)</f>
        <v>185.20320000000009</v>
      </c>
      <c r="CA137" s="13">
        <f t="shared" si="147"/>
        <v>46.477875402099386</v>
      </c>
      <c r="CB137" s="20">
        <f t="shared" si="118"/>
        <v>403.5112063253232</v>
      </c>
      <c r="CC137" s="59">
        <f t="shared" si="119"/>
        <v>696.84453965865646</v>
      </c>
      <c r="CD137" s="59">
        <f ca="1">AVERAGE(OFFSET($CC$3,0,0,'Données projet'!$E$12+1,1))-AVERAGE(OFFSET($H$3,0,0,'Données projet'!$E$12+1,1))</f>
        <v>216.10252108537389</v>
      </c>
      <c r="CE137" s="59">
        <f t="shared" si="148"/>
        <v>196.91968622092054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7.6166318621232074</v>
      </c>
      <c r="CL137" s="21">
        <f>EXP(-LN(2)/25)*CL136+(1-EXP(-LN(2)/25))/(LN(2)/25)*Calculateur!CG137*Calculateur!CI137*VLOOKUP('Données projet'!$B$12,Paramètres!$A$1:$I$89,3,0)*0.475*44/12</f>
        <v>5.4491358554246263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13.065767717547834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>
        <f>VLOOKUP(A137,'Données projet'!$A$139:$I$159,2,0)</f>
        <v>331.85256410256414</v>
      </c>
      <c r="CR137" s="12">
        <f>VLOOKUP(A137,'Données projet'!$A$139:$I$159,9,0)</f>
        <v>6.0711538461538508</v>
      </c>
      <c r="CS137" s="12">
        <f t="array" ref="CS137">INDEX(CR:CR,MIN(IF(ISNUMBER(CR137:CR333),ROW(CR137:CR333),"")))</f>
        <v>6.0711538461538508</v>
      </c>
      <c r="CT137" s="12">
        <f>IF('Données projet'!$A$140&gt;35,CT136+CS137-DB136,IF(A137&lt;'Données projet'!$A$140,$CQ$205^A137,IF(A137='Données projet'!$A$140,'Données projet'!$B$140,CT136+CS137-DB136)))</f>
        <v>331.85256410256375</v>
      </c>
      <c r="CU137" s="17">
        <f>CT137*VLOOKUP('Données projet'!$B$13,Paramètres!$A$1:$I$89,3,0)*VLOOKUP('Données projet'!$B$13,Paramètres!$A$1:$I$89,5,0)</f>
        <v>300.26019999999971</v>
      </c>
      <c r="CV137" s="13">
        <f t="shared" si="149"/>
        <v>71.231008637455531</v>
      </c>
      <c r="CW137" s="20">
        <f t="shared" si="121"/>
        <v>647.0138550435679</v>
      </c>
      <c r="CX137" s="59">
        <f t="shared" si="122"/>
        <v>940.34718837690116</v>
      </c>
      <c r="CY137" s="59">
        <f ca="1">AVERAGE(OFFSET($CX$3,0,0,'Données projet'!$E$13+1,1))-AVERAGE(OFFSET($H$3,0,0,'Données projet'!$E$13+1,1))</f>
        <v>318.01858325056168</v>
      </c>
      <c r="CZ137" s="59">
        <f t="shared" si="150"/>
        <v>119.46953274700951</v>
      </c>
      <c r="DA137" s="15">
        <f>IF(ISNA(VLOOKUP(A137,'Données projet'!$A$139:$I$159,3,0)),0,VLOOKUP(A137,'Données projet'!$A$139:$I$159,3,0))</f>
        <v>11</v>
      </c>
      <c r="DB137" s="15">
        <f>IF(ISNA(VLOOKUP(A137,'Données projet'!$A$139:$I$159,4,0)),0,VLOOKUP(A137,'Données projet'!$A$139:$I$159,4,0))</f>
        <v>41.666666666666664</v>
      </c>
      <c r="DC137" s="16">
        <f>IF(ISNA(VLOOKUP(A137,'Données projet'!$A$139:$I$159,5,0)),0%,VLOOKUP(A137,'Données projet'!$A$139:$I$159,5,0)*VLOOKUP('Données projet'!$B$13,Paramètres!$A$1:$I$89,7,0))</f>
        <v>0.30099999999999999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50.418487049051564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50.418487049051564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63.180000000000234</v>
      </c>
      <c r="D138" s="11">
        <f t="shared" si="140"/>
        <v>17.969840340798424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626.41982017458622</v>
      </c>
      <c r="H138" s="67">
        <f t="shared" si="110"/>
        <v>434.66930526022429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200.15574321350221</v>
      </c>
      <c r="T138" s="59">
        <f t="shared" si="142"/>
        <v>200.70728852570426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29.373077258150548</v>
      </c>
      <c r="AA138" s="21">
        <f>EXP(-LN(2)/25)*AA137+(1-EXP(-LN(2)/25))/(LN(2)/25)*Calculateur!V138*Calculateur!X138*VLOOKUP('Données projet'!$B$9,Paramètres!$A$1:$I$89,3,0)*0.475*44/12</f>
        <v>4.5172728767852082</v>
      </c>
      <c r="AB138" s="21">
        <f>EXP(-LN(2)/2)*AB137+(1-EXP(-LN(2)/2))/(LN(2)/2)*V138*Y138*VLOOKUP('Données projet'!$B$9,Paramètres!$A$1:$I$89,3,0)*0.475*44/12</f>
        <v>1.6444498697311719E-10</v>
      </c>
      <c r="AC138" s="22">
        <f t="shared" si="111"/>
        <v>33.890350135100206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45.407317338461951</v>
      </c>
      <c r="AO138" s="59">
        <f t="shared" si="144"/>
        <v>149.88701606165358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3.6790524796916158</v>
      </c>
      <c r="AV138" s="21">
        <f>EXP(-LN(2)/25)*AV137+(1-EXP(-LN(2)/25))/(LN(2)/25)*Calculateur!AQ138*Calculateur!AS138*VLOOKUP('Données projet'!$B$10,Paramètres!$A$1:$I$89,3,0)*0.475*44/12</f>
        <v>0.3157740380967104</v>
      </c>
      <c r="AW138" s="21">
        <f>EXP(-LN(2)/2)*AW137+(1-EXP(-LN(2)/2))/(LN(2)/2)*AQ138*AT138*VLOOKUP('Données projet'!$B$10,Paramètres!$A$1:$I$89,3,0)*0.475*44/12</f>
        <v>5.3661022125647796E-17</v>
      </c>
      <c r="AX138" s="21">
        <f t="shared" si="114"/>
        <v>3.9948265177883262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1.1368683772161603E-12</v>
      </c>
      <c r="BE138" s="13">
        <f>BD138*VLOOKUP('Données projet'!$B$11,Paramètres!$A$1:$I$89,3,0)*VLOOKUP('Données projet'!$B$11,Paramètres!$A$1:$I$89,5,0)</f>
        <v>5.3205440053716299E-13</v>
      </c>
      <c r="BF138" s="13">
        <f t="shared" si="145"/>
        <v>6.579711042921201E-12</v>
      </c>
      <c r="BG138" s="20">
        <f t="shared" si="115"/>
        <v>1.2386324814023317E-11</v>
      </c>
      <c r="BH138" s="59">
        <f t="shared" si="116"/>
        <v>293.33333333334571</v>
      </c>
      <c r="BI138" s="59">
        <f ca="1">AVERAGE(OFFSET($BH$3,0,0,'Données projet'!$E$11+1,1))-AVERAGE(OFFSET($H$3,0,0,'Données projet'!$E$11+1,1))</f>
        <v>183.67580045784649</v>
      </c>
      <c r="BJ138" s="59">
        <f t="shared" si="146"/>
        <v>121.08269345608767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134.67919363159092</v>
      </c>
      <c r="BQ138" s="21">
        <f>EXP(-LN(2)/25)*BQ137+(1-EXP(-LN(2)/25))/(LN(2)/25)*Calculateur!BL138*Calculateur!BN138*VLOOKUP('Données projet'!$B$11,Paramètres!$A$1:$I$89,3,0)*0.475*44/12</f>
        <v>31.159317976623171</v>
      </c>
      <c r="BR138" s="21">
        <f>EXP(-LN(2)/2)*BR137+(1-EXP(-LN(2)/2))/(LN(2)/2)*BL138*BO138*VLOOKUP('Données projet'!$B$11,Paramètres!$A$1:$I$89,3,0)*0.475*44/12</f>
        <v>4.6535407053575701</v>
      </c>
      <c r="BS138" s="22">
        <f t="shared" si="117"/>
        <v>170.49205231357166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212.00000000000009</v>
      </c>
      <c r="BZ138" s="13">
        <f>BY138*VLOOKUP('Données projet'!$B$12,Paramètres!$A$1:$I$89,3,0)*VLOOKUP('Données projet'!$B$12,Paramètres!$A$1:$I$89,5,0)</f>
        <v>185.20320000000009</v>
      </c>
      <c r="CA138" s="13">
        <f t="shared" si="147"/>
        <v>46.477875402099386</v>
      </c>
      <c r="CB138" s="20">
        <f t="shared" si="118"/>
        <v>403.5112063253232</v>
      </c>
      <c r="CC138" s="59">
        <f t="shared" si="119"/>
        <v>696.84453965865646</v>
      </c>
      <c r="CD138" s="59">
        <f ca="1">AVERAGE(OFFSET($CC$3,0,0,'Données projet'!$E$12+1,1))-AVERAGE(OFFSET($H$3,0,0,'Données projet'!$E$12+1,1))</f>
        <v>216.10252108537389</v>
      </c>
      <c r="CE138" s="59">
        <f t="shared" si="148"/>
        <v>196.91968622092054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7.4672743569936841</v>
      </c>
      <c r="CL138" s="21">
        <f>EXP(-LN(2)/25)*CL137+(1-EXP(-LN(2)/25))/(LN(2)/25)*Calculateur!CG138*Calculateur!CI138*VLOOKUP('Données projet'!$B$12,Paramètres!$A$1:$I$89,3,0)*0.475*44/12</f>
        <v>5.3001289489004391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12.767403305894124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6.1378205128205137</v>
      </c>
      <c r="CT138" s="12">
        <f>IF('Données projet'!$A$140&gt;35,CT137+CS138-DB137,IF(A138&lt;'Données projet'!$A$140,$CQ$205^A138,IF(A138='Données projet'!$A$140,'Données projet'!$B$140,CT137+CS138-DB137)))</f>
        <v>296.32371794871756</v>
      </c>
      <c r="CU138" s="17">
        <f>CT138*VLOOKUP('Données projet'!$B$13,Paramètres!$A$1:$I$89,3,0)*VLOOKUP('Données projet'!$B$13,Paramètres!$A$1:$I$89,5,0)</f>
        <v>268.1136999999996</v>
      </c>
      <c r="CV138" s="13">
        <f t="shared" si="149"/>
        <v>64.448785624791412</v>
      </c>
      <c r="CW138" s="20">
        <f t="shared" si="121"/>
        <v>579.21299579651088</v>
      </c>
      <c r="CX138" s="59">
        <f t="shared" si="122"/>
        <v>872.54632912984425</v>
      </c>
      <c r="CY138" s="59">
        <f ca="1">AVERAGE(OFFSET($CX$3,0,0,'Données projet'!$E$13+1,1))-AVERAGE(OFFSET($H$3,0,0,'Données projet'!$E$13+1,1))</f>
        <v>318.01858325056168</v>
      </c>
      <c r="CZ138" s="59">
        <f t="shared" si="150"/>
        <v>119.46953274700951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49.429811270260231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49.429811270260231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63.648000000000238</v>
      </c>
      <c r="D139" s="11">
        <f t="shared" si="140"/>
        <v>18.087405707268417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630.93997388067032</v>
      </c>
      <c r="H139" s="67">
        <f t="shared" si="110"/>
        <v>435.68916494015957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200.15574321350221</v>
      </c>
      <c r="T139" s="59">
        <f t="shared" si="142"/>
        <v>200.70728852570426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28.797089128926306</v>
      </c>
      <c r="AA139" s="21">
        <f>EXP(-LN(2)/25)*AA138+(1-EXP(-LN(2)/25))/(LN(2)/25)*Calculateur!V139*Calculateur!X139*VLOOKUP('Données projet'!$B$9,Paramètres!$A$1:$I$89,3,0)*0.475*44/12</f>
        <v>4.3937478124164606</v>
      </c>
      <c r="AB139" s="21">
        <f>EXP(-LN(2)/2)*AB138+(1-EXP(-LN(2)/2))/(LN(2)/2)*V139*Y139*VLOOKUP('Données projet'!$B$9,Paramètres!$A$1:$I$89,3,0)*0.475*44/12</f>
        <v>1.1628016542082464E-10</v>
      </c>
      <c r="AC139" s="22">
        <f t="shared" si="111"/>
        <v>33.190836941459047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45.407317338461951</v>
      </c>
      <c r="AO139" s="59">
        <f t="shared" si="144"/>
        <v>149.88701606165358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3.6069085045652991</v>
      </c>
      <c r="AV139" s="21">
        <f>EXP(-LN(2)/25)*AV138+(1-EXP(-LN(2)/25))/(LN(2)/25)*Calculateur!AQ139*Calculateur!AS139*VLOOKUP('Données projet'!$B$10,Paramètres!$A$1:$I$89,3,0)*0.475*44/12</f>
        <v>0.30713918041912092</v>
      </c>
      <c r="AW139" s="21">
        <f>EXP(-LN(2)/2)*AW138+(1-EXP(-LN(2)/2))/(LN(2)/2)*AQ139*AT139*VLOOKUP('Données projet'!$B$10,Paramètres!$A$1:$I$89,3,0)*0.475*44/12</f>
        <v>3.7944072630446921E-17</v>
      </c>
      <c r="AX139" s="21">
        <f t="shared" si="114"/>
        <v>3.9140476849844199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1.1368683772161603E-12</v>
      </c>
      <c r="BE139" s="13">
        <f>BD139*VLOOKUP('Données projet'!$B$11,Paramètres!$A$1:$I$89,3,0)*VLOOKUP('Données projet'!$B$11,Paramètres!$A$1:$I$89,5,0)</f>
        <v>5.3205440053716299E-13</v>
      </c>
      <c r="BF139" s="13">
        <f t="shared" si="145"/>
        <v>6.579711042921201E-12</v>
      </c>
      <c r="BG139" s="20">
        <f t="shared" si="115"/>
        <v>1.2386324814023317E-11</v>
      </c>
      <c r="BH139" s="59">
        <f t="shared" si="116"/>
        <v>293.33333333334571</v>
      </c>
      <c r="BI139" s="59">
        <f ca="1">AVERAGE(OFFSET($BH$3,0,0,'Données projet'!$E$11+1,1))-AVERAGE(OFFSET($H$3,0,0,'Données projet'!$E$11+1,1))</f>
        <v>183.67580045784649</v>
      </c>
      <c r="BJ139" s="59">
        <f t="shared" si="146"/>
        <v>121.08269345608767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132.03821679067227</v>
      </c>
      <c r="BQ139" s="21">
        <f>EXP(-LN(2)/25)*BQ138+(1-EXP(-LN(2)/25))/(LN(2)/25)*Calculateur!BL139*Calculateur!BN139*VLOOKUP('Données projet'!$B$11,Paramètres!$A$1:$I$89,3,0)*0.475*44/12</f>
        <v>30.307264787955095</v>
      </c>
      <c r="BR139" s="21">
        <f>EXP(-LN(2)/2)*BR138+(1-EXP(-LN(2)/2))/(LN(2)/2)*BL139*BO139*VLOOKUP('Données projet'!$B$11,Paramètres!$A$1:$I$89,3,0)*0.475*44/12</f>
        <v>3.2905501892859674</v>
      </c>
      <c r="BS139" s="22">
        <f t="shared" si="117"/>
        <v>165.63603176791332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212.00000000000009</v>
      </c>
      <c r="BZ139" s="13">
        <f>BY139*VLOOKUP('Données projet'!$B$12,Paramètres!$A$1:$I$89,3,0)*VLOOKUP('Données projet'!$B$12,Paramètres!$A$1:$I$89,5,0)</f>
        <v>185.20320000000009</v>
      </c>
      <c r="CA139" s="13">
        <f t="shared" si="147"/>
        <v>46.477875402099386</v>
      </c>
      <c r="CB139" s="20">
        <f t="shared" si="118"/>
        <v>403.5112063253232</v>
      </c>
      <c r="CC139" s="59">
        <f t="shared" si="119"/>
        <v>696.84453965865646</v>
      </c>
      <c r="CD139" s="59">
        <f ca="1">AVERAGE(OFFSET($CC$3,0,0,'Données projet'!$E$12+1,1))-AVERAGE(OFFSET($H$3,0,0,'Données projet'!$E$12+1,1))</f>
        <v>216.10252108537389</v>
      </c>
      <c r="CE139" s="59">
        <f t="shared" si="148"/>
        <v>196.91968622092054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7.3208456614406678</v>
      </c>
      <c r="CL139" s="21">
        <f>EXP(-LN(2)/25)*CL138+(1-EXP(-LN(2)/25))/(LN(2)/25)*Calculateur!CG139*Calculateur!CI139*VLOOKUP('Données projet'!$B$12,Paramètres!$A$1:$I$89,3,0)*0.475*44/12</f>
        <v>5.155196644071089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12.476042305511758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6.1378205128205137</v>
      </c>
      <c r="CT139" s="12">
        <f>IF('Données projet'!$A$140&gt;35,CT138+CS139-DB138,IF(A139&lt;'Données projet'!$A$140,$CQ$205^A139,IF(A139='Données projet'!$A$140,'Données projet'!$B$140,CT138+CS139-DB138)))</f>
        <v>302.46153846153805</v>
      </c>
      <c r="CU139" s="17">
        <f>CT139*VLOOKUP('Données projet'!$B$13,Paramètres!$A$1:$I$89,3,0)*VLOOKUP('Données projet'!$B$13,Paramètres!$A$1:$I$89,5,0)</f>
        <v>273.66719999999964</v>
      </c>
      <c r="CV139" s="13">
        <f t="shared" si="149"/>
        <v>65.62692955621516</v>
      </c>
      <c r="CW139" s="20">
        <f t="shared" si="121"/>
        <v>590.93727564374069</v>
      </c>
      <c r="CX139" s="59">
        <f t="shared" si="122"/>
        <v>884.27060897707406</v>
      </c>
      <c r="CY139" s="59">
        <f ca="1">AVERAGE(OFFSET($CX$3,0,0,'Données projet'!$E$13+1,1))-AVERAGE(OFFSET($H$3,0,0,'Données projet'!$E$13+1,1))</f>
        <v>318.01858325056168</v>
      </c>
      <c r="CZ139" s="59">
        <f t="shared" si="150"/>
        <v>119.46953274700951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48.460522820458316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48.460522820458316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64.116000000000241</v>
      </c>
      <c r="D140" s="11">
        <f t="shared" si="140"/>
        <v>18.204870493705315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635.45935117948159</v>
      </c>
      <c r="H140" s="67">
        <f t="shared" si="110"/>
        <v>436.7088494432038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200.15574321350221</v>
      </c>
      <c r="T140" s="59">
        <f t="shared" si="142"/>
        <v>200.70728852570426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28.232395775598079</v>
      </c>
      <c r="AA140" s="21">
        <f>EXP(-LN(2)/25)*AA139+(1-EXP(-LN(2)/25))/(LN(2)/25)*Calculateur!V140*Calculateur!X140*VLOOKUP('Données projet'!$B$9,Paramètres!$A$1:$I$89,3,0)*0.475*44/12</f>
        <v>4.273600547428777</v>
      </c>
      <c r="AB140" s="21">
        <f>EXP(-LN(2)/2)*AB139+(1-EXP(-LN(2)/2))/(LN(2)/2)*V140*Y140*VLOOKUP('Données projet'!$B$9,Paramètres!$A$1:$I$89,3,0)*0.475*44/12</f>
        <v>8.2222493486558609E-11</v>
      </c>
      <c r="AC140" s="22">
        <f t="shared" si="111"/>
        <v>32.50599632310908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45.407317338461951</v>
      </c>
      <c r="AO140" s="59">
        <f t="shared" si="144"/>
        <v>149.88701606165358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3.5361792287877298</v>
      </c>
      <c r="AV140" s="21">
        <f>EXP(-LN(2)/25)*AV139+(1-EXP(-LN(2)/25))/(LN(2)/25)*Calculateur!AQ140*Calculateur!AS140*VLOOKUP('Données projet'!$B$10,Paramètres!$A$1:$I$89,3,0)*0.475*44/12</f>
        <v>0.29874044337881256</v>
      </c>
      <c r="AW140" s="21">
        <f>EXP(-LN(2)/2)*AW139+(1-EXP(-LN(2)/2))/(LN(2)/2)*AQ140*AT140*VLOOKUP('Données projet'!$B$10,Paramètres!$A$1:$I$89,3,0)*0.475*44/12</f>
        <v>2.6830511062823898E-17</v>
      </c>
      <c r="AX140" s="21">
        <f t="shared" si="114"/>
        <v>3.8349196721665422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1.1368683772161603E-12</v>
      </c>
      <c r="BE140" s="13">
        <f>BD140*VLOOKUP('Données projet'!$B$11,Paramètres!$A$1:$I$89,3,0)*VLOOKUP('Données projet'!$B$11,Paramètres!$A$1:$I$89,5,0)</f>
        <v>5.3205440053716299E-13</v>
      </c>
      <c r="BF140" s="13">
        <f t="shared" si="145"/>
        <v>6.579711042921201E-12</v>
      </c>
      <c r="BG140" s="20">
        <f t="shared" si="115"/>
        <v>1.2386324814023317E-11</v>
      </c>
      <c r="BH140" s="59">
        <f t="shared" si="116"/>
        <v>293.33333333334571</v>
      </c>
      <c r="BI140" s="59">
        <f ca="1">AVERAGE(OFFSET($BH$3,0,0,'Données projet'!$E$11+1,1))-AVERAGE(OFFSET($H$3,0,0,'Données projet'!$E$11+1,1))</f>
        <v>183.67580045784649</v>
      </c>
      <c r="BJ140" s="59">
        <f t="shared" si="146"/>
        <v>121.08269345608767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129.44902789476723</v>
      </c>
      <c r="BQ140" s="21">
        <f>EXP(-LN(2)/25)*BQ139+(1-EXP(-LN(2)/25))/(LN(2)/25)*Calculateur!BL140*Calculateur!BN140*VLOOKUP('Données projet'!$B$11,Paramètres!$A$1:$I$89,3,0)*0.475*44/12</f>
        <v>29.478511038538677</v>
      </c>
      <c r="BR140" s="21">
        <f>EXP(-LN(2)/2)*BR139+(1-EXP(-LN(2)/2))/(LN(2)/2)*BL140*BO140*VLOOKUP('Données projet'!$B$11,Paramètres!$A$1:$I$89,3,0)*0.475*44/12</f>
        <v>2.3267703526787851</v>
      </c>
      <c r="BS140" s="22">
        <f t="shared" si="117"/>
        <v>161.25430928598468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212.00000000000009</v>
      </c>
      <c r="BZ140" s="13">
        <f>BY140*VLOOKUP('Données projet'!$B$12,Paramètres!$A$1:$I$89,3,0)*VLOOKUP('Données projet'!$B$12,Paramètres!$A$1:$I$89,5,0)</f>
        <v>185.20320000000009</v>
      </c>
      <c r="CA140" s="13">
        <f t="shared" si="147"/>
        <v>46.477875402099386</v>
      </c>
      <c r="CB140" s="20">
        <f t="shared" si="118"/>
        <v>403.5112063253232</v>
      </c>
      <c r="CC140" s="59">
        <f t="shared" si="119"/>
        <v>696.84453965865646</v>
      </c>
      <c r="CD140" s="59">
        <f ca="1">AVERAGE(OFFSET($CC$3,0,0,'Données projet'!$E$12+1,1))-AVERAGE(OFFSET($H$3,0,0,'Données projet'!$E$12+1,1))</f>
        <v>216.10252108537389</v>
      </c>
      <c r="CE140" s="59">
        <f t="shared" si="148"/>
        <v>196.91968622092054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7.1772883432947605</v>
      </c>
      <c r="CL140" s="21">
        <f>EXP(-LN(2)/25)*CL139+(1-EXP(-LN(2)/25))/(LN(2)/25)*Calculateur!CG140*Calculateur!CI140*VLOOKUP('Données projet'!$B$12,Paramètres!$A$1:$I$89,3,0)*0.475*44/12</f>
        <v>5.0142275207389559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12.191515864033716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6.1378205128205137</v>
      </c>
      <c r="CT140" s="12">
        <f>IF('Données projet'!$A$140&gt;35,CT139+CS140-DB139,IF(A140&lt;'Données projet'!$A$140,$CQ$205^A140,IF(A140='Données projet'!$A$140,'Données projet'!$B$140,CT139+CS140-DB139)))</f>
        <v>308.59935897435855</v>
      </c>
      <c r="CU140" s="17">
        <f>CT140*VLOOKUP('Données projet'!$B$13,Paramètres!$A$1:$I$89,3,0)*VLOOKUP('Données projet'!$B$13,Paramètres!$A$1:$I$89,5,0)</f>
        <v>279.22069999999962</v>
      </c>
      <c r="CV140" s="13">
        <f t="shared" si="149"/>
        <v>66.80229368446598</v>
      </c>
      <c r="CW140" s="20">
        <f t="shared" si="121"/>
        <v>602.65671400044437</v>
      </c>
      <c r="CX140" s="59">
        <f t="shared" si="122"/>
        <v>895.99004733377774</v>
      </c>
      <c r="CY140" s="59">
        <f ca="1">AVERAGE(OFFSET($CX$3,0,0,'Données projet'!$E$13+1,1))-AVERAGE(OFFSET($H$3,0,0,'Données projet'!$E$13+1,1))</f>
        <v>318.01858325056168</v>
      </c>
      <c r="CZ140" s="59">
        <f t="shared" si="150"/>
        <v>119.46953274700951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47.510241525949439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47.510241525949439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64.584000000000245</v>
      </c>
      <c r="D141" s="11">
        <f t="shared" si="140"/>
        <v>18.322235519392791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639.97795839531466</v>
      </c>
      <c r="H141" s="67">
        <f t="shared" si="110"/>
        <v>437.72836019627618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200.15574321350221</v>
      </c>
      <c r="T141" s="59">
        <f t="shared" si="142"/>
        <v>200.70728852570426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27.678775714499682</v>
      </c>
      <c r="AA141" s="21">
        <f>EXP(-LN(2)/25)*AA140+(1-EXP(-LN(2)/25))/(LN(2)/25)*Calculateur!V141*Calculateur!X141*VLOOKUP('Données projet'!$B$9,Paramètres!$A$1:$I$89,3,0)*0.475*44/12</f>
        <v>4.1567387157204516</v>
      </c>
      <c r="AB141" s="21">
        <f>EXP(-LN(2)/2)*AB140+(1-EXP(-LN(2)/2))/(LN(2)/2)*V141*Y141*VLOOKUP('Données projet'!$B$9,Paramètres!$A$1:$I$89,3,0)*0.475*44/12</f>
        <v>5.8140082710412328E-11</v>
      </c>
      <c r="AC141" s="22">
        <f t="shared" si="111"/>
        <v>31.835514430278273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45.407317338461951</v>
      </c>
      <c r="AO141" s="59">
        <f t="shared" si="144"/>
        <v>149.88701606165358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3.4668369109675603</v>
      </c>
      <c r="AV141" s="21">
        <f>EXP(-LN(2)/25)*AV140+(1-EXP(-LN(2)/25))/(LN(2)/25)*Calculateur!AQ141*Calculateur!AS141*VLOOKUP('Données projet'!$B$10,Paramètres!$A$1:$I$89,3,0)*0.475*44/12</f>
        <v>0.29057137024454177</v>
      </c>
      <c r="AW141" s="21">
        <f>EXP(-LN(2)/2)*AW140+(1-EXP(-LN(2)/2))/(LN(2)/2)*AQ141*AT141*VLOOKUP('Données projet'!$B$10,Paramètres!$A$1:$I$89,3,0)*0.475*44/12</f>
        <v>1.897203631522346E-17</v>
      </c>
      <c r="AX141" s="21">
        <f t="shared" si="114"/>
        <v>3.7574082812121019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1.1368683772161603E-12</v>
      </c>
      <c r="BE141" s="13">
        <f>BD141*VLOOKUP('Données projet'!$B$11,Paramètres!$A$1:$I$89,3,0)*VLOOKUP('Données projet'!$B$11,Paramètres!$A$1:$I$89,5,0)</f>
        <v>5.3205440053716299E-13</v>
      </c>
      <c r="BF141" s="13">
        <f t="shared" si="145"/>
        <v>6.579711042921201E-12</v>
      </c>
      <c r="BG141" s="20">
        <f t="shared" si="115"/>
        <v>1.2386324814023317E-11</v>
      </c>
      <c r="BH141" s="59">
        <f t="shared" si="116"/>
        <v>293.33333333334571</v>
      </c>
      <c r="BI141" s="59">
        <f ca="1">AVERAGE(OFFSET($BH$3,0,0,'Données projet'!$E$11+1,1))-AVERAGE(OFFSET($H$3,0,0,'Données projet'!$E$11+1,1))</f>
        <v>183.67580045784649</v>
      </c>
      <c r="BJ141" s="59">
        <f t="shared" si="146"/>
        <v>121.08269345608767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126.91061141386159</v>
      </c>
      <c r="BQ141" s="21">
        <f>EXP(-LN(2)/25)*BQ140+(1-EXP(-LN(2)/25))/(LN(2)/25)*Calculateur!BL141*Calculateur!BN141*VLOOKUP('Données projet'!$B$11,Paramètres!$A$1:$I$89,3,0)*0.475*44/12</f>
        <v>28.672419603982316</v>
      </c>
      <c r="BR141" s="21">
        <f>EXP(-LN(2)/2)*BR140+(1-EXP(-LN(2)/2))/(LN(2)/2)*BL141*BO141*VLOOKUP('Données projet'!$B$11,Paramètres!$A$1:$I$89,3,0)*0.475*44/12</f>
        <v>1.6452750946429837</v>
      </c>
      <c r="BS141" s="22">
        <f t="shared" si="117"/>
        <v>157.22830611248688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212.00000000000009</v>
      </c>
      <c r="BZ141" s="13">
        <f>BY141*VLOOKUP('Données projet'!$B$12,Paramètres!$A$1:$I$89,3,0)*VLOOKUP('Données projet'!$B$12,Paramètres!$A$1:$I$89,5,0)</f>
        <v>185.20320000000009</v>
      </c>
      <c r="CA141" s="13">
        <f t="shared" si="147"/>
        <v>46.477875402099386</v>
      </c>
      <c r="CB141" s="20">
        <f t="shared" si="118"/>
        <v>403.5112063253232</v>
      </c>
      <c r="CC141" s="59">
        <f t="shared" si="119"/>
        <v>696.84453965865646</v>
      </c>
      <c r="CD141" s="59">
        <f ca="1">AVERAGE(OFFSET($CC$3,0,0,'Données projet'!$E$12+1,1))-AVERAGE(OFFSET($H$3,0,0,'Données projet'!$E$12+1,1))</f>
        <v>216.10252108537389</v>
      </c>
      <c r="CE141" s="59">
        <f t="shared" si="148"/>
        <v>196.91968622092054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7.0365460965963766</v>
      </c>
      <c r="CL141" s="21">
        <f>EXP(-LN(2)/25)*CL140+(1-EXP(-LN(2)/25))/(LN(2)/25)*Calculateur!CG141*Calculateur!CI141*VLOOKUP('Données projet'!$B$12,Paramètres!$A$1:$I$89,3,0)*0.475*44/12</f>
        <v>4.8771132054975839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11.913659302093961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6.1378205128205137</v>
      </c>
      <c r="CT141" s="12">
        <f>IF('Données projet'!$A$140&gt;35,CT140+CS141-DB140,IF(A141&lt;'Données projet'!$A$140,$CQ$205^A141,IF(A141='Données projet'!$A$140,'Données projet'!$B$140,CT140+CS141-DB140)))</f>
        <v>314.73717948717905</v>
      </c>
      <c r="CU141" s="17">
        <f>CT141*VLOOKUP('Données projet'!$B$13,Paramètres!$A$1:$I$89,3,0)*VLOOKUP('Données projet'!$B$13,Paramètres!$A$1:$I$89,5,0)</f>
        <v>284.77419999999955</v>
      </c>
      <c r="CV141" s="13">
        <f t="shared" si="149"/>
        <v>67.974939670209011</v>
      </c>
      <c r="CW141" s="20">
        <f t="shared" si="121"/>
        <v>614.37141825894662</v>
      </c>
      <c r="CX141" s="59">
        <f t="shared" si="122"/>
        <v>907.70475159227999</v>
      </c>
      <c r="CY141" s="59">
        <f ca="1">AVERAGE(OFFSET($CX$3,0,0,'Données projet'!$E$13+1,1))-AVERAGE(OFFSET($H$3,0,0,'Données projet'!$E$13+1,1))</f>
        <v>318.01858325056168</v>
      </c>
      <c r="CZ141" s="59">
        <f t="shared" si="150"/>
        <v>119.46953274700951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46.578594668011526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46.578594668011526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65.052000000000248</v>
      </c>
      <c r="D142" s="11">
        <f t="shared" si="140"/>
        <v>18.439501591054739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644.49580175551216</v>
      </c>
      <c r="H142" s="67">
        <f t="shared" si="110"/>
        <v>438.74769860442075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200.15574321350221</v>
      </c>
      <c r="T142" s="59">
        <f t="shared" si="142"/>
        <v>200.70728852570426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27.136011805124532</v>
      </c>
      <c r="AA142" s="21">
        <f>EXP(-LN(2)/25)*AA141+(1-EXP(-LN(2)/25))/(LN(2)/25)*Calculateur!V142*Calculateur!X142*VLOOKUP('Données projet'!$B$9,Paramètres!$A$1:$I$89,3,0)*0.475*44/12</f>
        <v>4.0430724769456869</v>
      </c>
      <c r="AB142" s="21">
        <f>EXP(-LN(2)/2)*AB141+(1-EXP(-LN(2)/2))/(LN(2)/2)*V142*Y142*VLOOKUP('Données projet'!$B$9,Paramètres!$A$1:$I$89,3,0)*0.475*44/12</f>
        <v>4.1111246743279311E-11</v>
      </c>
      <c r="AC142" s="22">
        <f t="shared" si="111"/>
        <v>31.179084282111333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45.407317338461951</v>
      </c>
      <c r="AO142" s="59">
        <f t="shared" si="144"/>
        <v>149.88701606165358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3.3988543537052065</v>
      </c>
      <c r="AV142" s="21">
        <f>EXP(-LN(2)/25)*AV141+(1-EXP(-LN(2)/25))/(LN(2)/25)*Calculateur!AQ142*Calculateur!AS142*VLOOKUP('Données projet'!$B$10,Paramètres!$A$1:$I$89,3,0)*0.475*44/12</f>
        <v>0.28262568084472051</v>
      </c>
      <c r="AW142" s="21">
        <f>EXP(-LN(2)/2)*AW141+(1-EXP(-LN(2)/2))/(LN(2)/2)*AQ142*AT142*VLOOKUP('Données projet'!$B$10,Paramètres!$A$1:$I$89,3,0)*0.475*44/12</f>
        <v>1.3415255531411949E-17</v>
      </c>
      <c r="AX142" s="21">
        <f t="shared" si="114"/>
        <v>3.681480034549927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1.1368683772161603E-12</v>
      </c>
      <c r="BE142" s="13">
        <f>BD142*VLOOKUP('Données projet'!$B$11,Paramètres!$A$1:$I$89,3,0)*VLOOKUP('Données projet'!$B$11,Paramètres!$A$1:$I$89,5,0)</f>
        <v>5.3205440053716299E-13</v>
      </c>
      <c r="BF142" s="13">
        <f t="shared" si="145"/>
        <v>6.579711042921201E-12</v>
      </c>
      <c r="BG142" s="20">
        <f t="shared" si="115"/>
        <v>1.2386324814023317E-11</v>
      </c>
      <c r="BH142" s="59">
        <f t="shared" si="116"/>
        <v>293.33333333334571</v>
      </c>
      <c r="BI142" s="59">
        <f ca="1">AVERAGE(OFFSET($BH$3,0,0,'Données projet'!$E$11+1,1))-AVERAGE(OFFSET($H$3,0,0,'Données projet'!$E$11+1,1))</f>
        <v>183.67580045784649</v>
      </c>
      <c r="BJ142" s="59">
        <f t="shared" si="146"/>
        <v>121.08269345608767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124.42197173186534</v>
      </c>
      <c r="BQ142" s="21">
        <f>EXP(-LN(2)/25)*BQ141+(1-EXP(-LN(2)/25))/(LN(2)/25)*Calculateur!BL142*Calculateur!BN142*VLOOKUP('Données projet'!$B$11,Paramètres!$A$1:$I$89,3,0)*0.475*44/12</f>
        <v>27.888370782094405</v>
      </c>
      <c r="BR142" s="21">
        <f>EXP(-LN(2)/2)*BR141+(1-EXP(-LN(2)/2))/(LN(2)/2)*BL142*BO142*VLOOKUP('Données projet'!$B$11,Paramètres!$A$1:$I$89,3,0)*0.475*44/12</f>
        <v>1.1633851763393925</v>
      </c>
      <c r="BS142" s="22">
        <f t="shared" si="117"/>
        <v>153.47372769029914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212.00000000000009</v>
      </c>
      <c r="BZ142" s="13">
        <f>BY142*VLOOKUP('Données projet'!$B$12,Paramètres!$A$1:$I$89,3,0)*VLOOKUP('Données projet'!$B$12,Paramètres!$A$1:$I$89,5,0)</f>
        <v>185.20320000000009</v>
      </c>
      <c r="CA142" s="13">
        <f t="shared" si="147"/>
        <v>46.477875402099386</v>
      </c>
      <c r="CB142" s="20">
        <f t="shared" si="118"/>
        <v>403.5112063253232</v>
      </c>
      <c r="CC142" s="59">
        <f t="shared" si="119"/>
        <v>696.84453965865646</v>
      </c>
      <c r="CD142" s="59">
        <f ca="1">AVERAGE(OFFSET($CC$3,0,0,'Données projet'!$E$12+1,1))-AVERAGE(OFFSET($H$3,0,0,'Données projet'!$E$12+1,1))</f>
        <v>216.10252108537389</v>
      </c>
      <c r="CE142" s="59">
        <f t="shared" si="148"/>
        <v>196.91968622092054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6.8985637195114533</v>
      </c>
      <c r="CL142" s="21">
        <f>EXP(-LN(2)/25)*CL141+(1-EXP(-LN(2)/25))/(LN(2)/25)*Calculateur!CG142*Calculateur!CI142*VLOOKUP('Données projet'!$B$12,Paramètres!$A$1:$I$89,3,0)*0.475*44/12</f>
        <v>4.7437482884170157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11.642312007928469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6.1378205128205137</v>
      </c>
      <c r="CT142" s="12">
        <f>IF('Données projet'!$A$140&gt;35,CT141+CS142-DB141,IF(A142&lt;'Données projet'!$A$140,$CQ$205^A142,IF(A142='Données projet'!$A$140,'Données projet'!$B$140,CT141+CS142-DB141)))</f>
        <v>320.87499999999955</v>
      </c>
      <c r="CU142" s="17">
        <f>CT142*VLOOKUP('Données projet'!$B$13,Paramètres!$A$1:$I$89,3,0)*VLOOKUP('Données projet'!$B$13,Paramètres!$A$1:$I$89,5,0)</f>
        <v>290.3276999999996</v>
      </c>
      <c r="CV142" s="13">
        <f t="shared" si="149"/>
        <v>69.144926631604633</v>
      </c>
      <c r="CW142" s="20">
        <f t="shared" si="121"/>
        <v>626.08149138337728</v>
      </c>
      <c r="CX142" s="59">
        <f t="shared" si="122"/>
        <v>919.41482471671065</v>
      </c>
      <c r="CY142" s="59">
        <f ca="1">AVERAGE(OFFSET($CX$3,0,0,'Données projet'!$E$13+1,1))-AVERAGE(OFFSET($H$3,0,0,'Données projet'!$E$13+1,1))</f>
        <v>318.01858325056168</v>
      </c>
      <c r="CZ142" s="59">
        <f t="shared" si="150"/>
        <v>119.46953274700951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45.665216836709298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45.665216836709298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65.520000000000252</v>
      </c>
      <c r="D143" s="11">
        <f t="shared" si="140"/>
        <v>18.556669503136781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649.01288739263669</v>
      </c>
      <c r="H143" s="67">
        <f t="shared" si="110"/>
        <v>439.76686605129692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200.15574321350221</v>
      </c>
      <c r="T143" s="59">
        <f t="shared" si="142"/>
        <v>200.70728852570426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26.603891164958934</v>
      </c>
      <c r="AA143" s="21">
        <f>EXP(-LN(2)/25)*AA142+(1-EXP(-LN(2)/25))/(LN(2)/25)*Calculateur!V143*Calculateur!X143*VLOOKUP('Données projet'!$B$9,Paramètres!$A$1:$I$89,3,0)*0.475*44/12</f>
        <v>3.9325144474476663</v>
      </c>
      <c r="AB143" s="21">
        <f>EXP(-LN(2)/2)*AB142+(1-EXP(-LN(2)/2))/(LN(2)/2)*V143*Y143*VLOOKUP('Données projet'!$B$9,Paramètres!$A$1:$I$89,3,0)*0.475*44/12</f>
        <v>2.9070041355206171E-11</v>
      </c>
      <c r="AC143" s="22">
        <f t="shared" si="111"/>
        <v>30.536405612435669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45.407317338461951</v>
      </c>
      <c r="AO143" s="59">
        <f t="shared" si="144"/>
        <v>149.88701606165358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3.3322048929255019</v>
      </c>
      <c r="AV143" s="21">
        <f>EXP(-LN(2)/25)*AV142+(1-EXP(-LN(2)/25))/(LN(2)/25)*Calculateur!AQ143*Calculateur!AS143*VLOOKUP('Données projet'!$B$10,Paramètres!$A$1:$I$89,3,0)*0.475*44/12</f>
        <v>0.27489726673938303</v>
      </c>
      <c r="AW143" s="21">
        <f>EXP(-LN(2)/2)*AW142+(1-EXP(-LN(2)/2))/(LN(2)/2)*AQ143*AT143*VLOOKUP('Données projet'!$B$10,Paramètres!$A$1:$I$89,3,0)*0.475*44/12</f>
        <v>9.4860181576117302E-18</v>
      </c>
      <c r="AX143" s="21">
        <f t="shared" si="114"/>
        <v>3.6071021596648851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1.1368683772161603E-12</v>
      </c>
      <c r="BE143" s="13">
        <f>BD143*VLOOKUP('Données projet'!$B$11,Paramètres!$A$1:$I$89,3,0)*VLOOKUP('Données projet'!$B$11,Paramètres!$A$1:$I$89,5,0)</f>
        <v>5.3205440053716299E-13</v>
      </c>
      <c r="BF143" s="13">
        <f t="shared" si="145"/>
        <v>6.579711042921201E-12</v>
      </c>
      <c r="BG143" s="20">
        <f t="shared" si="115"/>
        <v>1.2386324814023317E-11</v>
      </c>
      <c r="BH143" s="59">
        <f t="shared" si="116"/>
        <v>293.33333333334571</v>
      </c>
      <c r="BI143" s="59">
        <f ca="1">AVERAGE(OFFSET($BH$3,0,0,'Données projet'!$E$11+1,1))-AVERAGE(OFFSET($H$3,0,0,'Données projet'!$E$11+1,1))</f>
        <v>183.67580045784649</v>
      </c>
      <c r="BJ143" s="59">
        <f t="shared" si="146"/>
        <v>121.08269345608767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121.9821327561127</v>
      </c>
      <c r="BQ143" s="21">
        <f>EXP(-LN(2)/25)*BQ142+(1-EXP(-LN(2)/25))/(LN(2)/25)*Calculateur!BL143*Calculateur!BN143*VLOOKUP('Données projet'!$B$11,Paramètres!$A$1:$I$89,3,0)*0.475*44/12</f>
        <v>27.125761816472355</v>
      </c>
      <c r="BR143" s="21">
        <f>EXP(-LN(2)/2)*BR142+(1-EXP(-LN(2)/2))/(LN(2)/2)*BL143*BO143*VLOOKUP('Données projet'!$B$11,Paramètres!$A$1:$I$89,3,0)*0.475*44/12</f>
        <v>0.82263754732149186</v>
      </c>
      <c r="BS143" s="22">
        <f t="shared" si="117"/>
        <v>149.93053211990656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212.00000000000009</v>
      </c>
      <c r="BZ143" s="13">
        <f>BY143*VLOOKUP('Données projet'!$B$12,Paramètres!$A$1:$I$89,3,0)*VLOOKUP('Données projet'!$B$12,Paramètres!$A$1:$I$89,5,0)</f>
        <v>185.20320000000009</v>
      </c>
      <c r="CA143" s="13">
        <f t="shared" si="147"/>
        <v>46.477875402099386</v>
      </c>
      <c r="CB143" s="20">
        <f t="shared" si="118"/>
        <v>403.5112063253232</v>
      </c>
      <c r="CC143" s="59">
        <f t="shared" si="119"/>
        <v>696.84453965865646</v>
      </c>
      <c r="CD143" s="59">
        <f ca="1">AVERAGE(OFFSET($CC$3,0,0,'Données projet'!$E$12+1,1))-AVERAGE(OFFSET($H$3,0,0,'Données projet'!$E$12+1,1))</f>
        <v>216.10252108537389</v>
      </c>
      <c r="CE143" s="59">
        <f t="shared" si="148"/>
        <v>196.91968622092054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6.7632870926802262</v>
      </c>
      <c r="CL143" s="21">
        <f>EXP(-LN(2)/25)*CL142+(1-EXP(-LN(2)/25))/(LN(2)/25)*Calculateur!CG143*Calculateur!CI143*VLOOKUP('Données projet'!$B$12,Paramètres!$A$1:$I$89,3,0)*0.475*44/12</f>
        <v>4.614030242007372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11.377317334687598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6.1378205128205137</v>
      </c>
      <c r="CT143" s="12">
        <f>IF('Données projet'!$A$140&gt;35,CT142+CS143-DB142,IF(A143&lt;'Données projet'!$A$140,$CQ$205^A143,IF(A143='Données projet'!$A$140,'Données projet'!$B$140,CT142+CS143-DB142)))</f>
        <v>327.01282051282004</v>
      </c>
      <c r="CU143" s="17">
        <f>CT143*VLOOKUP('Données projet'!$B$13,Paramètres!$A$1:$I$89,3,0)*VLOOKUP('Données projet'!$B$13,Paramètres!$A$1:$I$89,5,0)</f>
        <v>295.88119999999958</v>
      </c>
      <c r="CV143" s="13">
        <f t="shared" si="149"/>
        <v>70.31231129573932</v>
      </c>
      <c r="CW143" s="20">
        <f t="shared" si="121"/>
        <v>637.78703217341183</v>
      </c>
      <c r="CX143" s="59">
        <f t="shared" si="122"/>
        <v>931.1203655067452</v>
      </c>
      <c r="CY143" s="59">
        <f ca="1">AVERAGE(OFFSET($CX$3,0,0,'Données projet'!$E$13+1,1))-AVERAGE(OFFSET($H$3,0,0,'Données projet'!$E$13+1,1))</f>
        <v>318.01858325056168</v>
      </c>
      <c r="CZ143" s="59">
        <f t="shared" si="150"/>
        <v>119.46953274700951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44.769749787573438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44.769749787573438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65.988000000000255</v>
      </c>
      <c r="D144" s="11">
        <f t="shared" si="140"/>
        <v>18.673740038079515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653.5292213465807</v>
      </c>
      <c r="H144" s="67">
        <f t="shared" si="110"/>
        <v>440.78586389965557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200.15574321350221</v>
      </c>
      <c r="T144" s="59">
        <f t="shared" si="142"/>
        <v>200.70728852570426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26.082205085985439</v>
      </c>
      <c r="AA144" s="21">
        <f>EXP(-LN(2)/25)*AA143+(1-EXP(-LN(2)/25))/(LN(2)/25)*Calculateur!V144*Calculateur!X144*VLOOKUP('Données projet'!$B$9,Paramètres!$A$1:$I$89,3,0)*0.475*44/12</f>
        <v>3.8249796330802628</v>
      </c>
      <c r="AB144" s="21">
        <f>EXP(-LN(2)/2)*AB143+(1-EXP(-LN(2)/2))/(LN(2)/2)*V144*Y144*VLOOKUP('Données projet'!$B$9,Paramètres!$A$1:$I$89,3,0)*0.475*44/12</f>
        <v>2.0555623371639659E-11</v>
      </c>
      <c r="AC144" s="22">
        <f t="shared" si="111"/>
        <v>29.90718471908626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45.407317338461951</v>
      </c>
      <c r="AO144" s="59">
        <f t="shared" si="144"/>
        <v>149.88701606165358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3.2668623874195304</v>
      </c>
      <c r="AV144" s="21">
        <f>EXP(-LN(2)/25)*AV143+(1-EXP(-LN(2)/25))/(LN(2)/25)*Calculateur!AQ144*Calculateur!AS144*VLOOKUP('Données projet'!$B$10,Paramètres!$A$1:$I$89,3,0)*0.475*44/12</f>
        <v>0.26738018652417561</v>
      </c>
      <c r="AW144" s="21">
        <f>EXP(-LN(2)/2)*AW143+(1-EXP(-LN(2)/2))/(LN(2)/2)*AQ144*AT144*VLOOKUP('Données projet'!$B$10,Paramètres!$A$1:$I$89,3,0)*0.475*44/12</f>
        <v>6.7076277657059745E-18</v>
      </c>
      <c r="AX144" s="21">
        <f t="shared" si="114"/>
        <v>3.5342425739437058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1.1368683772161603E-12</v>
      </c>
      <c r="BE144" s="13">
        <f>BD144*VLOOKUP('Données projet'!$B$11,Paramètres!$A$1:$I$89,3,0)*VLOOKUP('Données projet'!$B$11,Paramètres!$A$1:$I$89,5,0)</f>
        <v>5.3205440053716299E-13</v>
      </c>
      <c r="BF144" s="13">
        <f t="shared" si="145"/>
        <v>6.579711042921201E-12</v>
      </c>
      <c r="BG144" s="20">
        <f t="shared" si="115"/>
        <v>1.2386324814023317E-11</v>
      </c>
      <c r="BH144" s="59">
        <f t="shared" si="116"/>
        <v>293.33333333334571</v>
      </c>
      <c r="BI144" s="59">
        <f ca="1">AVERAGE(OFFSET($BH$3,0,0,'Données projet'!$E$11+1,1))-AVERAGE(OFFSET($H$3,0,0,'Données projet'!$E$11+1,1))</f>
        <v>183.67580045784649</v>
      </c>
      <c r="BJ144" s="59">
        <f t="shared" si="146"/>
        <v>121.08269345608767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119.59013753451976</v>
      </c>
      <c r="BQ144" s="21">
        <f>EXP(-LN(2)/25)*BQ143+(1-EXP(-LN(2)/25))/(LN(2)/25)*Calculateur!BL144*Calculateur!BN144*VLOOKUP('Données projet'!$B$11,Paramètres!$A$1:$I$89,3,0)*0.475*44/12</f>
        <v>26.384006433119101</v>
      </c>
      <c r="BR144" s="21">
        <f>EXP(-LN(2)/2)*BR143+(1-EXP(-LN(2)/2))/(LN(2)/2)*BL144*BO144*VLOOKUP('Données projet'!$B$11,Paramètres!$A$1:$I$89,3,0)*0.475*44/12</f>
        <v>0.58169258816969627</v>
      </c>
      <c r="BS144" s="22">
        <f t="shared" si="117"/>
        <v>146.55583655580855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212.00000000000009</v>
      </c>
      <c r="BZ144" s="13">
        <f>BY144*VLOOKUP('Données projet'!$B$12,Paramètres!$A$1:$I$89,3,0)*VLOOKUP('Données projet'!$B$12,Paramètres!$A$1:$I$89,5,0)</f>
        <v>185.20320000000009</v>
      </c>
      <c r="CA144" s="13">
        <f t="shared" si="147"/>
        <v>46.477875402099386</v>
      </c>
      <c r="CB144" s="20">
        <f t="shared" si="118"/>
        <v>403.5112063253232</v>
      </c>
      <c r="CC144" s="59">
        <f t="shared" si="119"/>
        <v>696.84453965865646</v>
      </c>
      <c r="CD144" s="59">
        <f ca="1">AVERAGE(OFFSET($CC$3,0,0,'Données projet'!$E$12+1,1))-AVERAGE(OFFSET($H$3,0,0,'Données projet'!$E$12+1,1))</f>
        <v>216.10252108537389</v>
      </c>
      <c r="CE144" s="59">
        <f t="shared" si="148"/>
        <v>196.91968622092054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6.6306631579905639</v>
      </c>
      <c r="CL144" s="21">
        <f>EXP(-LN(2)/25)*CL143+(1-EXP(-LN(2)/25))/(LN(2)/25)*Calculateur!CG144*Calculateur!CI144*VLOOKUP('Données projet'!$B$12,Paramètres!$A$1:$I$89,3,0)*0.475*44/12</f>
        <v>4.4878593423983757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11.11852250038894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6.1378205128205137</v>
      </c>
      <c r="CT144" s="12">
        <f>IF('Données projet'!$A$140&gt;35,CT143+CS144-DB143,IF(A144&lt;'Données projet'!$A$140,$CQ$205^A144,IF(A144='Données projet'!$A$140,'Données projet'!$B$140,CT143+CS144-DB143)))</f>
        <v>333.15064102564054</v>
      </c>
      <c r="CU144" s="17">
        <f>CT144*VLOOKUP('Données projet'!$B$13,Paramètres!$A$1:$I$89,3,0)*VLOOKUP('Données projet'!$B$13,Paramètres!$A$1:$I$89,5,0)</f>
        <v>301.43469999999951</v>
      </c>
      <c r="CV144" s="13">
        <f t="shared" si="149"/>
        <v>71.477148138366914</v>
      </c>
      <c r="CW144" s="20">
        <f t="shared" si="121"/>
        <v>649.48813550765476</v>
      </c>
      <c r="CX144" s="59">
        <f t="shared" si="122"/>
        <v>942.82146884098802</v>
      </c>
      <c r="CY144" s="59">
        <f ca="1">AVERAGE(OFFSET($CX$3,0,0,'Données projet'!$E$13+1,1))-AVERAGE(OFFSET($H$3,0,0,'Données projet'!$E$13+1,1))</f>
        <v>318.01858325056168</v>
      </c>
      <c r="CZ144" s="59">
        <f t="shared" si="150"/>
        <v>119.46953274700951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43.891842301090165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43.891842301090165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66.456000000000259</v>
      </c>
      <c r="D145" s="11">
        <f t="shared" si="140"/>
        <v>18.790713966583677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658.04480956661291</v>
      </c>
      <c r="H145" s="67">
        <f t="shared" si="110"/>
        <v>441.80469349180032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200.15574321350221</v>
      </c>
      <c r="T145" s="59">
        <f t="shared" si="142"/>
        <v>200.70728852570426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25.570748952823525</v>
      </c>
      <c r="AA145" s="21">
        <f>EXP(-LN(2)/25)*AA144+(1-EXP(-LN(2)/25))/(LN(2)/25)*Calculateur!V145*Calculateur!X145*VLOOKUP('Données projet'!$B$9,Paramètres!$A$1:$I$89,3,0)*0.475*44/12</f>
        <v>3.7203853638667463</v>
      </c>
      <c r="AB145" s="21">
        <f>EXP(-LN(2)/2)*AB144+(1-EXP(-LN(2)/2))/(LN(2)/2)*V145*Y145*VLOOKUP('Données projet'!$B$9,Paramètres!$A$1:$I$89,3,0)*0.475*44/12</f>
        <v>1.4535020677603087E-11</v>
      </c>
      <c r="AC145" s="22">
        <f t="shared" si="111"/>
        <v>29.291134316704806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45.407317338461951</v>
      </c>
      <c r="AO145" s="59">
        <f t="shared" si="144"/>
        <v>149.88701606165358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3.2028012085915378</v>
      </c>
      <c r="AV145" s="21">
        <f>EXP(-LN(2)/25)*AV144+(1-EXP(-LN(2)/25))/(LN(2)/25)*Calculateur!AQ145*Calculateur!AS145*VLOOKUP('Données projet'!$B$10,Paramètres!$A$1:$I$89,3,0)*0.475*44/12</f>
        <v>0.26006866126275913</v>
      </c>
      <c r="AW145" s="21">
        <f>EXP(-LN(2)/2)*AW144+(1-EXP(-LN(2)/2))/(LN(2)/2)*AQ145*AT145*VLOOKUP('Données projet'!$B$10,Paramètres!$A$1:$I$89,3,0)*0.475*44/12</f>
        <v>4.7430090788058651E-18</v>
      </c>
      <c r="AX145" s="21">
        <f t="shared" si="114"/>
        <v>3.462869869854297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1.1368683772161603E-12</v>
      </c>
      <c r="BE145" s="13">
        <f>BD145*VLOOKUP('Données projet'!$B$11,Paramètres!$A$1:$I$89,3,0)*VLOOKUP('Données projet'!$B$11,Paramètres!$A$1:$I$89,5,0)</f>
        <v>5.3205440053716299E-13</v>
      </c>
      <c r="BF145" s="13">
        <f t="shared" si="145"/>
        <v>6.579711042921201E-12</v>
      </c>
      <c r="BG145" s="20">
        <f t="shared" si="115"/>
        <v>1.2386324814023317E-11</v>
      </c>
      <c r="BH145" s="59">
        <f t="shared" si="116"/>
        <v>293.33333333334571</v>
      </c>
      <c r="BI145" s="59">
        <f ca="1">AVERAGE(OFFSET($BH$3,0,0,'Données projet'!$E$11+1,1))-AVERAGE(OFFSET($H$3,0,0,'Données projet'!$E$11+1,1))</f>
        <v>183.67580045784649</v>
      </c>
      <c r="BJ145" s="59">
        <f t="shared" si="146"/>
        <v>121.08269345608767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117.24504788024922</v>
      </c>
      <c r="BQ145" s="21">
        <f>EXP(-LN(2)/25)*BQ144+(1-EXP(-LN(2)/25))/(LN(2)/25)*Calculateur!BL145*Calculateur!BN145*VLOOKUP('Données projet'!$B$11,Paramètres!$A$1:$I$89,3,0)*0.475*44/12</f>
        <v>25.662534389730862</v>
      </c>
      <c r="BR145" s="21">
        <f>EXP(-LN(2)/2)*BR144+(1-EXP(-LN(2)/2))/(LN(2)/2)*BL145*BO145*VLOOKUP('Données projet'!$B$11,Paramètres!$A$1:$I$89,3,0)*0.475*44/12</f>
        <v>0.41131877366074593</v>
      </c>
      <c r="BS145" s="22">
        <f t="shared" si="117"/>
        <v>143.31890104364084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212.00000000000009</v>
      </c>
      <c r="BZ145" s="13">
        <f>BY145*VLOOKUP('Données projet'!$B$12,Paramètres!$A$1:$I$89,3,0)*VLOOKUP('Données projet'!$B$12,Paramètres!$A$1:$I$89,5,0)</f>
        <v>185.20320000000009</v>
      </c>
      <c r="CA145" s="13">
        <f t="shared" si="147"/>
        <v>46.477875402099386</v>
      </c>
      <c r="CB145" s="20">
        <f t="shared" si="118"/>
        <v>403.5112063253232</v>
      </c>
      <c r="CC145" s="59">
        <f t="shared" si="119"/>
        <v>696.84453965865646</v>
      </c>
      <c r="CD145" s="59">
        <f ca="1">AVERAGE(OFFSET($CC$3,0,0,'Données projet'!$E$12+1,1))-AVERAGE(OFFSET($H$3,0,0,'Données projet'!$E$12+1,1))</f>
        <v>216.10252108537389</v>
      </c>
      <c r="CE145" s="59">
        <f t="shared" si="148"/>
        <v>196.91968622092054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6.5006398977675532</v>
      </c>
      <c r="CL145" s="21">
        <f>EXP(-LN(2)/25)*CL144+(1-EXP(-LN(2)/25))/(LN(2)/25)*Calculateur!CG145*Calculateur!CI145*VLOOKUP('Données projet'!$B$12,Paramètres!$A$1:$I$89,3,0)*0.475*44/12</f>
        <v>4.3651385926742261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10.86577849044178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6.1378205128205137</v>
      </c>
      <c r="CT145" s="12">
        <f>IF('Données projet'!$A$140&gt;35,CT144+CS145-DB144,IF(A145&lt;'Données projet'!$A$140,$CQ$205^A145,IF(A145='Données projet'!$A$140,'Données projet'!$B$140,CT144+CS145-DB144)))</f>
        <v>339.28846153846104</v>
      </c>
      <c r="CU145" s="17">
        <f>CT145*VLOOKUP('Données projet'!$B$13,Paramètres!$A$1:$I$89,3,0)*VLOOKUP('Données projet'!$B$13,Paramètres!$A$1:$I$89,5,0)</f>
        <v>306.98819999999955</v>
      </c>
      <c r="CV145" s="13">
        <f t="shared" si="149"/>
        <v>72.639489513059672</v>
      </c>
      <c r="CW145" s="20">
        <f t="shared" si="121"/>
        <v>661.18489256857811</v>
      </c>
      <c r="CX145" s="59">
        <f t="shared" si="122"/>
        <v>954.51822590191136</v>
      </c>
      <c r="CY145" s="59">
        <f ca="1">AVERAGE(OFFSET($CX$3,0,0,'Données projet'!$E$13+1,1))-AVERAGE(OFFSET($H$3,0,0,'Données projet'!$E$13+1,1))</f>
        <v>318.01858325056168</v>
      </c>
      <c r="CZ145" s="59">
        <f t="shared" si="150"/>
        <v>119.46953274700951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43.031150044946138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43.031150044946138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66.924000000000262</v>
      </c>
      <c r="D146" s="11">
        <f t="shared" si="140"/>
        <v>18.90759204786773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662.559657913367</v>
      </c>
      <c r="H146" s="67">
        <f t="shared" si="110"/>
        <v>442.82335615003672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200.15574321350221</v>
      </c>
      <c r="T146" s="59">
        <f t="shared" si="142"/>
        <v>200.70728852570426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25.06932216247548</v>
      </c>
      <c r="AA146" s="21">
        <f>EXP(-LN(2)/25)*AA145+(1-EXP(-LN(2)/25))/(LN(2)/25)*Calculateur!V146*Calculateur!X146*VLOOKUP('Données projet'!$B$9,Paramètres!$A$1:$I$89,3,0)*0.475*44/12</f>
        <v>3.6186512304452467</v>
      </c>
      <c r="AB146" s="21">
        <f>EXP(-LN(2)/2)*AB145+(1-EXP(-LN(2)/2))/(LN(2)/2)*V146*Y146*VLOOKUP('Données projet'!$B$9,Paramètres!$A$1:$I$89,3,0)*0.475*44/12</f>
        <v>1.0277811685819831E-11</v>
      </c>
      <c r="AC146" s="22">
        <f t="shared" si="111"/>
        <v>28.687973392931003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45.407317338461951</v>
      </c>
      <c r="AO146" s="59">
        <f t="shared" si="144"/>
        <v>149.88701606165358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3.1399962304069016</v>
      </c>
      <c r="AV146" s="21">
        <f>EXP(-LN(2)/25)*AV145+(1-EXP(-LN(2)/25))/(LN(2)/25)*Calculateur!AQ146*Calculateur!AS146*VLOOKUP('Données projet'!$B$10,Paramètres!$A$1:$I$89,3,0)*0.475*44/12</f>
        <v>0.2529570700441125</v>
      </c>
      <c r="AW146" s="21">
        <f>EXP(-LN(2)/2)*AW145+(1-EXP(-LN(2)/2))/(LN(2)/2)*AQ146*AT146*VLOOKUP('Données projet'!$B$10,Paramètres!$A$1:$I$89,3,0)*0.475*44/12</f>
        <v>3.3538138828529872E-18</v>
      </c>
      <c r="AX146" s="21">
        <f t="shared" si="114"/>
        <v>3.3929533004510142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1.1368683772161603E-12</v>
      </c>
      <c r="BE146" s="13">
        <f>BD146*VLOOKUP('Données projet'!$B$11,Paramètres!$A$1:$I$89,3,0)*VLOOKUP('Données projet'!$B$11,Paramètres!$A$1:$I$89,5,0)</f>
        <v>5.3205440053716299E-13</v>
      </c>
      <c r="BF146" s="13">
        <f t="shared" si="145"/>
        <v>6.579711042921201E-12</v>
      </c>
      <c r="BG146" s="20">
        <f t="shared" si="115"/>
        <v>1.2386324814023317E-11</v>
      </c>
      <c r="BH146" s="59">
        <f t="shared" si="116"/>
        <v>293.33333333334571</v>
      </c>
      <c r="BI146" s="59">
        <f ca="1">AVERAGE(OFFSET($BH$3,0,0,'Données projet'!$E$11+1,1))-AVERAGE(OFFSET($H$3,0,0,'Données projet'!$E$11+1,1))</f>
        <v>183.67580045784649</v>
      </c>
      <c r="BJ146" s="59">
        <f t="shared" si="146"/>
        <v>121.08269345608767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114.94594400373548</v>
      </c>
      <c r="BQ146" s="21">
        <f>EXP(-LN(2)/25)*BQ145+(1-EXP(-LN(2)/25))/(LN(2)/25)*Calculateur!BL146*Calculateur!BN146*VLOOKUP('Données projet'!$B$11,Paramètres!$A$1:$I$89,3,0)*0.475*44/12</f>
        <v>24.96079103730964</v>
      </c>
      <c r="BR146" s="21">
        <f>EXP(-LN(2)/2)*BR145+(1-EXP(-LN(2)/2))/(LN(2)/2)*BL146*BO146*VLOOKUP('Données projet'!$B$11,Paramètres!$A$1:$I$89,3,0)*0.475*44/12</f>
        <v>0.29084629408484813</v>
      </c>
      <c r="BS146" s="22">
        <f t="shared" si="117"/>
        <v>140.19758133512997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212.00000000000009</v>
      </c>
      <c r="BZ146" s="13">
        <f>BY146*VLOOKUP('Données projet'!$B$12,Paramètres!$A$1:$I$89,3,0)*VLOOKUP('Données projet'!$B$12,Paramètres!$A$1:$I$89,5,0)</f>
        <v>185.20320000000009</v>
      </c>
      <c r="CA146" s="13">
        <f t="shared" si="147"/>
        <v>46.477875402099386</v>
      </c>
      <c r="CB146" s="20">
        <f t="shared" si="118"/>
        <v>403.5112063253232</v>
      </c>
      <c r="CC146" s="59">
        <f t="shared" si="119"/>
        <v>696.84453965865646</v>
      </c>
      <c r="CD146" s="59">
        <f ca="1">AVERAGE(OFFSET($CC$3,0,0,'Données projet'!$E$12+1,1))-AVERAGE(OFFSET($H$3,0,0,'Données projet'!$E$12+1,1))</f>
        <v>216.10252108537389</v>
      </c>
      <c r="CE146" s="59">
        <f t="shared" si="148"/>
        <v>196.91968622092054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6.3731663143711579</v>
      </c>
      <c r="CL146" s="21">
        <f>EXP(-LN(2)/25)*CL145+(1-EXP(-LN(2)/25))/(LN(2)/25)*Calculateur!CG146*Calculateur!CI146*VLOOKUP('Données projet'!$B$12,Paramètres!$A$1:$I$89,3,0)*0.475*44/12</f>
        <v>4.2457736483048878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10.618939962676045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6.1378205128205137</v>
      </c>
      <c r="CT146" s="12">
        <f>IF('Données projet'!$A$140&gt;35,CT145+CS146-DB145,IF(A146&lt;'Données projet'!$A$140,$CQ$205^A146,IF(A146='Données projet'!$A$140,'Données projet'!$B$140,CT145+CS146-DB145)))</f>
        <v>345.42628205128153</v>
      </c>
      <c r="CU146" s="17">
        <f>CT146*VLOOKUP('Données projet'!$B$13,Paramètres!$A$1:$I$89,3,0)*VLOOKUP('Données projet'!$B$13,Paramètres!$A$1:$I$89,5,0)</f>
        <v>312.54169999999954</v>
      </c>
      <c r="CV146" s="13">
        <f t="shared" si="149"/>
        <v>73.79938577074968</v>
      </c>
      <c r="CW146" s="20">
        <f t="shared" si="121"/>
        <v>672.87739105072149</v>
      </c>
      <c r="CX146" s="59">
        <f t="shared" si="122"/>
        <v>966.21072438405486</v>
      </c>
      <c r="CY146" s="59">
        <f ca="1">AVERAGE(OFFSET($CX$3,0,0,'Données projet'!$E$13+1,1))-AVERAGE(OFFSET($H$3,0,0,'Données projet'!$E$13+1,1))</f>
        <v>318.01858325056168</v>
      </c>
      <c r="CZ146" s="59">
        <f t="shared" si="150"/>
        <v>119.46953274700951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42.187335438974657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42.187335438974657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67.392000000000266</v>
      </c>
      <c r="D147" s="11">
        <f t="shared" si="140"/>
        <v>19.024375029918055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667.07377216077305</v>
      </c>
      <c r="H147" s="67">
        <f t="shared" si="110"/>
        <v>443.84185317710774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200.15574321350221</v>
      </c>
      <c r="T147" s="59">
        <f t="shared" si="142"/>
        <v>200.70728852570426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24.577728045646015</v>
      </c>
      <c r="AA147" s="21">
        <f>EXP(-LN(2)/25)*AA146+(1-EXP(-LN(2)/25))/(LN(2)/25)*Calculateur!V147*Calculateur!X147*VLOOKUP('Données projet'!$B$9,Paramètres!$A$1:$I$89,3,0)*0.475*44/12</f>
        <v>3.5196990222521238</v>
      </c>
      <c r="AB147" s="21">
        <f>EXP(-LN(2)/2)*AB146+(1-EXP(-LN(2)/2))/(LN(2)/2)*V147*Y147*VLOOKUP('Données projet'!$B$9,Paramètres!$A$1:$I$89,3,0)*0.475*44/12</f>
        <v>7.2675103388015451E-12</v>
      </c>
      <c r="AC147" s="22">
        <f t="shared" si="111"/>
        <v>28.097427067905407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45.407317338461951</v>
      </c>
      <c r="AO147" s="59">
        <f t="shared" si="144"/>
        <v>149.88701606165358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3.0784228195372116</v>
      </c>
      <c r="AV147" s="21">
        <f>EXP(-LN(2)/25)*AV146+(1-EXP(-LN(2)/25))/(LN(2)/25)*Calculateur!AQ147*Calculateur!AS147*VLOOKUP('Données projet'!$B$10,Paramètres!$A$1:$I$89,3,0)*0.475*44/12</f>
        <v>0.24603994566132206</v>
      </c>
      <c r="AW147" s="21">
        <f>EXP(-LN(2)/2)*AW146+(1-EXP(-LN(2)/2))/(LN(2)/2)*AQ147*AT147*VLOOKUP('Données projet'!$B$10,Paramètres!$A$1:$I$89,3,0)*0.475*44/12</f>
        <v>2.3715045394029325E-18</v>
      </c>
      <c r="AX147" s="21">
        <f t="shared" si="114"/>
        <v>3.3244627651985339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1.1368683772161603E-12</v>
      </c>
      <c r="BE147" s="13">
        <f>BD147*VLOOKUP('Données projet'!$B$11,Paramètres!$A$1:$I$89,3,0)*VLOOKUP('Données projet'!$B$11,Paramètres!$A$1:$I$89,5,0)</f>
        <v>5.3205440053716299E-13</v>
      </c>
      <c r="BF147" s="13">
        <f t="shared" si="145"/>
        <v>6.579711042921201E-12</v>
      </c>
      <c r="BG147" s="20">
        <f t="shared" si="115"/>
        <v>1.2386324814023317E-11</v>
      </c>
      <c r="BH147" s="59">
        <f t="shared" si="116"/>
        <v>293.33333333334571</v>
      </c>
      <c r="BI147" s="59">
        <f ca="1">AVERAGE(OFFSET($BH$3,0,0,'Données projet'!$E$11+1,1))-AVERAGE(OFFSET($H$3,0,0,'Données projet'!$E$11+1,1))</f>
        <v>183.67580045784649</v>
      </c>
      <c r="BJ147" s="59">
        <f t="shared" si="146"/>
        <v>121.08269345608767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112.69192415192526</v>
      </c>
      <c r="BQ147" s="21">
        <f>EXP(-LN(2)/25)*BQ146+(1-EXP(-LN(2)/25))/(LN(2)/25)*Calculateur!BL147*Calculateur!BN147*VLOOKUP('Données projet'!$B$11,Paramètres!$A$1:$I$89,3,0)*0.475*44/12</f>
        <v>24.278236893763456</v>
      </c>
      <c r="BR147" s="21">
        <f>EXP(-LN(2)/2)*BR146+(1-EXP(-LN(2)/2))/(LN(2)/2)*BL147*BO147*VLOOKUP('Données projet'!$B$11,Paramètres!$A$1:$I$89,3,0)*0.475*44/12</f>
        <v>0.20565938683037296</v>
      </c>
      <c r="BS147" s="22">
        <f t="shared" si="117"/>
        <v>137.17582043251909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212.00000000000009</v>
      </c>
      <c r="BZ147" s="13">
        <f>BY147*VLOOKUP('Données projet'!$B$12,Paramètres!$A$1:$I$89,3,0)*VLOOKUP('Données projet'!$B$12,Paramètres!$A$1:$I$89,5,0)</f>
        <v>185.20320000000009</v>
      </c>
      <c r="CA147" s="13">
        <f t="shared" si="147"/>
        <v>46.477875402099386</v>
      </c>
      <c r="CB147" s="20">
        <f t="shared" si="118"/>
        <v>403.5112063253232</v>
      </c>
      <c r="CC147" s="59">
        <f t="shared" si="119"/>
        <v>696.84453965865646</v>
      </c>
      <c r="CD147" s="59">
        <f ca="1">AVERAGE(OFFSET($CC$3,0,0,'Données projet'!$E$12+1,1))-AVERAGE(OFFSET($H$3,0,0,'Données projet'!$E$12+1,1))</f>
        <v>216.10252108537389</v>
      </c>
      <c r="CE147" s="59">
        <f t="shared" si="148"/>
        <v>196.91968622092054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6.2481924101939574</v>
      </c>
      <c r="CL147" s="21">
        <f>EXP(-LN(2)/25)*CL146+(1-EXP(-LN(2)/25))/(LN(2)/25)*Calculateur!CG147*Calculateur!CI147*VLOOKUP('Données projet'!$B$12,Paramètres!$A$1:$I$89,3,0)*0.475*44/12</f>
        <v>4.1296727446164585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10.377865154810415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351.5641025641026</v>
      </c>
      <c r="CR147" s="12">
        <f>VLOOKUP(A147,'Données projet'!$A$139:$I$159,9,0)</f>
        <v>6.1378205128205137</v>
      </c>
      <c r="CS147" s="12">
        <f t="array" ref="CS147">INDEX(CR:CR,MIN(IF(ISNUMBER(CR147:CR343),ROW(CR147:CR343),"")))</f>
        <v>6.1378205128205137</v>
      </c>
      <c r="CT147" s="12">
        <f>IF('Données projet'!$A$140&gt;35,CT146+CS147-DB146,IF(A147&lt;'Données projet'!$A$140,$CQ$205^A147,IF(A147='Données projet'!$A$140,'Données projet'!$B$140,CT146+CS147-DB146)))</f>
        <v>351.56410256410203</v>
      </c>
      <c r="CU147" s="17">
        <f>CT147*VLOOKUP('Données projet'!$B$13,Paramètres!$A$1:$I$89,3,0)*VLOOKUP('Données projet'!$B$13,Paramètres!$A$1:$I$89,5,0)</f>
        <v>318.09519999999947</v>
      </c>
      <c r="CV147" s="13">
        <f t="shared" si="149"/>
        <v>74.956885370533442</v>
      </c>
      <c r="CW147" s="20">
        <f t="shared" si="121"/>
        <v>684.56571535367812</v>
      </c>
      <c r="CX147" s="59">
        <f t="shared" si="122"/>
        <v>977.89904868701137</v>
      </c>
      <c r="CY147" s="59">
        <f ca="1">AVERAGE(OFFSET($CX$3,0,0,'Données projet'!$E$13+1,1))-AVERAGE(OFFSET($H$3,0,0,'Données projet'!$E$13+1,1))</f>
        <v>318.01858325056168</v>
      </c>
      <c r="CZ147" s="59">
        <f t="shared" si="150"/>
        <v>119.46953274700951</v>
      </c>
      <c r="DA147" s="15">
        <f>IF(ISNA(VLOOKUP(A147,'Données projet'!$A$139:$I$159,3,0)),0,VLOOKUP(A147,'Données projet'!$A$139:$I$159,3,0))</f>
        <v>12</v>
      </c>
      <c r="DB147" s="15">
        <f>IF(ISNA(VLOOKUP(A147,'Données projet'!$A$139:$I$159,4,0)),0,VLOOKUP(A147,'Données projet'!$A$139:$I$159,4,0))</f>
        <v>42.224358974358978</v>
      </c>
      <c r="DC147" s="16">
        <f>IF(ISNA(VLOOKUP(A147,'Données projet'!$A$139:$I$159,5,0)),0%,VLOOKUP(A147,'Données projet'!$A$139:$I$159,5,0)*VLOOKUP('Données projet'!$B$13,Paramètres!$A$1:$I$89,7,0))</f>
        <v>0.38700000000000001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57.704646289907245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57.704646289907245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67.860000000000269</v>
      </c>
      <c r="D148" s="11">
        <f t="shared" si="140"/>
        <v>19.141063649731827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671.58715799793197</v>
      </c>
      <c r="H148" s="67">
        <f t="shared" si="110"/>
        <v>444.86018585661668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200.15574321350221</v>
      </c>
      <c r="T148" s="59">
        <f t="shared" si="142"/>
        <v>200.70728852570426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24.095773789604774</v>
      </c>
      <c r="AA148" s="21">
        <f>EXP(-LN(2)/25)*AA147+(1-EXP(-LN(2)/25))/(LN(2)/25)*Calculateur!V148*Calculateur!X148*VLOOKUP('Données projet'!$B$9,Paramètres!$A$1:$I$89,3,0)*0.475*44/12</f>
        <v>3.4234526673957122</v>
      </c>
      <c r="AB148" s="21">
        <f>EXP(-LN(2)/2)*AB147+(1-EXP(-LN(2)/2))/(LN(2)/2)*V148*Y148*VLOOKUP('Données projet'!$B$9,Paramètres!$A$1:$I$89,3,0)*0.475*44/12</f>
        <v>5.1389058429099163E-12</v>
      </c>
      <c r="AC148" s="22">
        <f t="shared" si="111"/>
        <v>27.519226457005622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45.407317338461951</v>
      </c>
      <c r="AO148" s="59">
        <f t="shared" si="144"/>
        <v>149.88701606165358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3.0180568256986042</v>
      </c>
      <c r="AV148" s="21">
        <f>EXP(-LN(2)/25)*AV147+(1-EXP(-LN(2)/25))/(LN(2)/25)*Calculateur!AQ148*Calculateur!AS148*VLOOKUP('Données projet'!$B$10,Paramètres!$A$1:$I$89,3,0)*0.475*44/12</f>
        <v>0.2393119704085348</v>
      </c>
      <c r="AW148" s="21">
        <f>EXP(-LN(2)/2)*AW147+(1-EXP(-LN(2)/2))/(LN(2)/2)*AQ148*AT148*VLOOKUP('Données projet'!$B$10,Paramètres!$A$1:$I$89,3,0)*0.475*44/12</f>
        <v>1.6769069414264936E-18</v>
      </c>
      <c r="AX148" s="21">
        <f t="shared" si="114"/>
        <v>3.2573687961071389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1.1368683772161603E-12</v>
      </c>
      <c r="BE148" s="13">
        <f>BD148*VLOOKUP('Données projet'!$B$11,Paramètres!$A$1:$I$89,3,0)*VLOOKUP('Données projet'!$B$11,Paramètres!$A$1:$I$89,5,0)</f>
        <v>5.3205440053716299E-13</v>
      </c>
      <c r="BF148" s="13">
        <f t="shared" si="145"/>
        <v>6.579711042921201E-12</v>
      </c>
      <c r="BG148" s="20">
        <f t="shared" si="115"/>
        <v>1.2386324814023317E-11</v>
      </c>
      <c r="BH148" s="59">
        <f t="shared" si="116"/>
        <v>293.33333333334571</v>
      </c>
      <c r="BI148" s="59">
        <f ca="1">AVERAGE(OFFSET($BH$3,0,0,'Données projet'!$E$11+1,1))-AVERAGE(OFFSET($H$3,0,0,'Données projet'!$E$11+1,1))</f>
        <v>183.67580045784649</v>
      </c>
      <c r="BJ148" s="59">
        <f t="shared" si="146"/>
        <v>121.08269345608767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110.4821042545927</v>
      </c>
      <c r="BQ148" s="21">
        <f>EXP(-LN(2)/25)*BQ147+(1-EXP(-LN(2)/25))/(LN(2)/25)*Calculateur!BL148*Calculateur!BN148*VLOOKUP('Données projet'!$B$11,Paramètres!$A$1:$I$89,3,0)*0.475*44/12</f>
        <v>23.614347229166505</v>
      </c>
      <c r="BR148" s="21">
        <f>EXP(-LN(2)/2)*BR147+(1-EXP(-LN(2)/2))/(LN(2)/2)*BL148*BO148*VLOOKUP('Données projet'!$B$11,Paramètres!$A$1:$I$89,3,0)*0.475*44/12</f>
        <v>0.14542314704242407</v>
      </c>
      <c r="BS148" s="22">
        <f t="shared" si="117"/>
        <v>134.24187463080165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212.00000000000009</v>
      </c>
      <c r="BZ148" s="13">
        <f>BY148*VLOOKUP('Données projet'!$B$12,Paramètres!$A$1:$I$89,3,0)*VLOOKUP('Données projet'!$B$12,Paramètres!$A$1:$I$89,5,0)</f>
        <v>185.20320000000009</v>
      </c>
      <c r="CA148" s="13">
        <f t="shared" si="147"/>
        <v>46.477875402099386</v>
      </c>
      <c r="CB148" s="20">
        <f t="shared" si="118"/>
        <v>403.5112063253232</v>
      </c>
      <c r="CC148" s="59">
        <f t="shared" si="119"/>
        <v>696.84453965865646</v>
      </c>
      <c r="CD148" s="59">
        <f ca="1">AVERAGE(OFFSET($CC$3,0,0,'Données projet'!$E$12+1,1))-AVERAGE(OFFSET($H$3,0,0,'Données projet'!$E$12+1,1))</f>
        <v>216.10252108537389</v>
      </c>
      <c r="CE148" s="59">
        <f t="shared" si="148"/>
        <v>196.91968622092054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6.1256691680511173</v>
      </c>
      <c r="CL148" s="21">
        <f>EXP(-LN(2)/25)*CL147+(1-EXP(-LN(2)/25))/(LN(2)/25)*Calculateur!CG148*Calculateur!CI148*VLOOKUP('Données projet'!$B$12,Paramètres!$A$1:$I$89,3,0)*0.475*44/12</f>
        <v>4.0167466262448706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10.142415794295989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6.2499999999999947</v>
      </c>
      <c r="CT148" s="12">
        <f>IF('Données projet'!$A$140&gt;35,CT147+CS148-DB147,IF(A148&lt;'Données projet'!$A$140,$CQ$205^A148,IF(A148='Données projet'!$A$140,'Données projet'!$B$140,CT147+CS148-DB147)))</f>
        <v>315.58974358974308</v>
      </c>
      <c r="CU148" s="17">
        <f>CT148*VLOOKUP('Données projet'!$B$13,Paramètres!$A$1:$I$89,3,0)*VLOOKUP('Données projet'!$B$13,Paramètres!$A$1:$I$89,5,0)</f>
        <v>285.54559999999952</v>
      </c>
      <c r="CV148" s="13">
        <f t="shared" si="149"/>
        <v>68.137612539795967</v>
      </c>
      <c r="CW148" s="20">
        <f t="shared" si="121"/>
        <v>615.99826184014375</v>
      </c>
      <c r="CX148" s="59">
        <f t="shared" si="122"/>
        <v>909.33159517347713</v>
      </c>
      <c r="CY148" s="59">
        <f ca="1">AVERAGE(OFFSET($CX$3,0,0,'Données projet'!$E$13+1,1))-AVERAGE(OFFSET($H$3,0,0,'Données projet'!$E$13+1,1))</f>
        <v>318.01858325056168</v>
      </c>
      <c r="CZ148" s="59">
        <f t="shared" si="150"/>
        <v>119.46953274700951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56.573093372521051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56.573093372521051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68.328000000000273</v>
      </c>
      <c r="D149" s="11">
        <f t="shared" si="140"/>
        <v>19.257658633553223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676.09982103093932</v>
      </c>
      <c r="H149" s="67">
        <f t="shared" si="110"/>
        <v>445.87835545343899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200.15574321350221</v>
      </c>
      <c r="T149" s="59">
        <f t="shared" si="142"/>
        <v>200.70728852570426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23.623270362561431</v>
      </c>
      <c r="AA149" s="21">
        <f>EXP(-LN(2)/25)*AA148+(1-EXP(-LN(2)/25))/(LN(2)/25)*Calculateur!V149*Calculateur!X149*VLOOKUP('Données projet'!$B$9,Paramètres!$A$1:$I$89,3,0)*0.475*44/12</f>
        <v>3.3298381741742249</v>
      </c>
      <c r="AB149" s="21">
        <f>EXP(-LN(2)/2)*AB148+(1-EXP(-LN(2)/2))/(LN(2)/2)*V149*Y149*VLOOKUP('Données projet'!$B$9,Paramètres!$A$1:$I$89,3,0)*0.475*44/12</f>
        <v>3.6337551694007729E-12</v>
      </c>
      <c r="AC149" s="22">
        <f t="shared" si="111"/>
        <v>26.95310853673929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45.407317338461951</v>
      </c>
      <c r="AO149" s="59">
        <f t="shared" si="144"/>
        <v>149.88701606165358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2.9588745721795511</v>
      </c>
      <c r="AV149" s="21">
        <f>EXP(-LN(2)/25)*AV148+(1-EXP(-LN(2)/25))/(LN(2)/25)*Calculateur!AQ149*Calculateur!AS149*VLOOKUP('Données projet'!$B$10,Paramètres!$A$1:$I$89,3,0)*0.475*44/12</f>
        <v>0.23276797199284385</v>
      </c>
      <c r="AW149" s="21">
        <f>EXP(-LN(2)/2)*AW148+(1-EXP(-LN(2)/2))/(LN(2)/2)*AQ149*AT149*VLOOKUP('Données projet'!$B$10,Paramètres!$A$1:$I$89,3,0)*0.475*44/12</f>
        <v>1.1857522697014663E-18</v>
      </c>
      <c r="AX149" s="21">
        <f t="shared" si="114"/>
        <v>3.191642544172395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1.1368683772161603E-12</v>
      </c>
      <c r="BE149" s="13">
        <f>BD149*VLOOKUP('Données projet'!$B$11,Paramètres!$A$1:$I$89,3,0)*VLOOKUP('Données projet'!$B$11,Paramètres!$A$1:$I$89,5,0)</f>
        <v>5.3205440053716299E-13</v>
      </c>
      <c r="BF149" s="13">
        <f t="shared" si="145"/>
        <v>6.579711042921201E-12</v>
      </c>
      <c r="BG149" s="20">
        <f t="shared" si="115"/>
        <v>1.2386324814023317E-11</v>
      </c>
      <c r="BH149" s="59">
        <f t="shared" si="116"/>
        <v>293.33333333334571</v>
      </c>
      <c r="BI149" s="59">
        <f ca="1">AVERAGE(OFFSET($BH$3,0,0,'Données projet'!$E$11+1,1))-AVERAGE(OFFSET($H$3,0,0,'Données projet'!$E$11+1,1))</f>
        <v>183.67580045784649</v>
      </c>
      <c r="BJ149" s="59">
        <f t="shared" si="146"/>
        <v>121.08269345608767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108.31561757758978</v>
      </c>
      <c r="BQ149" s="21">
        <f>EXP(-LN(2)/25)*BQ148+(1-EXP(-LN(2)/25))/(LN(2)/25)*Calculateur!BL149*Calculateur!BN149*VLOOKUP('Données projet'!$B$11,Paramètres!$A$1:$I$89,3,0)*0.475*44/12</f>
        <v>22.968611662360399</v>
      </c>
      <c r="BR149" s="21">
        <f>EXP(-LN(2)/2)*BR148+(1-EXP(-LN(2)/2))/(LN(2)/2)*BL149*BO149*VLOOKUP('Données projet'!$B$11,Paramètres!$A$1:$I$89,3,0)*0.475*44/12</f>
        <v>0.10282969341518648</v>
      </c>
      <c r="BS149" s="22">
        <f t="shared" si="117"/>
        <v>131.38705893336535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212.00000000000009</v>
      </c>
      <c r="BZ149" s="13">
        <f>BY149*VLOOKUP('Données projet'!$B$12,Paramètres!$A$1:$I$89,3,0)*VLOOKUP('Données projet'!$B$12,Paramètres!$A$1:$I$89,5,0)</f>
        <v>185.20320000000009</v>
      </c>
      <c r="CA149" s="13">
        <f t="shared" si="147"/>
        <v>46.477875402099386</v>
      </c>
      <c r="CB149" s="20">
        <f t="shared" si="118"/>
        <v>403.5112063253232</v>
      </c>
      <c r="CC149" s="59">
        <f t="shared" si="119"/>
        <v>696.84453965865646</v>
      </c>
      <c r="CD149" s="59">
        <f ca="1">AVERAGE(OFFSET($CC$3,0,0,'Données projet'!$E$12+1,1))-AVERAGE(OFFSET($H$3,0,0,'Données projet'!$E$12+1,1))</f>
        <v>216.10252108537389</v>
      </c>
      <c r="CE149" s="59">
        <f t="shared" si="148"/>
        <v>196.91968622092054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6.0055485319548998</v>
      </c>
      <c r="CL149" s="21">
        <f>EXP(-LN(2)/25)*CL148+(1-EXP(-LN(2)/25))/(LN(2)/25)*Calculateur!CG149*Calculateur!CI149*VLOOKUP('Données projet'!$B$12,Paramètres!$A$1:$I$89,3,0)*0.475*44/12</f>
        <v>3.9069084785186798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9.9124570104735792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6.2499999999999947</v>
      </c>
      <c r="CT149" s="12">
        <f>IF('Données projet'!$A$140&gt;35,CT148+CS149-DB148,IF(A149&lt;'Données projet'!$A$140,$CQ$205^A149,IF(A149='Données projet'!$A$140,'Données projet'!$B$140,CT148+CS149-DB148)))</f>
        <v>321.83974358974308</v>
      </c>
      <c r="CU149" s="17">
        <f>CT149*VLOOKUP('Données projet'!$B$13,Paramètres!$A$1:$I$89,3,0)*VLOOKUP('Données projet'!$B$13,Paramètres!$A$1:$I$89,5,0)</f>
        <v>291.20059999999955</v>
      </c>
      <c r="CV149" s="13">
        <f t="shared" si="149"/>
        <v>69.328587287431986</v>
      </c>
      <c r="CW149" s="20">
        <f t="shared" si="121"/>
        <v>627.92166785894335</v>
      </c>
      <c r="CX149" s="59">
        <f t="shared" si="122"/>
        <v>921.25500119227672</v>
      </c>
      <c r="CY149" s="59">
        <f ca="1">AVERAGE(OFFSET($CX$3,0,0,'Données projet'!$E$13+1,1))-AVERAGE(OFFSET($H$3,0,0,'Données projet'!$E$13+1,1))</f>
        <v>318.01858325056168</v>
      </c>
      <c r="CZ149" s="59">
        <f t="shared" si="150"/>
        <v>119.46953274700951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55.463729517665669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55.463729517665669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68.796000000000276</v>
      </c>
      <c r="D150" s="11">
        <f t="shared" si="140"/>
        <v>19.374160697102795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680.61176678465529</v>
      </c>
      <c r="H150" s="67">
        <f t="shared" si="110"/>
        <v>446.89636321412115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200.15574321350221</v>
      </c>
      <c r="T150" s="59">
        <f t="shared" si="142"/>
        <v>200.70728852570426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23.160032439523775</v>
      </c>
      <c r="AA150" s="21">
        <f>EXP(-LN(2)/25)*AA149+(1-EXP(-LN(2)/25))/(LN(2)/25)*Calculateur!V150*Calculateur!X150*VLOOKUP('Données projet'!$B$9,Paramètres!$A$1:$I$89,3,0)*0.475*44/12</f>
        <v>3.2387835741928517</v>
      </c>
      <c r="AB150" s="21">
        <f>EXP(-LN(2)/2)*AB149+(1-EXP(-LN(2)/2))/(LN(2)/2)*V150*Y150*VLOOKUP('Données projet'!$B$9,Paramètres!$A$1:$I$89,3,0)*0.475*44/12</f>
        <v>2.5694529214549585E-12</v>
      </c>
      <c r="AC150" s="22">
        <f t="shared" si="111"/>
        <v>26.398816013719195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45.407317338461951</v>
      </c>
      <c r="AO150" s="59">
        <f t="shared" si="144"/>
        <v>149.88701606165358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2.9008528465543963</v>
      </c>
      <c r="AV150" s="21">
        <f>EXP(-LN(2)/25)*AV149+(1-EXP(-LN(2)/25))/(LN(2)/25)*Calculateur!AQ150*Calculateur!AS150*VLOOKUP('Données projet'!$B$10,Paramètres!$A$1:$I$89,3,0)*0.475*44/12</f>
        <v>0.22640291955796388</v>
      </c>
      <c r="AW150" s="21">
        <f>EXP(-LN(2)/2)*AW149+(1-EXP(-LN(2)/2))/(LN(2)/2)*AQ150*AT150*VLOOKUP('Données projet'!$B$10,Paramètres!$A$1:$I$89,3,0)*0.475*44/12</f>
        <v>8.3845347071324681E-19</v>
      </c>
      <c r="AX150" s="21">
        <f t="shared" si="114"/>
        <v>3.1272557661123601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1.1368683772161603E-12</v>
      </c>
      <c r="BE150" s="13">
        <f>BD150*VLOOKUP('Données projet'!$B$11,Paramètres!$A$1:$I$89,3,0)*VLOOKUP('Données projet'!$B$11,Paramètres!$A$1:$I$89,5,0)</f>
        <v>5.3205440053716299E-13</v>
      </c>
      <c r="BF150" s="13">
        <f t="shared" si="145"/>
        <v>6.579711042921201E-12</v>
      </c>
      <c r="BG150" s="20">
        <f t="shared" si="115"/>
        <v>1.2386324814023317E-11</v>
      </c>
      <c r="BH150" s="59">
        <f t="shared" si="116"/>
        <v>293.33333333334571</v>
      </c>
      <c r="BI150" s="59">
        <f ca="1">AVERAGE(OFFSET($BH$3,0,0,'Données projet'!$E$11+1,1))-AVERAGE(OFFSET($H$3,0,0,'Données projet'!$E$11+1,1))</f>
        <v>183.67580045784649</v>
      </c>
      <c r="BJ150" s="59">
        <f t="shared" si="146"/>
        <v>121.08269345608767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106.19161438289649</v>
      </c>
      <c r="BQ150" s="21">
        <f>EXP(-LN(2)/25)*BQ149+(1-EXP(-LN(2)/25))/(LN(2)/25)*Calculateur!BL150*Calculateur!BN150*VLOOKUP('Données projet'!$B$11,Paramètres!$A$1:$I$89,3,0)*0.475*44/12</f>
        <v>22.340533768586361</v>
      </c>
      <c r="BR150" s="21">
        <f>EXP(-LN(2)/2)*BR149+(1-EXP(-LN(2)/2))/(LN(2)/2)*BL150*BO150*VLOOKUP('Données projet'!$B$11,Paramètres!$A$1:$I$89,3,0)*0.475*44/12</f>
        <v>7.2711573521212033E-2</v>
      </c>
      <c r="BS150" s="22">
        <f t="shared" si="117"/>
        <v>128.60485972500408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212.00000000000009</v>
      </c>
      <c r="BZ150" s="13">
        <f>BY150*VLOOKUP('Données projet'!$B$12,Paramètres!$A$1:$I$89,3,0)*VLOOKUP('Données projet'!$B$12,Paramètres!$A$1:$I$89,5,0)</f>
        <v>185.20320000000009</v>
      </c>
      <c r="CA150" s="13">
        <f t="shared" si="147"/>
        <v>46.477875402099386</v>
      </c>
      <c r="CB150" s="20">
        <f t="shared" si="118"/>
        <v>403.5112063253232</v>
      </c>
      <c r="CC150" s="59">
        <f t="shared" si="119"/>
        <v>696.84453965865646</v>
      </c>
      <c r="CD150" s="59">
        <f ca="1">AVERAGE(OFFSET($CC$3,0,0,'Données projet'!$E$12+1,1))-AVERAGE(OFFSET($H$3,0,0,'Données projet'!$E$12+1,1))</f>
        <v>216.10252108537389</v>
      </c>
      <c r="CE150" s="59">
        <f t="shared" si="148"/>
        <v>196.91968622092054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5.8877833882661754</v>
      </c>
      <c r="CL150" s="21">
        <f>EXP(-LN(2)/25)*CL149+(1-EXP(-LN(2)/25))/(LN(2)/25)*Calculateur!CG150*Calculateur!CI150*VLOOKUP('Données projet'!$B$12,Paramètres!$A$1:$I$89,3,0)*0.475*44/12</f>
        <v>3.8000738607181992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9.6878572489843755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6.2499999999999947</v>
      </c>
      <c r="CT150" s="12">
        <f>IF('Données projet'!$A$140&gt;35,CT149+CS150-DB149,IF(A150&lt;'Données projet'!$A$140,$CQ$205^A150,IF(A150='Données projet'!$A$140,'Données projet'!$B$140,CT149+CS150-DB149)))</f>
        <v>328.08974358974308</v>
      </c>
      <c r="CU150" s="17">
        <f>CT150*VLOOKUP('Données projet'!$B$13,Paramètres!$A$1:$I$89,3,0)*VLOOKUP('Données projet'!$B$13,Paramètres!$A$1:$I$89,5,0)</f>
        <v>296.85559999999953</v>
      </c>
      <c r="CV150" s="13">
        <f t="shared" si="149"/>
        <v>70.516872767727662</v>
      </c>
      <c r="CW150" s="20">
        <f t="shared" si="121"/>
        <v>639.84039007045806</v>
      </c>
      <c r="CX150" s="59">
        <f t="shared" si="122"/>
        <v>933.17372340379143</v>
      </c>
      <c r="CY150" s="59">
        <f ca="1">AVERAGE(OFFSET($CX$3,0,0,'Données projet'!$E$13+1,1))-AVERAGE(OFFSET($H$3,0,0,'Données projet'!$E$13+1,1))</f>
        <v>318.01858325056168</v>
      </c>
      <c r="CZ150" s="59">
        <f t="shared" si="150"/>
        <v>119.46953274700951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54.37611961135886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54.37611961135886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69.26400000000028</v>
      </c>
      <c r="D151" s="11">
        <f t="shared" si="140"/>
        <v>19.490570545800512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685.12300070442723</v>
      </c>
      <c r="H151" s="67">
        <f t="shared" si="110"/>
        <v>447.91421036726967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200.15574321350221</v>
      </c>
      <c r="T151" s="59">
        <f t="shared" si="142"/>
        <v>200.70728852570426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22.705878329609654</v>
      </c>
      <c r="AA151" s="21">
        <f>EXP(-LN(2)/25)*AA150+(1-EXP(-LN(2)/25))/(LN(2)/25)*Calculateur!V151*Calculateur!X151*VLOOKUP('Données projet'!$B$9,Paramètres!$A$1:$I$89,3,0)*0.475*44/12</f>
        <v>3.1502188670363225</v>
      </c>
      <c r="AB151" s="21">
        <f>EXP(-LN(2)/2)*AB150+(1-EXP(-LN(2)/2))/(LN(2)/2)*V151*Y151*VLOOKUP('Données projet'!$B$9,Paramètres!$A$1:$I$89,3,0)*0.475*44/12</f>
        <v>1.8168775847003869E-12</v>
      </c>
      <c r="AC151" s="22">
        <f t="shared" si="111"/>
        <v>25.856097196647791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45.407317338461951</v>
      </c>
      <c r="AO151" s="59">
        <f t="shared" si="144"/>
        <v>149.88701606165358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2.8439688915789927</v>
      </c>
      <c r="AV151" s="21">
        <f>EXP(-LN(2)/25)*AV150+(1-EXP(-LN(2)/25))/(LN(2)/25)*Calculateur!AQ151*Calculateur!AS151*VLOOKUP('Données projet'!$B$10,Paramètres!$A$1:$I$89,3,0)*0.475*44/12</f>
        <v>0.22021191981663926</v>
      </c>
      <c r="AW151" s="21">
        <f>EXP(-LN(2)/2)*AW150+(1-EXP(-LN(2)/2))/(LN(2)/2)*AQ151*AT151*VLOOKUP('Données projet'!$B$10,Paramètres!$A$1:$I$89,3,0)*0.475*44/12</f>
        <v>5.9287613485073314E-19</v>
      </c>
      <c r="AX151" s="21">
        <f t="shared" si="114"/>
        <v>3.0641808113956319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1.1368683772161603E-12</v>
      </c>
      <c r="BE151" s="13">
        <f>BD151*VLOOKUP('Données projet'!$B$11,Paramètres!$A$1:$I$89,3,0)*VLOOKUP('Données projet'!$B$11,Paramètres!$A$1:$I$89,5,0)</f>
        <v>5.3205440053716299E-13</v>
      </c>
      <c r="BF151" s="13">
        <f t="shared" si="145"/>
        <v>6.579711042921201E-12</v>
      </c>
      <c r="BG151" s="20">
        <f t="shared" si="115"/>
        <v>1.2386324814023317E-11</v>
      </c>
      <c r="BH151" s="59">
        <f t="shared" si="116"/>
        <v>293.33333333334571</v>
      </c>
      <c r="BI151" s="59">
        <f ca="1">AVERAGE(OFFSET($BH$3,0,0,'Données projet'!$E$11+1,1))-AVERAGE(OFFSET($H$3,0,0,'Données projet'!$E$11+1,1))</f>
        <v>183.67580045784649</v>
      </c>
      <c r="BJ151" s="59">
        <f t="shared" si="146"/>
        <v>121.08269345608767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104.1092615953371</v>
      </c>
      <c r="BQ151" s="21">
        <f>EXP(-LN(2)/25)*BQ150+(1-EXP(-LN(2)/25))/(LN(2)/25)*Calculateur!BL151*Calculateur!BN151*VLOOKUP('Données projet'!$B$11,Paramètres!$A$1:$I$89,3,0)*0.475*44/12</f>
        <v>21.729630697846755</v>
      </c>
      <c r="BR151" s="21">
        <f>EXP(-LN(2)/2)*BR150+(1-EXP(-LN(2)/2))/(LN(2)/2)*BL151*BO151*VLOOKUP('Données projet'!$B$11,Paramètres!$A$1:$I$89,3,0)*0.475*44/12</f>
        <v>5.1414846707593241E-2</v>
      </c>
      <c r="BS151" s="22">
        <f t="shared" si="117"/>
        <v>125.89030713989145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212.00000000000009</v>
      </c>
      <c r="BZ151" s="13">
        <f>BY151*VLOOKUP('Données projet'!$B$12,Paramètres!$A$1:$I$89,3,0)*VLOOKUP('Données projet'!$B$12,Paramètres!$A$1:$I$89,5,0)</f>
        <v>185.20320000000009</v>
      </c>
      <c r="CA151" s="13">
        <f t="shared" si="147"/>
        <v>46.477875402099386</v>
      </c>
      <c r="CB151" s="20">
        <f t="shared" si="118"/>
        <v>403.5112063253232</v>
      </c>
      <c r="CC151" s="59">
        <f t="shared" si="119"/>
        <v>696.84453965865646</v>
      </c>
      <c r="CD151" s="59">
        <f ca="1">AVERAGE(OFFSET($CC$3,0,0,'Données projet'!$E$12+1,1))-AVERAGE(OFFSET($H$3,0,0,'Données projet'!$E$12+1,1))</f>
        <v>216.10252108537389</v>
      </c>
      <c r="CE151" s="59">
        <f t="shared" si="148"/>
        <v>196.91968622092054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5.772327547215542</v>
      </c>
      <c r="CL151" s="21">
        <f>EXP(-LN(2)/25)*CL150+(1-EXP(-LN(2)/25))/(LN(2)/25)*Calculateur!CG151*Calculateur!CI151*VLOOKUP('Données projet'!$B$12,Paramètres!$A$1:$I$89,3,0)*0.475*44/12</f>
        <v>3.6961606411596608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9.4684881883752023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6.2499999999999947</v>
      </c>
      <c r="CT151" s="12">
        <f>IF('Données projet'!$A$140&gt;35,CT150+CS151-DB150,IF(A151&lt;'Données projet'!$A$140,$CQ$205^A151,IF(A151='Données projet'!$A$140,'Données projet'!$B$140,CT150+CS151-DB150)))</f>
        <v>334.33974358974308</v>
      </c>
      <c r="CU151" s="17">
        <f>CT151*VLOOKUP('Données projet'!$B$13,Paramètres!$A$1:$I$89,3,0)*VLOOKUP('Données projet'!$B$13,Paramètres!$A$1:$I$89,5,0)</f>
        <v>302.51059999999956</v>
      </c>
      <c r="CV151" s="13">
        <f t="shared" si="149"/>
        <v>71.702526117067052</v>
      </c>
      <c r="CW151" s="20">
        <f t="shared" si="121"/>
        <v>651.75452798722438</v>
      </c>
      <c r="CX151" s="59">
        <f t="shared" si="122"/>
        <v>945.08786132055775</v>
      </c>
      <c r="CY151" s="59">
        <f ca="1">AVERAGE(OFFSET($CX$3,0,0,'Données projet'!$E$13+1,1))-AVERAGE(OFFSET($H$3,0,0,'Données projet'!$E$13+1,1))</f>
        <v>318.01858325056168</v>
      </c>
      <c r="CZ151" s="59">
        <f t="shared" si="150"/>
        <v>119.46953274700951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53.30983707193819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53.30983707193819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69.732000000000284</v>
      </c>
      <c r="D152" s="11">
        <f t="shared" si="140"/>
        <v>19.606888874982584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689.63352815776261</v>
      </c>
      <c r="H152" s="67">
        <f t="shared" si="110"/>
        <v>448.93189812392848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200.15574321350221</v>
      </c>
      <c r="T152" s="59">
        <f t="shared" si="142"/>
        <v>200.70728852570426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22.260629904784292</v>
      </c>
      <c r="AA152" s="21">
        <f>EXP(-LN(2)/25)*AA151+(1-EXP(-LN(2)/25))/(LN(2)/25)*Calculateur!V152*Calculateur!X152*VLOOKUP('Données projet'!$B$9,Paramètres!$A$1:$I$89,3,0)*0.475*44/12</f>
        <v>3.0640759664544039</v>
      </c>
      <c r="AB152" s="21">
        <f>EXP(-LN(2)/2)*AB151+(1-EXP(-LN(2)/2))/(LN(2)/2)*V152*Y152*VLOOKUP('Données projet'!$B$9,Paramètres!$A$1:$I$89,3,0)*0.475*44/12</f>
        <v>1.2847264607274795E-12</v>
      </c>
      <c r="AC152" s="22">
        <f t="shared" si="111"/>
        <v>25.324705871239981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45.407317338461951</v>
      </c>
      <c r="AO152" s="59">
        <f t="shared" si="144"/>
        <v>149.88701606165358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2.78820039626487</v>
      </c>
      <c r="AV152" s="21">
        <f>EXP(-LN(2)/25)*AV151+(1-EXP(-LN(2)/25))/(LN(2)/25)*Calculateur!AQ152*Calculateur!AS152*VLOOKUP('Données projet'!$B$10,Paramètres!$A$1:$I$89,3,0)*0.475*44/12</f>
        <v>0.21419021328881169</v>
      </c>
      <c r="AW152" s="21">
        <f>EXP(-LN(2)/2)*AW151+(1-EXP(-LN(2)/2))/(LN(2)/2)*AQ152*AT152*VLOOKUP('Données projet'!$B$10,Paramètres!$A$1:$I$89,3,0)*0.475*44/12</f>
        <v>4.192267353566234E-19</v>
      </c>
      <c r="AX152" s="21">
        <f t="shared" si="114"/>
        <v>3.0023906095536819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1.1368683772161603E-12</v>
      </c>
      <c r="BE152" s="13">
        <f>BD152*VLOOKUP('Données projet'!$B$11,Paramètres!$A$1:$I$89,3,0)*VLOOKUP('Données projet'!$B$11,Paramètres!$A$1:$I$89,5,0)</f>
        <v>5.3205440053716299E-13</v>
      </c>
      <c r="BF152" s="13">
        <f t="shared" si="145"/>
        <v>6.579711042921201E-12</v>
      </c>
      <c r="BG152" s="20">
        <f t="shared" si="115"/>
        <v>1.2386324814023317E-11</v>
      </c>
      <c r="BH152" s="59">
        <f t="shared" si="116"/>
        <v>293.33333333334571</v>
      </c>
      <c r="BI152" s="59">
        <f ca="1">AVERAGE(OFFSET($BH$3,0,0,'Données projet'!$E$11+1,1))-AVERAGE(OFFSET($H$3,0,0,'Données projet'!$E$11+1,1))</f>
        <v>183.67580045784649</v>
      </c>
      <c r="BJ152" s="59">
        <f t="shared" si="146"/>
        <v>121.08269345608767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102.06774247583198</v>
      </c>
      <c r="BQ152" s="21">
        <f>EXP(-LN(2)/25)*BQ151+(1-EXP(-LN(2)/25))/(LN(2)/25)*Calculateur!BL152*Calculateur!BN152*VLOOKUP('Données projet'!$B$11,Paramètres!$A$1:$I$89,3,0)*0.475*44/12</f>
        <v>21.135432803702521</v>
      </c>
      <c r="BR152" s="21">
        <f>EXP(-LN(2)/2)*BR151+(1-EXP(-LN(2)/2))/(LN(2)/2)*BL152*BO152*VLOOKUP('Données projet'!$B$11,Paramètres!$A$1:$I$89,3,0)*0.475*44/12</f>
        <v>3.6355786760606017E-2</v>
      </c>
      <c r="BS152" s="22">
        <f t="shared" si="117"/>
        <v>123.2395310662951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212.00000000000009</v>
      </c>
      <c r="BZ152" s="13">
        <f>BY152*VLOOKUP('Données projet'!$B$12,Paramètres!$A$1:$I$89,3,0)*VLOOKUP('Données projet'!$B$12,Paramètres!$A$1:$I$89,5,0)</f>
        <v>185.20320000000009</v>
      </c>
      <c r="CA152" s="13">
        <f t="shared" si="147"/>
        <v>46.477875402099386</v>
      </c>
      <c r="CB152" s="20">
        <f t="shared" si="118"/>
        <v>403.5112063253232</v>
      </c>
      <c r="CC152" s="59">
        <f t="shared" si="119"/>
        <v>696.84453965865646</v>
      </c>
      <c r="CD152" s="59">
        <f ca="1">AVERAGE(OFFSET($CC$3,0,0,'Données projet'!$E$12+1,1))-AVERAGE(OFFSET($H$3,0,0,'Données projet'!$E$12+1,1))</f>
        <v>216.10252108537389</v>
      </c>
      <c r="CE152" s="59">
        <f t="shared" si="148"/>
        <v>196.91968622092054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5.6591357247868013</v>
      </c>
      <c r="CL152" s="21">
        <f>EXP(-LN(2)/25)*CL151+(1-EXP(-LN(2)/25))/(LN(2)/25)*Calculateur!CG152*Calculateur!CI152*VLOOKUP('Données projet'!$B$12,Paramètres!$A$1:$I$89,3,0)*0.475*44/12</f>
        <v>3.5950889340545094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9.2542246588413111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6.2499999999999947</v>
      </c>
      <c r="CT152" s="12">
        <f>IF('Données projet'!$A$140&gt;35,CT151+CS152-DB151,IF(A152&lt;'Données projet'!$A$140,$CQ$205^A152,IF(A152='Données projet'!$A$140,'Données projet'!$B$140,CT151+CS152-DB151)))</f>
        <v>340.58974358974308</v>
      </c>
      <c r="CU152" s="17">
        <f>CT152*VLOOKUP('Données projet'!$B$13,Paramètres!$A$1:$I$89,3,0)*VLOOKUP('Données projet'!$B$13,Paramètres!$A$1:$I$89,5,0)</f>
        <v>308.16559999999953</v>
      </c>
      <c r="CV152" s="13">
        <f t="shared" si="149"/>
        <v>72.885602213408205</v>
      </c>
      <c r="CW152" s="20">
        <f t="shared" si="121"/>
        <v>663.6641771883518</v>
      </c>
      <c r="CX152" s="59">
        <f t="shared" si="122"/>
        <v>956.99751052168517</v>
      </c>
      <c r="CY152" s="59">
        <f ca="1">AVERAGE(OFFSET($CX$3,0,0,'Données projet'!$E$13+1,1))-AVERAGE(OFFSET($H$3,0,0,'Données projet'!$E$13+1,1))</f>
        <v>318.01858325056168</v>
      </c>
      <c r="CZ152" s="59">
        <f t="shared" si="150"/>
        <v>119.46953274700951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52.264463682747426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52.264463682747426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70.200000000000287</v>
      </c>
      <c r="D153" s="11">
        <f t="shared" si="140"/>
        <v>19.723116370112255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694.14335443595644</v>
      </c>
      <c r="H153" s="67">
        <f t="shared" si="110"/>
        <v>449.94942767794601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200.15574321350221</v>
      </c>
      <c r="T153" s="59">
        <f t="shared" si="142"/>
        <v>200.70728852570426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21.824112529995034</v>
      </c>
      <c r="AA153" s="21">
        <f>EXP(-LN(2)/25)*AA152+(1-EXP(-LN(2)/25))/(LN(2)/25)*Calculateur!V153*Calculateur!X153*VLOOKUP('Données projet'!$B$9,Paramètres!$A$1:$I$89,3,0)*0.475*44/12</f>
        <v>2.9802886480189561</v>
      </c>
      <c r="AB153" s="21">
        <f>EXP(-LN(2)/2)*AB152+(1-EXP(-LN(2)/2))/(LN(2)/2)*V153*Y153*VLOOKUP('Données projet'!$B$9,Paramètres!$A$1:$I$89,3,0)*0.475*44/12</f>
        <v>9.0843879235019354E-13</v>
      </c>
      <c r="AC153" s="22">
        <f t="shared" si="111"/>
        <v>24.804401178014899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45.407317338461951</v>
      </c>
      <c r="AO153" s="59">
        <f t="shared" si="144"/>
        <v>149.88701606165358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2.7335254871284338</v>
      </c>
      <c r="AV153" s="21">
        <f>EXP(-LN(2)/25)*AV152+(1-EXP(-LN(2)/25))/(LN(2)/25)*Calculateur!AQ153*Calculateur!AS153*VLOOKUP('Données projet'!$B$10,Paramètres!$A$1:$I$89,3,0)*0.475*44/12</f>
        <v>0.20833317064265536</v>
      </c>
      <c r="AW153" s="21">
        <f>EXP(-LN(2)/2)*AW152+(1-EXP(-LN(2)/2))/(LN(2)/2)*AQ153*AT153*VLOOKUP('Données projet'!$B$10,Paramètres!$A$1:$I$89,3,0)*0.475*44/12</f>
        <v>2.9643806742536657E-19</v>
      </c>
      <c r="AX153" s="21">
        <f t="shared" si="114"/>
        <v>2.941858657771089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1.1368683772161603E-12</v>
      </c>
      <c r="BE153" s="13">
        <f>BD153*VLOOKUP('Données projet'!$B$11,Paramètres!$A$1:$I$89,3,0)*VLOOKUP('Données projet'!$B$11,Paramètres!$A$1:$I$89,5,0)</f>
        <v>5.3205440053716299E-13</v>
      </c>
      <c r="BF153" s="13">
        <f t="shared" si="145"/>
        <v>6.579711042921201E-12</v>
      </c>
      <c r="BG153" s="20">
        <f t="shared" si="115"/>
        <v>1.2386324814023317E-11</v>
      </c>
      <c r="BH153" s="59">
        <f t="shared" si="116"/>
        <v>293.33333333334571</v>
      </c>
      <c r="BI153" s="59">
        <f ca="1">AVERAGE(OFFSET($BH$3,0,0,'Données projet'!$E$11+1,1))-AVERAGE(OFFSET($H$3,0,0,'Données projet'!$E$11+1,1))</f>
        <v>183.67580045784649</v>
      </c>
      <c r="BJ153" s="59">
        <f t="shared" si="146"/>
        <v>121.08269345608767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100.06625630105664</v>
      </c>
      <c r="BQ153" s="21">
        <f>EXP(-LN(2)/25)*BQ152+(1-EXP(-LN(2)/25))/(LN(2)/25)*Calculateur!BL153*Calculateur!BN153*VLOOKUP('Données projet'!$B$11,Paramètres!$A$1:$I$89,3,0)*0.475*44/12</f>
        <v>20.55748328222117</v>
      </c>
      <c r="BR153" s="21">
        <f>EXP(-LN(2)/2)*BR152+(1-EXP(-LN(2)/2))/(LN(2)/2)*BL153*BO153*VLOOKUP('Données projet'!$B$11,Paramètres!$A$1:$I$89,3,0)*0.475*44/12</f>
        <v>2.5707423353796621E-2</v>
      </c>
      <c r="BS153" s="22">
        <f t="shared" si="117"/>
        <v>120.6494470066316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212.00000000000009</v>
      </c>
      <c r="BZ153" s="13">
        <f>BY153*VLOOKUP('Données projet'!$B$12,Paramètres!$A$1:$I$89,3,0)*VLOOKUP('Données projet'!$B$12,Paramètres!$A$1:$I$89,5,0)</f>
        <v>185.20320000000009</v>
      </c>
      <c r="CA153" s="13">
        <f t="shared" si="147"/>
        <v>46.477875402099386</v>
      </c>
      <c r="CB153" s="20">
        <f t="shared" si="118"/>
        <v>403.5112063253232</v>
      </c>
      <c r="CC153" s="59">
        <f t="shared" si="119"/>
        <v>696.84453965865646</v>
      </c>
      <c r="CD153" s="59">
        <f ca="1">AVERAGE(OFFSET($CC$3,0,0,'Données projet'!$E$12+1,1))-AVERAGE(OFFSET($H$3,0,0,'Données projet'!$E$12+1,1))</f>
        <v>216.10252108537389</v>
      </c>
      <c r="CE153" s="59">
        <f t="shared" si="148"/>
        <v>196.91968622092054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5.5481635249556938</v>
      </c>
      <c r="CL153" s="21">
        <f>EXP(-LN(2)/25)*CL152+(1-EXP(-LN(2)/25))/(LN(2)/25)*Calculateur!CG153*Calculateur!CI153*VLOOKUP('Données projet'!$B$12,Paramètres!$A$1:$I$89,3,0)*0.475*44/12</f>
        <v>3.4967810380952784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9.0449445630509722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6.2499999999999947</v>
      </c>
      <c r="CT153" s="12">
        <f>IF('Données projet'!$A$140&gt;35,CT152+CS153-DB152,IF(A153&lt;'Données projet'!$A$140,$CQ$205^A153,IF(A153='Données projet'!$A$140,'Données projet'!$B$140,CT152+CS153-DB152)))</f>
        <v>346.83974358974308</v>
      </c>
      <c r="CU153" s="17">
        <f>CT153*VLOOKUP('Données projet'!$B$13,Paramètres!$A$1:$I$89,3,0)*VLOOKUP('Données projet'!$B$13,Paramètres!$A$1:$I$89,5,0)</f>
        <v>313.82059999999956</v>
      </c>
      <c r="CV153" s="13">
        <f t="shared" si="149"/>
        <v>74.066153805327986</v>
      </c>
      <c r="CW153" s="20">
        <f t="shared" si="121"/>
        <v>675.56942954427871</v>
      </c>
      <c r="CX153" s="59">
        <f t="shared" si="122"/>
        <v>968.90276287761208</v>
      </c>
      <c r="CY153" s="59">
        <f ca="1">AVERAGE(OFFSET($CX$3,0,0,'Données projet'!$E$13+1,1))-AVERAGE(OFFSET($H$3,0,0,'Données projet'!$E$13+1,1))</f>
        <v>318.01858325056168</v>
      </c>
      <c r="CZ153" s="59">
        <f t="shared" si="150"/>
        <v>119.46953274700951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51.239589428103884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51.239589428103884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70.668000000000291</v>
      </c>
      <c r="D154" s="11">
        <f t="shared" si="140"/>
        <v>19.839253706984934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698.65248475567535</v>
      </c>
      <c r="H154" s="67">
        <f t="shared" si="110"/>
        <v>450.96680020633255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200.15574321350221</v>
      </c>
      <c r="T154" s="59">
        <f t="shared" si="142"/>
        <v>200.70728852570426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21.396154994676085</v>
      </c>
      <c r="AA154" s="21">
        <f>EXP(-LN(2)/25)*AA153+(1-EXP(-LN(2)/25))/(LN(2)/25)*Calculateur!V154*Calculateur!X154*VLOOKUP('Données projet'!$B$9,Paramètres!$A$1:$I$89,3,0)*0.475*44/12</f>
        <v>2.8987924982123094</v>
      </c>
      <c r="AB154" s="21">
        <f>EXP(-LN(2)/2)*AB153+(1-EXP(-LN(2)/2))/(LN(2)/2)*V154*Y154*VLOOKUP('Données projet'!$B$9,Paramètres!$A$1:$I$89,3,0)*0.475*44/12</f>
        <v>6.4236323036373984E-13</v>
      </c>
      <c r="AC154" s="22">
        <f t="shared" ref="AC154:AC203" si="163">SUM(Z154:AB154)</f>
        <v>24.294947492889037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45.407317338461951</v>
      </c>
      <c r="AO154" s="59">
        <f t="shared" si="144"/>
        <v>149.88701606165358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2.6799227196117617</v>
      </c>
      <c r="AV154" s="21">
        <f>EXP(-LN(2)/25)*AV153+(1-EXP(-LN(2)/25))/(LN(2)/25)*Calculateur!AQ154*Calculateur!AS154*VLOOKUP('Données projet'!$B$10,Paramètres!$A$1:$I$89,3,0)*0.475*44/12</f>
        <v>0.20263628913566664</v>
      </c>
      <c r="AW154" s="21">
        <f>EXP(-LN(2)/2)*AW153+(1-EXP(-LN(2)/2))/(LN(2)/2)*AQ154*AT154*VLOOKUP('Données projet'!$B$10,Paramètres!$A$1:$I$89,3,0)*0.475*44/12</f>
        <v>2.096133676783117E-19</v>
      </c>
      <c r="AX154" s="21">
        <f t="shared" ref="AX154:AX203" si="166">SUM(AU154:AW154)</f>
        <v>2.8825590087474282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1.1368683772161603E-12</v>
      </c>
      <c r="BE154" s="13">
        <f>BD154*VLOOKUP('Données projet'!$B$11,Paramètres!$A$1:$I$89,3,0)*VLOOKUP('Données projet'!$B$11,Paramètres!$A$1:$I$89,5,0)</f>
        <v>5.3205440053716299E-13</v>
      </c>
      <c r="BF154" s="13">
        <f t="shared" ref="BF154:BF203" si="167">EXP(-1.0587+0.8836*LN(BE154)+0.284)</f>
        <v>6.579711042921201E-12</v>
      </c>
      <c r="BG154" s="20">
        <f t="shared" ref="BG154:BG203" si="168">(BE154+BF154)*0.475*44/12</f>
        <v>1.2386324814023317E-11</v>
      </c>
      <c r="BH154" s="59">
        <f t="shared" si="116"/>
        <v>293.33333333334571</v>
      </c>
      <c r="BI154" s="59">
        <f ca="1">AVERAGE(OFFSET($BH$3,0,0,'Données projet'!$E$11+1,1))-AVERAGE(OFFSET($H$3,0,0,'Données projet'!$E$11+1,1))</f>
        <v>183.67580045784649</v>
      </c>
      <c r="BJ154" s="59">
        <f t="shared" si="146"/>
        <v>121.08269345608767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98.104018049382617</v>
      </c>
      <c r="BQ154" s="21">
        <f>EXP(-LN(2)/25)*BQ153+(1-EXP(-LN(2)/25))/(LN(2)/25)*Calculateur!BL154*Calculateur!BN154*VLOOKUP('Données projet'!$B$11,Paramètres!$A$1:$I$89,3,0)*0.475*44/12</f>
        <v>19.995337820797772</v>
      </c>
      <c r="BR154" s="21">
        <f>EXP(-LN(2)/2)*BR153+(1-EXP(-LN(2)/2))/(LN(2)/2)*BL154*BO154*VLOOKUP('Données projet'!$B$11,Paramètres!$A$1:$I$89,3,0)*0.475*44/12</f>
        <v>1.8177893380303008E-2</v>
      </c>
      <c r="BS154" s="22">
        <f t="shared" ref="BS154:BS203" si="169">SUM(BP154:BR154)</f>
        <v>118.11753376356069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212.00000000000009</v>
      </c>
      <c r="BZ154" s="13">
        <f>BY154*VLOOKUP('Données projet'!$B$12,Paramètres!$A$1:$I$89,3,0)*VLOOKUP('Données projet'!$B$12,Paramètres!$A$1:$I$89,5,0)</f>
        <v>185.20320000000009</v>
      </c>
      <c r="CA154" s="13">
        <f t="shared" ref="CA154:CA203" si="170">EXP(-1.0587+0.8836*LN(BZ154)+0.284)</f>
        <v>46.477875402099386</v>
      </c>
      <c r="CB154" s="20">
        <f t="shared" ref="CB154:CB203" si="171">(BZ154+CA154)*0.475*44/12</f>
        <v>403.5112063253232</v>
      </c>
      <c r="CC154" s="59">
        <f t="shared" si="119"/>
        <v>696.84453965865646</v>
      </c>
      <c r="CD154" s="59">
        <f ca="1">AVERAGE(OFFSET($CC$3,0,0,'Données projet'!$E$12+1,1))-AVERAGE(OFFSET($H$3,0,0,'Données projet'!$E$12+1,1))</f>
        <v>216.10252108537389</v>
      </c>
      <c r="CE154" s="59">
        <f t="shared" si="148"/>
        <v>196.91968622092054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5.4393674222769164</v>
      </c>
      <c r="CL154" s="21">
        <f>EXP(-LN(2)/25)*CL153+(1-EXP(-LN(2)/25))/(LN(2)/25)*Calculateur!CG154*Calculateur!CI154*VLOOKUP('Données projet'!$B$12,Paramètres!$A$1:$I$89,3,0)*0.475*44/12</f>
        <v>3.4011613767208404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8.8405287989977559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6.2499999999999947</v>
      </c>
      <c r="CT154" s="12">
        <f>IF('Données projet'!$A$140&gt;35,CT153+CS154-DB153,IF(A154&lt;'Données projet'!$A$140,$CQ$205^A154,IF(A154='Données projet'!$A$140,'Données projet'!$B$140,CT153+CS154-DB153)))</f>
        <v>353.08974358974308</v>
      </c>
      <c r="CU154" s="17">
        <f>CT154*VLOOKUP('Données projet'!$B$13,Paramètres!$A$1:$I$89,3,0)*VLOOKUP('Données projet'!$B$13,Paramètres!$A$1:$I$89,5,0)</f>
        <v>319.47559999999953</v>
      </c>
      <c r="CV154" s="13">
        <f t="shared" ref="CV154:CV203" si="173">EXP(-1.0587+0.8836*LN(CU154)+0.284)</f>
        <v>75.244231631502288</v>
      </c>
      <c r="CW154" s="20">
        <f t="shared" ref="CW154:CW203" si="174">(CU154+CV154)*0.475*44/12</f>
        <v>687.47037342486567</v>
      </c>
      <c r="CX154" s="59">
        <f t="shared" si="122"/>
        <v>980.80370675819904</v>
      </c>
      <c r="CY154" s="59">
        <f ca="1">AVERAGE(OFFSET($CX$3,0,0,'Données projet'!$E$13+1,1))-AVERAGE(OFFSET($H$3,0,0,'Données projet'!$E$13+1,1))</f>
        <v>318.01858325056168</v>
      </c>
      <c r="CZ154" s="59">
        <f t="shared" si="150"/>
        <v>119.46953274700951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50.234812332482335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50.234812332482335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71.136000000000294</v>
      </c>
      <c r="D155" s="11">
        <f t="shared" si="140"/>
        <v>19.955301551927551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703.16092426049556</v>
      </c>
      <c r="H155" s="67">
        <f t="shared" si="110"/>
        <v>451.98401686960767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200.15574321350221</v>
      </c>
      <c r="T155" s="59">
        <f t="shared" si="142"/>
        <v>200.70728852570426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20.976589445596417</v>
      </c>
      <c r="AA155" s="21">
        <f>EXP(-LN(2)/25)*AA154+(1-EXP(-LN(2)/25))/(LN(2)/25)*Calculateur!V155*Calculateur!X155*VLOOKUP('Données projet'!$B$9,Paramètres!$A$1:$I$89,3,0)*0.475*44/12</f>
        <v>2.8195248649078217</v>
      </c>
      <c r="AB155" s="21">
        <f>EXP(-LN(2)/2)*AB154+(1-EXP(-LN(2)/2))/(LN(2)/2)*V155*Y155*VLOOKUP('Données projet'!$B$9,Paramètres!$A$1:$I$89,3,0)*0.475*44/12</f>
        <v>4.5421939617509682E-13</v>
      </c>
      <c r="AC155" s="22">
        <f t="shared" si="163"/>
        <v>23.796114310504695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45.407317338461951</v>
      </c>
      <c r="AO155" s="59">
        <f t="shared" si="144"/>
        <v>149.88701606165358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2.6273710696716313</v>
      </c>
      <c r="AV155" s="21">
        <f>EXP(-LN(2)/25)*AV154+(1-EXP(-LN(2)/25))/(LN(2)/25)*Calculateur!AQ155*Calculateur!AS155*VLOOKUP('Données projet'!$B$10,Paramètres!$A$1:$I$89,3,0)*0.475*44/12</f>
        <v>0.19709518915307253</v>
      </c>
      <c r="AW155" s="21">
        <f>EXP(-LN(2)/2)*AW154+(1-EXP(-LN(2)/2))/(LN(2)/2)*AQ155*AT155*VLOOKUP('Données projet'!$B$10,Paramètres!$A$1:$I$89,3,0)*0.475*44/12</f>
        <v>1.4821903371268328E-19</v>
      </c>
      <c r="AX155" s="21">
        <f t="shared" si="166"/>
        <v>2.8244662588247036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1.1368683772161603E-12</v>
      </c>
      <c r="BE155" s="13">
        <f>BD155*VLOOKUP('Données projet'!$B$11,Paramètres!$A$1:$I$89,3,0)*VLOOKUP('Données projet'!$B$11,Paramètres!$A$1:$I$89,5,0)</f>
        <v>5.3205440053716299E-13</v>
      </c>
      <c r="BF155" s="13">
        <f t="shared" si="167"/>
        <v>6.579711042921201E-12</v>
      </c>
      <c r="BG155" s="20">
        <f t="shared" si="168"/>
        <v>1.2386324814023317E-11</v>
      </c>
      <c r="BH155" s="59">
        <f t="shared" si="116"/>
        <v>293.33333333334571</v>
      </c>
      <c r="BI155" s="59">
        <f ca="1">AVERAGE(OFFSET($BH$3,0,0,'Données projet'!$E$11+1,1))-AVERAGE(OFFSET($H$3,0,0,'Données projet'!$E$11+1,1))</f>
        <v>183.67580045784649</v>
      </c>
      <c r="BJ155" s="59">
        <f t="shared" si="146"/>
        <v>121.08269345608767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96.180258092976771</v>
      </c>
      <c r="BQ155" s="21">
        <f>EXP(-LN(2)/25)*BQ154+(1-EXP(-LN(2)/25))/(LN(2)/25)*Calculateur!BL155*Calculateur!BN155*VLOOKUP('Données projet'!$B$11,Paramètres!$A$1:$I$89,3,0)*0.475*44/12</f>
        <v>19.448564256578941</v>
      </c>
      <c r="BR155" s="21">
        <f>EXP(-LN(2)/2)*BR154+(1-EXP(-LN(2)/2))/(LN(2)/2)*BL155*BO155*VLOOKUP('Données projet'!$B$11,Paramètres!$A$1:$I$89,3,0)*0.475*44/12</f>
        <v>1.285371167689831E-2</v>
      </c>
      <c r="BS155" s="22">
        <f t="shared" si="169"/>
        <v>115.64167606123262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212.00000000000009</v>
      </c>
      <c r="BZ155" s="13">
        <f>BY155*VLOOKUP('Données projet'!$B$12,Paramètres!$A$1:$I$89,3,0)*VLOOKUP('Données projet'!$B$12,Paramètres!$A$1:$I$89,5,0)</f>
        <v>185.20320000000009</v>
      </c>
      <c r="CA155" s="13">
        <f t="shared" si="170"/>
        <v>46.477875402099386</v>
      </c>
      <c r="CB155" s="20">
        <f t="shared" si="171"/>
        <v>403.5112063253232</v>
      </c>
      <c r="CC155" s="59">
        <f t="shared" si="119"/>
        <v>696.84453965865646</v>
      </c>
      <c r="CD155" s="59">
        <f ca="1">AVERAGE(OFFSET($CC$3,0,0,'Données projet'!$E$12+1,1))-AVERAGE(OFFSET($H$3,0,0,'Données projet'!$E$12+1,1))</f>
        <v>216.10252108537389</v>
      </c>
      <c r="CE155" s="59">
        <f t="shared" si="148"/>
        <v>196.91968622092054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5.3327047448125997</v>
      </c>
      <c r="CL155" s="21">
        <f>EXP(-LN(2)/25)*CL154+(1-EXP(-LN(2)/25))/(LN(2)/25)*Calculateur!CG155*Calculateur!CI155*VLOOKUP('Données projet'!$B$12,Paramètres!$A$1:$I$89,3,0)*0.475*44/12</f>
        <v>3.3081564400151056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8.6408611848277062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6.2499999999999947</v>
      </c>
      <c r="CT155" s="12">
        <f>IF('Données projet'!$A$140&gt;35,CT154+CS155-DB154,IF(A155&lt;'Données projet'!$A$140,$CQ$205^A155,IF(A155='Données projet'!$A$140,'Données projet'!$B$140,CT154+CS155-DB154)))</f>
        <v>359.33974358974308</v>
      </c>
      <c r="CU155" s="17">
        <f>CT155*VLOOKUP('Données projet'!$B$13,Paramètres!$A$1:$I$89,3,0)*VLOOKUP('Données projet'!$B$13,Paramètres!$A$1:$I$89,5,0)</f>
        <v>325.13059999999956</v>
      </c>
      <c r="CV155" s="13">
        <f t="shared" si="173"/>
        <v>76.419884531487469</v>
      </c>
      <c r="CW155" s="20">
        <f t="shared" si="174"/>
        <v>699.36709389233977</v>
      </c>
      <c r="CX155" s="59">
        <f t="shared" si="122"/>
        <v>992.70042722567314</v>
      </c>
      <c r="CY155" s="59">
        <f ca="1">AVERAGE(OFFSET($CX$3,0,0,'Données projet'!$E$13+1,1))-AVERAGE(OFFSET($H$3,0,0,'Données projet'!$E$13+1,1))</f>
        <v>318.01858325056168</v>
      </c>
      <c r="CZ155" s="59">
        <f t="shared" si="150"/>
        <v>119.46953274700951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49.249738302852407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49.249738302852407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71.604000000000298</v>
      </c>
      <c r="D156" s="11">
        <f t="shared" si="140"/>
        <v>20.071260561992666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707.66867802240176</v>
      </c>
      <c r="H156" s="67">
        <f t="shared" si="110"/>
        <v>453.00107881213773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200.15574321350221</v>
      </c>
      <c r="T156" s="59">
        <f t="shared" si="142"/>
        <v>200.70728852570426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20.565251321024487</v>
      </c>
      <c r="AA156" s="21">
        <f>EXP(-LN(2)/25)*AA155+(1-EXP(-LN(2)/25))/(LN(2)/25)*Calculateur!V156*Calculateur!X156*VLOOKUP('Données projet'!$B$9,Paramètres!$A$1:$I$89,3,0)*0.475*44/12</f>
        <v>2.7424248092045489</v>
      </c>
      <c r="AB156" s="21">
        <f>EXP(-LN(2)/2)*AB155+(1-EXP(-LN(2)/2))/(LN(2)/2)*V156*Y156*VLOOKUP('Données projet'!$B$9,Paramètres!$A$1:$I$89,3,0)*0.475*44/12</f>
        <v>3.2118161518186997E-13</v>
      </c>
      <c r="AC156" s="22">
        <f t="shared" si="163"/>
        <v>23.307676130229357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45.407317338461951</v>
      </c>
      <c r="AO156" s="59">
        <f t="shared" si="144"/>
        <v>149.88701606165358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2.5758499255334857</v>
      </c>
      <c r="AV156" s="21">
        <f>EXP(-LN(2)/25)*AV155+(1-EXP(-LN(2)/25))/(LN(2)/25)*Calculateur!AQ156*Calculateur!AS156*VLOOKUP('Données projet'!$B$10,Paramètres!$A$1:$I$89,3,0)*0.475*44/12</f>
        <v>0.19170561084089624</v>
      </c>
      <c r="AW156" s="21">
        <f>EXP(-LN(2)/2)*AW155+(1-EXP(-LN(2)/2))/(LN(2)/2)*AQ156*AT156*VLOOKUP('Données projet'!$B$10,Paramètres!$A$1:$I$89,3,0)*0.475*44/12</f>
        <v>1.0480668383915585E-19</v>
      </c>
      <c r="AX156" s="21">
        <f t="shared" si="166"/>
        <v>2.767555536374382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1.1368683772161603E-12</v>
      </c>
      <c r="BE156" s="13">
        <f>BD156*VLOOKUP('Données projet'!$B$11,Paramètres!$A$1:$I$89,3,0)*VLOOKUP('Données projet'!$B$11,Paramètres!$A$1:$I$89,5,0)</f>
        <v>5.3205440053716299E-13</v>
      </c>
      <c r="BF156" s="13">
        <f t="shared" si="167"/>
        <v>6.579711042921201E-12</v>
      </c>
      <c r="BG156" s="20">
        <f t="shared" si="168"/>
        <v>1.2386324814023317E-11</v>
      </c>
      <c r="BH156" s="59">
        <f t="shared" si="116"/>
        <v>293.33333333334571</v>
      </c>
      <c r="BI156" s="59">
        <f ca="1">AVERAGE(OFFSET($BH$3,0,0,'Données projet'!$E$11+1,1))-AVERAGE(OFFSET($H$3,0,0,'Données projet'!$E$11+1,1))</f>
        <v>183.67580045784649</v>
      </c>
      <c r="BJ156" s="59">
        <f t="shared" si="146"/>
        <v>121.08269345608767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94.294221895938335</v>
      </c>
      <c r="BQ156" s="21">
        <f>EXP(-LN(2)/25)*BQ155+(1-EXP(-LN(2)/25))/(LN(2)/25)*Calculateur!BL156*Calculateur!BN156*VLOOKUP('Données projet'!$B$11,Paramètres!$A$1:$I$89,3,0)*0.475*44/12</f>
        <v>18.916742244227244</v>
      </c>
      <c r="BR156" s="21">
        <f>EXP(-LN(2)/2)*BR155+(1-EXP(-LN(2)/2))/(LN(2)/2)*BL156*BO156*VLOOKUP('Données projet'!$B$11,Paramètres!$A$1:$I$89,3,0)*0.475*44/12</f>
        <v>9.0889466901515042E-3</v>
      </c>
      <c r="BS156" s="22">
        <f t="shared" si="169"/>
        <v>113.22005308685573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212.00000000000009</v>
      </c>
      <c r="BZ156" s="13">
        <f>BY156*VLOOKUP('Données projet'!$B$12,Paramètres!$A$1:$I$89,3,0)*VLOOKUP('Données projet'!$B$12,Paramètres!$A$1:$I$89,5,0)</f>
        <v>185.20320000000009</v>
      </c>
      <c r="CA156" s="13">
        <f t="shared" si="170"/>
        <v>46.477875402099386</v>
      </c>
      <c r="CB156" s="20">
        <f t="shared" si="171"/>
        <v>403.5112063253232</v>
      </c>
      <c r="CC156" s="59">
        <f t="shared" si="119"/>
        <v>696.84453965865646</v>
      </c>
      <c r="CD156" s="59">
        <f ca="1">AVERAGE(OFFSET($CC$3,0,0,'Données projet'!$E$12+1,1))-AVERAGE(OFFSET($H$3,0,0,'Données projet'!$E$12+1,1))</f>
        <v>216.10252108537389</v>
      </c>
      <c r="CE156" s="59">
        <f t="shared" si="148"/>
        <v>196.91968622092054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5.2281336573955484</v>
      </c>
      <c r="CL156" s="21">
        <f>EXP(-LN(2)/25)*CL155+(1-EXP(-LN(2)/25))/(LN(2)/25)*Calculateur!CG156*Calculateur!CI156*VLOOKUP('Données projet'!$B$12,Paramètres!$A$1:$I$89,3,0)*0.475*44/12</f>
        <v>3.2176947281945063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8.4458283855900547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6.2499999999999947</v>
      </c>
      <c r="CT156" s="12">
        <f>IF('Données projet'!$A$140&gt;35,CT155+CS156-DB155,IF(A156&lt;'Données projet'!$A$140,$CQ$205^A156,IF(A156='Données projet'!$A$140,'Données projet'!$B$140,CT155+CS156-DB155)))</f>
        <v>365.58974358974308</v>
      </c>
      <c r="CU156" s="17">
        <f>CT156*VLOOKUP('Données projet'!$B$13,Paramètres!$A$1:$I$89,3,0)*VLOOKUP('Données projet'!$B$13,Paramètres!$A$1:$I$89,5,0)</f>
        <v>330.78559999999953</v>
      </c>
      <c r="CV156" s="13">
        <f t="shared" si="173"/>
        <v>77.593159548575656</v>
      </c>
      <c r="CW156" s="20">
        <f t="shared" si="174"/>
        <v>711.25967288043512</v>
      </c>
      <c r="CX156" s="59">
        <f t="shared" si="122"/>
        <v>1004.5930062137684</v>
      </c>
      <c r="CY156" s="59">
        <f ca="1">AVERAGE(OFFSET($CX$3,0,0,'Données projet'!$E$13+1,1))-AVERAGE(OFFSET($H$3,0,0,'Données projet'!$E$13+1,1))</f>
        <v>318.01858325056168</v>
      </c>
      <c r="CZ156" s="59">
        <f t="shared" si="150"/>
        <v>119.46953274700951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48.283980974107692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48.283980974107692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72.072000000000301</v>
      </c>
      <c r="D157" s="11">
        <f t="shared" si="140"/>
        <v>20.18713138514735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712.17575104324499</v>
      </c>
      <c r="H157" s="67">
        <f t="shared" si="110"/>
        <v>454.01798716246549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200.15574321350221</v>
      </c>
      <c r="T157" s="59">
        <f t="shared" si="142"/>
        <v>200.70728852570426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20.161979286183929</v>
      </c>
      <c r="AA157" s="21">
        <f>EXP(-LN(2)/25)*AA156+(1-EXP(-LN(2)/25))/(LN(2)/25)*Calculateur!V157*Calculateur!X157*VLOOKUP('Données projet'!$B$9,Paramètres!$A$1:$I$89,3,0)*0.475*44/12</f>
        <v>2.6674330585789976</v>
      </c>
      <c r="AB157" s="21">
        <f>EXP(-LN(2)/2)*AB156+(1-EXP(-LN(2)/2))/(LN(2)/2)*V157*Y157*VLOOKUP('Données projet'!$B$9,Paramètres!$A$1:$I$89,3,0)*0.475*44/12</f>
        <v>2.2710969808754846E-13</v>
      </c>
      <c r="AC157" s="22">
        <f t="shared" si="163"/>
        <v>22.829412344763153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45.407317338461951</v>
      </c>
      <c r="AO157" s="59">
        <f t="shared" si="144"/>
        <v>149.88701606165358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2.525339079607094</v>
      </c>
      <c r="AV157" s="21">
        <f>EXP(-LN(2)/25)*AV156+(1-EXP(-LN(2)/25))/(LN(2)/25)*Calculateur!AQ157*Calculateur!AS157*VLOOKUP('Données projet'!$B$10,Paramètres!$A$1:$I$89,3,0)*0.475*44/12</f>
        <v>0.186463410831092</v>
      </c>
      <c r="AW157" s="21">
        <f>EXP(-LN(2)/2)*AW156+(1-EXP(-LN(2)/2))/(LN(2)/2)*AQ157*AT157*VLOOKUP('Données projet'!$B$10,Paramètres!$A$1:$I$89,3,0)*0.475*44/12</f>
        <v>7.4109516856341642E-20</v>
      </c>
      <c r="AX157" s="21">
        <f t="shared" si="166"/>
        <v>2.7118024904381861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1.1368683772161603E-12</v>
      </c>
      <c r="BE157" s="13">
        <f>BD157*VLOOKUP('Données projet'!$B$11,Paramètres!$A$1:$I$89,3,0)*VLOOKUP('Données projet'!$B$11,Paramètres!$A$1:$I$89,5,0)</f>
        <v>5.3205440053716299E-13</v>
      </c>
      <c r="BF157" s="13">
        <f t="shared" si="167"/>
        <v>6.579711042921201E-12</v>
      </c>
      <c r="BG157" s="20">
        <f t="shared" si="168"/>
        <v>1.2386324814023317E-11</v>
      </c>
      <c r="BH157" s="59">
        <f t="shared" si="116"/>
        <v>293.33333333334571</v>
      </c>
      <c r="BI157" s="59">
        <f ca="1">AVERAGE(OFFSET($BH$3,0,0,'Données projet'!$E$11+1,1))-AVERAGE(OFFSET($H$3,0,0,'Données projet'!$E$11+1,1))</f>
        <v>183.67580045784649</v>
      </c>
      <c r="BJ157" s="59">
        <f t="shared" si="146"/>
        <v>121.08269345608767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92.445169718355331</v>
      </c>
      <c r="BQ157" s="21">
        <f>EXP(-LN(2)/25)*BQ156+(1-EXP(-LN(2)/25))/(LN(2)/25)*Calculateur!BL157*Calculateur!BN157*VLOOKUP('Données projet'!$B$11,Paramètres!$A$1:$I$89,3,0)*0.475*44/12</f>
        <v>18.399462932770611</v>
      </c>
      <c r="BR157" s="21">
        <f>EXP(-LN(2)/2)*BR156+(1-EXP(-LN(2)/2))/(LN(2)/2)*BL157*BO157*VLOOKUP('Données projet'!$B$11,Paramètres!$A$1:$I$89,3,0)*0.475*44/12</f>
        <v>6.4268558384491551E-3</v>
      </c>
      <c r="BS157" s="22">
        <f t="shared" si="169"/>
        <v>110.8510595069644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212.00000000000009</v>
      </c>
      <c r="BZ157" s="13">
        <f>BY157*VLOOKUP('Données projet'!$B$12,Paramètres!$A$1:$I$89,3,0)*VLOOKUP('Données projet'!$B$12,Paramètres!$A$1:$I$89,5,0)</f>
        <v>185.20320000000009</v>
      </c>
      <c r="CA157" s="13">
        <f t="shared" si="170"/>
        <v>46.477875402099386</v>
      </c>
      <c r="CB157" s="20">
        <f t="shared" si="171"/>
        <v>403.5112063253232</v>
      </c>
      <c r="CC157" s="59">
        <f t="shared" si="119"/>
        <v>696.84453965865646</v>
      </c>
      <c r="CD157" s="59">
        <f ca="1">AVERAGE(OFFSET($CC$3,0,0,'Données projet'!$E$12+1,1))-AVERAGE(OFFSET($H$3,0,0,'Données projet'!$E$12+1,1))</f>
        <v>216.10252108537389</v>
      </c>
      <c r="CE157" s="59">
        <f t="shared" si="148"/>
        <v>196.91968622092054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5.1256131452206803</v>
      </c>
      <c r="CL157" s="21">
        <f>EXP(-LN(2)/25)*CL156+(1-EXP(-LN(2)/25))/(LN(2)/25)*Calculateur!CG157*Calculateur!CI157*VLOOKUP('Données projet'!$B$12,Paramètres!$A$1:$I$89,3,0)*0.475*44/12</f>
        <v>3.1297066966408158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8.2553198418614961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>
        <f>VLOOKUP(A157,'Données projet'!$A$139:$I$159,2,0)</f>
        <v>371.83974358974359</v>
      </c>
      <c r="CR157" s="12">
        <f>VLOOKUP(A157,'Données projet'!$A$139:$I$159,9,0)</f>
        <v>6.2499999999999947</v>
      </c>
      <c r="CS157" s="12">
        <f t="array" ref="CS157">INDEX(CR:CR,MIN(IF(ISNUMBER(CR157:CR353),ROW(CR157:CR353),"")))</f>
        <v>6.2499999999999947</v>
      </c>
      <c r="CT157" s="12">
        <f>IF('Données projet'!$A$140&gt;35,CT156+CS157-DB156,IF(A157&lt;'Données projet'!$A$140,$CQ$205^A157,IF(A157='Données projet'!$A$140,'Données projet'!$B$140,CT156+CS157-DB156)))</f>
        <v>371.83974358974308</v>
      </c>
      <c r="CU157" s="17">
        <f>CT157*VLOOKUP('Données projet'!$B$13,Paramètres!$A$1:$I$89,3,0)*VLOOKUP('Données projet'!$B$13,Paramètres!$A$1:$I$89,5,0)</f>
        <v>336.44059999999956</v>
      </c>
      <c r="CV157" s="13">
        <f t="shared" si="173"/>
        <v>78.764102025417841</v>
      </c>
      <c r="CW157" s="20">
        <f t="shared" si="174"/>
        <v>723.14818936093525</v>
      </c>
      <c r="CX157" s="59">
        <f t="shared" si="122"/>
        <v>1016.4815226942685</v>
      </c>
      <c r="CY157" s="59">
        <f ca="1">AVERAGE(OFFSET($CX$3,0,0,'Données projet'!$E$13+1,1))-AVERAGE(OFFSET($H$3,0,0,'Données projet'!$E$13+1,1))</f>
        <v>318.01858325056168</v>
      </c>
      <c r="CZ157" s="59">
        <f t="shared" si="150"/>
        <v>119.46953274700951</v>
      </c>
      <c r="DA157" s="15">
        <f>IF(ISNA(VLOOKUP(A157,'Données projet'!$A$139:$I$159,3,0)),0,VLOOKUP(A157,'Données projet'!$A$139:$I$159,3,0))</f>
        <v>13</v>
      </c>
      <c r="DB157" s="15">
        <f>IF(ISNA(VLOOKUP(A157,'Données projet'!$A$139:$I$159,4,0)),0,VLOOKUP(A157,'Données projet'!$A$139:$I$159,4,0))</f>
        <v>41.557692307692307</v>
      </c>
      <c r="DC157" s="16">
        <f>IF(ISNA(VLOOKUP(A157,'Données projet'!$A$139:$I$159,5,0)),0%,VLOOKUP(A157,'Données projet'!$A$139:$I$159,5,0)*VLOOKUP('Données projet'!$B$13,Paramètres!$A$1:$I$89,7,0))</f>
        <v>0.38700000000000001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63.423681088037355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63.423681088037355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72.540000000000305</v>
      </c>
      <c r="D158" s="11">
        <f t="shared" si="140"/>
        <v>20.302914660456867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716.68214825616053</v>
      </c>
      <c r="H158" s="67">
        <f t="shared" si="110"/>
        <v>455.03474303362952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200.15574321350221</v>
      </c>
      <c r="T158" s="59">
        <f t="shared" si="142"/>
        <v>200.70728852570426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19.766615169974941</v>
      </c>
      <c r="AA158" s="21">
        <f>EXP(-LN(2)/25)*AA157+(1-EXP(-LN(2)/25))/(LN(2)/25)*Calculateur!V158*Calculateur!X158*VLOOKUP('Données projet'!$B$9,Paramètres!$A$1:$I$89,3,0)*0.475*44/12</f>
        <v>2.5944919613179467</v>
      </c>
      <c r="AB158" s="21">
        <f>EXP(-LN(2)/2)*AB157+(1-EXP(-LN(2)/2))/(LN(2)/2)*V158*Y158*VLOOKUP('Données projet'!$B$9,Paramètres!$A$1:$I$89,3,0)*0.475*44/12</f>
        <v>1.6059080759093501E-13</v>
      </c>
      <c r="AC158" s="22">
        <f t="shared" si="163"/>
        <v>22.361107131293046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45.407317338461951</v>
      </c>
      <c r="AO158" s="59">
        <f t="shared" si="144"/>
        <v>149.88701606165358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2.4758187205607451</v>
      </c>
      <c r="AV158" s="21">
        <f>EXP(-LN(2)/25)*AV157+(1-EXP(-LN(2)/25))/(LN(2)/25)*Calculateur!AQ158*Calculateur!AS158*VLOOKUP('Données projet'!$B$10,Paramètres!$A$1:$I$89,3,0)*0.475*44/12</f>
        <v>0.18136455905623117</v>
      </c>
      <c r="AW158" s="21">
        <f>EXP(-LN(2)/2)*AW157+(1-EXP(-LN(2)/2))/(LN(2)/2)*AQ158*AT158*VLOOKUP('Données projet'!$B$10,Paramètres!$A$1:$I$89,3,0)*0.475*44/12</f>
        <v>5.2403341919577925E-20</v>
      </c>
      <c r="AX158" s="21">
        <f t="shared" si="166"/>
        <v>2.6571832796169765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1.1368683772161603E-12</v>
      </c>
      <c r="BE158" s="13">
        <f>BD158*VLOOKUP('Données projet'!$B$11,Paramètres!$A$1:$I$89,3,0)*VLOOKUP('Données projet'!$B$11,Paramètres!$A$1:$I$89,5,0)</f>
        <v>5.3205440053716299E-13</v>
      </c>
      <c r="BF158" s="13">
        <f t="shared" si="167"/>
        <v>6.579711042921201E-12</v>
      </c>
      <c r="BG158" s="20">
        <f t="shared" si="168"/>
        <v>1.2386324814023317E-11</v>
      </c>
      <c r="BH158" s="59">
        <f t="shared" si="116"/>
        <v>293.33333333334571</v>
      </c>
      <c r="BI158" s="59">
        <f ca="1">AVERAGE(OFFSET($BH$3,0,0,'Données projet'!$E$11+1,1))-AVERAGE(OFFSET($H$3,0,0,'Données projet'!$E$11+1,1))</f>
        <v>183.67580045784649</v>
      </c>
      <c r="BJ158" s="59">
        <f t="shared" si="146"/>
        <v>121.08269345608767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90.632376326164263</v>
      </c>
      <c r="BQ158" s="21">
        <f>EXP(-LN(2)/25)*BQ157+(1-EXP(-LN(2)/25))/(LN(2)/25)*Calculateur!BL158*Calculateur!BN158*VLOOKUP('Données projet'!$B$11,Paramètres!$A$1:$I$89,3,0)*0.475*44/12</f>
        <v>17.896328651288297</v>
      </c>
      <c r="BR158" s="21">
        <f>EXP(-LN(2)/2)*BR157+(1-EXP(-LN(2)/2))/(LN(2)/2)*BL158*BO158*VLOOKUP('Données projet'!$B$11,Paramètres!$A$1:$I$89,3,0)*0.475*44/12</f>
        <v>4.5444733450757521E-3</v>
      </c>
      <c r="BS158" s="22">
        <f t="shared" si="169"/>
        <v>108.53324945079764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212.00000000000009</v>
      </c>
      <c r="BZ158" s="13">
        <f>BY158*VLOOKUP('Données projet'!$B$12,Paramètres!$A$1:$I$89,3,0)*VLOOKUP('Données projet'!$B$12,Paramètres!$A$1:$I$89,5,0)</f>
        <v>185.20320000000009</v>
      </c>
      <c r="CA158" s="13">
        <f t="shared" si="170"/>
        <v>46.477875402099386</v>
      </c>
      <c r="CB158" s="20">
        <f t="shared" si="171"/>
        <v>403.5112063253232</v>
      </c>
      <c r="CC158" s="59">
        <f t="shared" si="119"/>
        <v>696.84453965865646</v>
      </c>
      <c r="CD158" s="59">
        <f ca="1">AVERAGE(OFFSET($CC$3,0,0,'Données projet'!$E$12+1,1))-AVERAGE(OFFSET($H$3,0,0,'Données projet'!$E$12+1,1))</f>
        <v>216.10252108537389</v>
      </c>
      <c r="CE158" s="59">
        <f t="shared" si="148"/>
        <v>196.91968622092054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5.0251029977582231</v>
      </c>
      <c r="CL158" s="21">
        <f>EXP(-LN(2)/25)*CL157+(1-EXP(-LN(2)/25))/(LN(2)/25)*Calculateur!CG158*Calculateur!CI158*VLOOKUP('Données projet'!$B$12,Paramètres!$A$1:$I$89,3,0)*0.475*44/12</f>
        <v>3.0441247024370504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8.0692277001952739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6.3403846153846128</v>
      </c>
      <c r="CT158" s="12">
        <f>IF('Données projet'!$A$140&gt;35,CT157+CS158-DB157,IF(A158&lt;'Données projet'!$A$140,$CQ$205^A158,IF(A158='Données projet'!$A$140,'Données projet'!$B$140,CT157+CS158-DB157)))</f>
        <v>336.62243589743537</v>
      </c>
      <c r="CU158" s="17">
        <f>CT158*VLOOKUP('Données projet'!$B$13,Paramètres!$A$1:$I$89,3,0)*VLOOKUP('Données projet'!$B$13,Paramètres!$A$1:$I$89,5,0)</f>
        <v>304.5759799999995</v>
      </c>
      <c r="CV158" s="13">
        <f t="shared" si="173"/>
        <v>72.134917834185984</v>
      </c>
      <c r="CW158" s="20">
        <f t="shared" si="174"/>
        <v>656.10481372787308</v>
      </c>
      <c r="CX158" s="59">
        <f t="shared" si="122"/>
        <v>949.43814706120634</v>
      </c>
      <c r="CY158" s="59">
        <f ca="1">AVERAGE(OFFSET($CX$3,0,0,'Données projet'!$E$13+1,1))-AVERAGE(OFFSET($H$3,0,0,'Données projet'!$E$13+1,1))</f>
        <v>318.01858325056168</v>
      </c>
      <c r="CZ158" s="59">
        <f t="shared" si="150"/>
        <v>119.46953274700951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62.17998138652662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62.17998138652662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73.008000000000308</v>
      </c>
      <c r="D159" s="11">
        <f t="shared" si="140"/>
        <v>20.418611018263718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721.1878745269504</v>
      </c>
      <c r="H159" s="67">
        <f t="shared" si="110"/>
        <v>456.05134752347647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200.15574321350221</v>
      </c>
      <c r="T159" s="59">
        <f t="shared" si="142"/>
        <v>200.70728852570426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19.37900390293651</v>
      </c>
      <c r="AA159" s="21">
        <f>EXP(-LN(2)/25)*AA158+(1-EXP(-LN(2)/25))/(LN(2)/25)*Calculateur!V159*Calculateur!X159*VLOOKUP('Données projet'!$B$9,Paramètres!$A$1:$I$89,3,0)*0.475*44/12</f>
        <v>2.5235454421973049</v>
      </c>
      <c r="AB159" s="21">
        <f>EXP(-LN(2)/2)*AB158+(1-EXP(-LN(2)/2))/(LN(2)/2)*V159*Y159*VLOOKUP('Données projet'!$B$9,Paramètres!$A$1:$I$89,3,0)*0.475*44/12</f>
        <v>1.1355484904377424E-13</v>
      </c>
      <c r="AC159" s="22">
        <f t="shared" si="163"/>
        <v>21.902549345133927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45.407317338461951</v>
      </c>
      <c r="AO159" s="59">
        <f t="shared" si="144"/>
        <v>149.88701606165358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2.4272694255508585</v>
      </c>
      <c r="AV159" s="21">
        <f>EXP(-LN(2)/25)*AV158+(1-EXP(-LN(2)/25))/(LN(2)/25)*Calculateur!AQ159*Calculateur!AS159*VLOOKUP('Données projet'!$B$10,Paramètres!$A$1:$I$89,3,0)*0.475*44/12</f>
        <v>0.17640513565129087</v>
      </c>
      <c r="AW159" s="21">
        <f>EXP(-LN(2)/2)*AW158+(1-EXP(-LN(2)/2))/(LN(2)/2)*AQ159*AT159*VLOOKUP('Données projet'!$B$10,Paramètres!$A$1:$I$89,3,0)*0.475*44/12</f>
        <v>3.7054758428170821E-20</v>
      </c>
      <c r="AX159" s="21">
        <f t="shared" si="166"/>
        <v>2.6036745612021495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1.1368683772161603E-12</v>
      </c>
      <c r="BE159" s="13">
        <f>BD159*VLOOKUP('Données projet'!$B$11,Paramètres!$A$1:$I$89,3,0)*VLOOKUP('Données projet'!$B$11,Paramètres!$A$1:$I$89,5,0)</f>
        <v>5.3205440053716299E-13</v>
      </c>
      <c r="BF159" s="13">
        <f t="shared" si="167"/>
        <v>6.579711042921201E-12</v>
      </c>
      <c r="BG159" s="20">
        <f t="shared" si="168"/>
        <v>1.2386324814023317E-11</v>
      </c>
      <c r="BH159" s="59">
        <f t="shared" si="116"/>
        <v>293.33333333334571</v>
      </c>
      <c r="BI159" s="59">
        <f ca="1">AVERAGE(OFFSET($BH$3,0,0,'Données projet'!$E$11+1,1))-AVERAGE(OFFSET($H$3,0,0,'Données projet'!$E$11+1,1))</f>
        <v>183.67580045784649</v>
      </c>
      <c r="BJ159" s="59">
        <f t="shared" si="146"/>
        <v>121.08269345608767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88.855130706699271</v>
      </c>
      <c r="BQ159" s="21">
        <f>EXP(-LN(2)/25)*BQ158+(1-EXP(-LN(2)/25))/(LN(2)/25)*Calculateur!BL159*Calculateur!BN159*VLOOKUP('Données projet'!$B$11,Paramètres!$A$1:$I$89,3,0)*0.475*44/12</f>
        <v>17.406952603191797</v>
      </c>
      <c r="BR159" s="21">
        <f>EXP(-LN(2)/2)*BR158+(1-EXP(-LN(2)/2))/(LN(2)/2)*BL159*BO159*VLOOKUP('Données projet'!$B$11,Paramètres!$A$1:$I$89,3,0)*0.475*44/12</f>
        <v>3.2134279192245776E-3</v>
      </c>
      <c r="BS159" s="22">
        <f t="shared" si="169"/>
        <v>106.26529673781029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212.00000000000009</v>
      </c>
      <c r="BZ159" s="13">
        <f>BY159*VLOOKUP('Données projet'!$B$12,Paramètres!$A$1:$I$89,3,0)*VLOOKUP('Données projet'!$B$12,Paramètres!$A$1:$I$89,5,0)</f>
        <v>185.20320000000009</v>
      </c>
      <c r="CA159" s="13">
        <f t="shared" si="170"/>
        <v>46.477875402099386</v>
      </c>
      <c r="CB159" s="20">
        <f t="shared" si="171"/>
        <v>403.5112063253232</v>
      </c>
      <c r="CC159" s="59">
        <f t="shared" si="119"/>
        <v>696.84453965865646</v>
      </c>
      <c r="CD159" s="59">
        <f ca="1">AVERAGE(OFFSET($CC$3,0,0,'Données projet'!$E$12+1,1))-AVERAGE(OFFSET($H$3,0,0,'Données projet'!$E$12+1,1))</f>
        <v>216.10252108537389</v>
      </c>
      <c r="CE159" s="59">
        <f t="shared" si="148"/>
        <v>196.91968622092054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4.9265637929823685</v>
      </c>
      <c r="CL159" s="21">
        <f>EXP(-LN(2)/25)*CL158+(1-EXP(-LN(2)/25))/(LN(2)/25)*Calculateur!CG159*Calculateur!CI159*VLOOKUP('Données projet'!$B$12,Paramètres!$A$1:$I$89,3,0)*0.475*44/12</f>
        <v>2.9608829523653486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7.8874467453477166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6.3403846153846128</v>
      </c>
      <c r="CT159" s="12">
        <f>IF('Données projet'!$A$140&gt;35,CT158+CS159-DB158,IF(A159&lt;'Données projet'!$A$140,$CQ$205^A159,IF(A159='Données projet'!$A$140,'Données projet'!$B$140,CT158+CS159-DB158)))</f>
        <v>342.96282051281997</v>
      </c>
      <c r="CU159" s="17">
        <f>CT159*VLOOKUP('Données projet'!$B$13,Paramètres!$A$1:$I$89,3,0)*VLOOKUP('Données projet'!$B$13,Paramètres!$A$1:$I$89,5,0)</f>
        <v>310.31275999999946</v>
      </c>
      <c r="CV159" s="13">
        <f t="shared" si="173"/>
        <v>73.334143074131603</v>
      </c>
      <c r="CW159" s="20">
        <f t="shared" si="174"/>
        <v>668.18502285411148</v>
      </c>
      <c r="CX159" s="59">
        <f t="shared" si="122"/>
        <v>961.51835618744485</v>
      </c>
      <c r="CY159" s="59">
        <f ca="1">AVERAGE(OFFSET($CX$3,0,0,'Données projet'!$E$13+1,1))-AVERAGE(OFFSET($H$3,0,0,'Données projet'!$E$13+1,1))</f>
        <v>318.01858325056168</v>
      </c>
      <c r="CZ159" s="59">
        <f t="shared" si="150"/>
        <v>119.46953274700951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60.960669877580592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60.960669877580592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73.476000000000312</v>
      </c>
      <c r="D160" s="11">
        <f t="shared" si="140"/>
        <v>20.534221080361753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725.69293465542648</v>
      </c>
      <c r="H160" s="67">
        <f t="shared" si="110"/>
        <v>457.06780171496393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200.15574321350221</v>
      </c>
      <c r="T160" s="59">
        <f t="shared" si="142"/>
        <v>200.70728852570426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18.998993456425175</v>
      </c>
      <c r="AA160" s="21">
        <f>EXP(-LN(2)/25)*AA159+(1-EXP(-LN(2)/25))/(LN(2)/25)*Calculateur!V160*Calculateur!X160*VLOOKUP('Données projet'!$B$9,Paramètres!$A$1:$I$89,3,0)*0.475*44/12</f>
        <v>2.4545389593729325</v>
      </c>
      <c r="AB160" s="21">
        <f>EXP(-LN(2)/2)*AB159+(1-EXP(-LN(2)/2))/(LN(2)/2)*V160*Y160*VLOOKUP('Données projet'!$B$9,Paramètres!$A$1:$I$89,3,0)*0.475*44/12</f>
        <v>8.0295403795467518E-14</v>
      </c>
      <c r="AC160" s="22">
        <f t="shared" si="163"/>
        <v>21.45353241579819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45.407317338461951</v>
      </c>
      <c r="AO160" s="59">
        <f t="shared" si="144"/>
        <v>149.88701606165358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2.3796721526039697</v>
      </c>
      <c r="AV160" s="21">
        <f>EXP(-LN(2)/25)*AV159+(1-EXP(-LN(2)/25))/(LN(2)/25)*Calculateur!AQ160*Calculateur!AS160*VLOOKUP('Données projet'!$B$10,Paramètres!$A$1:$I$89,3,0)*0.475*44/12</f>
        <v>0.17158132794016343</v>
      </c>
      <c r="AW160" s="21">
        <f>EXP(-LN(2)/2)*AW159+(1-EXP(-LN(2)/2))/(LN(2)/2)*AQ160*AT160*VLOOKUP('Données projet'!$B$10,Paramètres!$A$1:$I$89,3,0)*0.475*44/12</f>
        <v>2.6201670959788963E-20</v>
      </c>
      <c r="AX160" s="21">
        <f t="shared" si="166"/>
        <v>2.5512534805441329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1.1368683772161603E-12</v>
      </c>
      <c r="BE160" s="13">
        <f>BD160*VLOOKUP('Données projet'!$B$11,Paramètres!$A$1:$I$89,3,0)*VLOOKUP('Données projet'!$B$11,Paramètres!$A$1:$I$89,5,0)</f>
        <v>5.3205440053716299E-13</v>
      </c>
      <c r="BF160" s="13">
        <f t="shared" si="167"/>
        <v>6.579711042921201E-12</v>
      </c>
      <c r="BG160" s="20">
        <f t="shared" si="168"/>
        <v>1.2386324814023317E-11</v>
      </c>
      <c r="BH160" s="59">
        <f t="shared" si="116"/>
        <v>293.33333333334571</v>
      </c>
      <c r="BI160" s="59">
        <f ca="1">AVERAGE(OFFSET($BH$3,0,0,'Données projet'!$E$11+1,1))-AVERAGE(OFFSET($H$3,0,0,'Données projet'!$E$11+1,1))</f>
        <v>183.67580045784649</v>
      </c>
      <c r="BJ160" s="59">
        <f t="shared" si="146"/>
        <v>121.08269345608767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87.112735789819197</v>
      </c>
      <c r="BQ160" s="21">
        <f>EXP(-LN(2)/25)*BQ159+(1-EXP(-LN(2)/25))/(LN(2)/25)*Calculateur!BL160*Calculateur!BN160*VLOOKUP('Données projet'!$B$11,Paramètres!$A$1:$I$89,3,0)*0.475*44/12</f>
        <v>16.930958568865666</v>
      </c>
      <c r="BR160" s="21">
        <f>EXP(-LN(2)/2)*BR159+(1-EXP(-LN(2)/2))/(LN(2)/2)*BL160*BO160*VLOOKUP('Données projet'!$B$11,Paramètres!$A$1:$I$89,3,0)*0.475*44/12</f>
        <v>2.272236672537876E-3</v>
      </c>
      <c r="BS160" s="22">
        <f t="shared" si="169"/>
        <v>104.0459665953574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212.00000000000009</v>
      </c>
      <c r="BZ160" s="13">
        <f>BY160*VLOOKUP('Données projet'!$B$12,Paramètres!$A$1:$I$89,3,0)*VLOOKUP('Données projet'!$B$12,Paramètres!$A$1:$I$89,5,0)</f>
        <v>185.20320000000009</v>
      </c>
      <c r="CA160" s="13">
        <f t="shared" si="170"/>
        <v>46.477875402099386</v>
      </c>
      <c r="CB160" s="20">
        <f t="shared" si="171"/>
        <v>403.5112063253232</v>
      </c>
      <c r="CC160" s="59">
        <f t="shared" si="119"/>
        <v>696.84453965865646</v>
      </c>
      <c r="CD160" s="59">
        <f ca="1">AVERAGE(OFFSET($CC$3,0,0,'Données projet'!$E$12+1,1))-AVERAGE(OFFSET($H$3,0,0,'Données projet'!$E$12+1,1))</f>
        <v>216.10252108537389</v>
      </c>
      <c r="CE160" s="59">
        <f t="shared" si="148"/>
        <v>196.91968622092054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4.8299568819091876</v>
      </c>
      <c r="CL160" s="21">
        <f>EXP(-LN(2)/25)*CL159+(1-EXP(-LN(2)/25))/(LN(2)/25)*Calculateur!CG160*Calculateur!CI160*VLOOKUP('Données projet'!$B$12,Paramètres!$A$1:$I$89,3,0)*0.475*44/12</f>
        <v>2.8799174523268509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7.709874334236039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6.3403846153846128</v>
      </c>
      <c r="CT160" s="12">
        <f>IF('Données projet'!$A$140&gt;35,CT159+CS160-DB159,IF(A160&lt;'Données projet'!$A$140,$CQ$205^A160,IF(A160='Données projet'!$A$140,'Données projet'!$B$140,CT159+CS160-DB159)))</f>
        <v>349.30320512820458</v>
      </c>
      <c r="CU160" s="17">
        <f>CT160*VLOOKUP('Données projet'!$B$13,Paramètres!$A$1:$I$89,3,0)*VLOOKUP('Données projet'!$B$13,Paramètres!$A$1:$I$89,5,0)</f>
        <v>316.04953999999947</v>
      </c>
      <c r="CV160" s="13">
        <f t="shared" si="173"/>
        <v>74.530790323887828</v>
      </c>
      <c r="CW160" s="20">
        <f t="shared" si="174"/>
        <v>680.26074198077038</v>
      </c>
      <c r="CX160" s="59">
        <f t="shared" si="122"/>
        <v>973.59407531410375</v>
      </c>
      <c r="CY160" s="59">
        <f ca="1">AVERAGE(OFFSET($CX$3,0,0,'Données projet'!$E$13+1,1))-AVERAGE(OFFSET($H$3,0,0,'Données projet'!$E$13+1,1))</f>
        <v>318.01858325056168</v>
      </c>
      <c r="CZ160" s="59">
        <f t="shared" si="150"/>
        <v>119.46953274700951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59.765268323618415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59.765268323618415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73.944000000000315</v>
      </c>
      <c r="D161" s="11">
        <f t="shared" si="140"/>
        <v>20.649745460165789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730.19733337672085</v>
      </c>
      <c r="H161" s="67">
        <f t="shared" si="110"/>
        <v>458.08410667645592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200.15574321350221</v>
      </c>
      <c r="T161" s="59">
        <f t="shared" si="142"/>
        <v>200.70728852570426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18.626434782986443</v>
      </c>
      <c r="AA161" s="21">
        <f>EXP(-LN(2)/25)*AA160+(1-EXP(-LN(2)/25))/(LN(2)/25)*Calculateur!V161*Calculateur!X161*VLOOKUP('Données projet'!$B$9,Paramètres!$A$1:$I$89,3,0)*0.475*44/12</f>
        <v>2.3874194624502856</v>
      </c>
      <c r="AB161" s="21">
        <f>EXP(-LN(2)/2)*AB160+(1-EXP(-LN(2)/2))/(LN(2)/2)*V161*Y161*VLOOKUP('Données projet'!$B$9,Paramètres!$A$1:$I$89,3,0)*0.475*44/12</f>
        <v>5.6777424521887134E-14</v>
      </c>
      <c r="AC161" s="22">
        <f t="shared" si="163"/>
        <v>21.013854245436786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45.407317338461951</v>
      </c>
      <c r="AO161" s="59">
        <f t="shared" si="144"/>
        <v>149.88701606165358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2.3330082331480995</v>
      </c>
      <c r="AV161" s="21">
        <f>EXP(-LN(2)/25)*AV160+(1-EXP(-LN(2)/25))/(LN(2)/25)*Calculateur!AQ161*Calculateur!AS161*VLOOKUP('Données projet'!$B$10,Paramètres!$A$1:$I$89,3,0)*0.475*44/12</f>
        <v>0.16688942750456978</v>
      </c>
      <c r="AW161" s="21">
        <f>EXP(-LN(2)/2)*AW160+(1-EXP(-LN(2)/2))/(LN(2)/2)*AQ161*AT161*VLOOKUP('Données projet'!$B$10,Paramètres!$A$1:$I$89,3,0)*0.475*44/12</f>
        <v>1.8527379214085411E-20</v>
      </c>
      <c r="AX161" s="21">
        <f t="shared" si="166"/>
        <v>2.4998976606526693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1.1368683772161603E-12</v>
      </c>
      <c r="BE161" s="13">
        <f>BD161*VLOOKUP('Données projet'!$B$11,Paramètres!$A$1:$I$89,3,0)*VLOOKUP('Données projet'!$B$11,Paramètres!$A$1:$I$89,5,0)</f>
        <v>5.3205440053716299E-13</v>
      </c>
      <c r="BF161" s="13">
        <f t="shared" si="167"/>
        <v>6.579711042921201E-12</v>
      </c>
      <c r="BG161" s="20">
        <f t="shared" si="168"/>
        <v>1.2386324814023317E-11</v>
      </c>
      <c r="BH161" s="59">
        <f t="shared" si="116"/>
        <v>293.33333333334571</v>
      </c>
      <c r="BI161" s="59">
        <f ca="1">AVERAGE(OFFSET($BH$3,0,0,'Données projet'!$E$11+1,1))-AVERAGE(OFFSET($H$3,0,0,'Données projet'!$E$11+1,1))</f>
        <v>183.67580045784649</v>
      </c>
      <c r="BJ161" s="59">
        <f t="shared" si="146"/>
        <v>121.08269345608767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85.404508174503178</v>
      </c>
      <c r="BQ161" s="21">
        <f>EXP(-LN(2)/25)*BQ160+(1-EXP(-LN(2)/25))/(LN(2)/25)*Calculateur!BL161*Calculateur!BN161*VLOOKUP('Données projet'!$B$11,Paramètres!$A$1:$I$89,3,0)*0.475*44/12</f>
        <v>16.467980616439618</v>
      </c>
      <c r="BR161" s="21">
        <f>EXP(-LN(2)/2)*BR160+(1-EXP(-LN(2)/2))/(LN(2)/2)*BL161*BO161*VLOOKUP('Données projet'!$B$11,Paramètres!$A$1:$I$89,3,0)*0.475*44/12</f>
        <v>1.6067139596122888E-3</v>
      </c>
      <c r="BS161" s="22">
        <f t="shared" si="169"/>
        <v>101.87409550490241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212.00000000000009</v>
      </c>
      <c r="BZ161" s="13">
        <f>BY161*VLOOKUP('Données projet'!$B$12,Paramètres!$A$1:$I$89,3,0)*VLOOKUP('Données projet'!$B$12,Paramètres!$A$1:$I$89,5,0)</f>
        <v>185.20320000000009</v>
      </c>
      <c r="CA161" s="13">
        <f t="shared" si="170"/>
        <v>46.477875402099386</v>
      </c>
      <c r="CB161" s="20">
        <f t="shared" si="171"/>
        <v>403.5112063253232</v>
      </c>
      <c r="CC161" s="59">
        <f t="shared" si="119"/>
        <v>696.84453965865646</v>
      </c>
      <c r="CD161" s="59">
        <f ca="1">AVERAGE(OFFSET($CC$3,0,0,'Données projet'!$E$12+1,1))-AVERAGE(OFFSET($H$3,0,0,'Données projet'!$E$12+1,1))</f>
        <v>216.10252108537389</v>
      </c>
      <c r="CE161" s="59">
        <f t="shared" si="148"/>
        <v>196.91968622092054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4.7352443734377552</v>
      </c>
      <c r="CL161" s="21">
        <f>EXP(-LN(2)/25)*CL160+(1-EXP(-LN(2)/25))/(LN(2)/25)*Calculateur!CG161*Calculateur!CI161*VLOOKUP('Données projet'!$B$12,Paramètres!$A$1:$I$89,3,0)*0.475*44/12</f>
        <v>2.8011659581446966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7.5364103315824522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6.3403846153846128</v>
      </c>
      <c r="CT161" s="12">
        <f>IF('Données projet'!$A$140&gt;35,CT160+CS161-DB160,IF(A161&lt;'Données projet'!$A$140,$CQ$205^A161,IF(A161='Données projet'!$A$140,'Données projet'!$B$140,CT160+CS161-DB160)))</f>
        <v>355.64358974358919</v>
      </c>
      <c r="CU161" s="17">
        <f>CT161*VLOOKUP('Données projet'!$B$13,Paramètres!$A$1:$I$89,3,0)*VLOOKUP('Données projet'!$B$13,Paramètres!$A$1:$I$89,5,0)</f>
        <v>321.78631999999948</v>
      </c>
      <c r="CV161" s="13">
        <f t="shared" si="173"/>
        <v>75.724911775401807</v>
      </c>
      <c r="CW161" s="20">
        <f t="shared" si="174"/>
        <v>692.33206200882375</v>
      </c>
      <c r="CX161" s="59">
        <f t="shared" si="122"/>
        <v>985.66539534215713</v>
      </c>
      <c r="CY161" s="59">
        <f ca="1">AVERAGE(OFFSET($CX$3,0,0,'Données projet'!$E$13+1,1))-AVERAGE(OFFSET($H$3,0,0,'Données projet'!$E$13+1,1))</f>
        <v>318.01858325056168</v>
      </c>
      <c r="CZ161" s="59">
        <f t="shared" si="150"/>
        <v>119.46953274700951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58.59330786500648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58.59330786500648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74.412000000000319</v>
      </c>
      <c r="D162" s="11">
        <f t="shared" si="140"/>
        <v>20.765184762876906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734.70107536256103</v>
      </c>
      <c r="H162" s="67">
        <f t="shared" si="110"/>
        <v>459.10026346201118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200.15574321350221</v>
      </c>
      <c r="T162" s="59">
        <f t="shared" si="142"/>
        <v>200.70728852570426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18.261181757895493</v>
      </c>
      <c r="AA162" s="21">
        <f>EXP(-LN(2)/25)*AA161+(1-EXP(-LN(2)/25))/(LN(2)/25)*Calculateur!V162*Calculateur!X162*VLOOKUP('Données projet'!$B$9,Paramètres!$A$1:$I$89,3,0)*0.475*44/12</f>
        <v>2.3221353517006493</v>
      </c>
      <c r="AB162" s="21">
        <f>EXP(-LN(2)/2)*AB161+(1-EXP(-LN(2)/2))/(LN(2)/2)*V162*Y162*VLOOKUP('Données projet'!$B$9,Paramètres!$A$1:$I$89,3,0)*0.475*44/12</f>
        <v>4.0147701897733765E-14</v>
      </c>
      <c r="AC162" s="22">
        <f t="shared" si="163"/>
        <v>20.58331710959618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45.407317338461951</v>
      </c>
      <c r="AO162" s="59">
        <f t="shared" si="144"/>
        <v>149.88701606165358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2.2872593646905783</v>
      </c>
      <c r="AV162" s="21">
        <f>EXP(-LN(2)/25)*AV161+(1-EXP(-LN(2)/25))/(LN(2)/25)*Calculateur!AQ162*Calculateur!AS162*VLOOKUP('Données projet'!$B$10,Paramètres!$A$1:$I$89,3,0)*0.475*44/12</f>
        <v>0.16232582733312376</v>
      </c>
      <c r="AW162" s="21">
        <f>EXP(-LN(2)/2)*AW161+(1-EXP(-LN(2)/2))/(LN(2)/2)*AQ162*AT162*VLOOKUP('Données projet'!$B$10,Paramètres!$A$1:$I$89,3,0)*0.475*44/12</f>
        <v>1.3100835479894481E-20</v>
      </c>
      <c r="AX162" s="21">
        <f t="shared" si="166"/>
        <v>2.4495851920237022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1.1368683772161603E-12</v>
      </c>
      <c r="BE162" s="13">
        <f>BD162*VLOOKUP('Données projet'!$B$11,Paramètres!$A$1:$I$89,3,0)*VLOOKUP('Données projet'!$B$11,Paramètres!$A$1:$I$89,5,0)</f>
        <v>5.3205440053716299E-13</v>
      </c>
      <c r="BF162" s="13">
        <f t="shared" si="167"/>
        <v>6.579711042921201E-12</v>
      </c>
      <c r="BG162" s="20">
        <f t="shared" si="168"/>
        <v>1.2386324814023317E-11</v>
      </c>
      <c r="BH162" s="59">
        <f t="shared" si="116"/>
        <v>293.33333333334571</v>
      </c>
      <c r="BI162" s="59">
        <f ca="1">AVERAGE(OFFSET($BH$3,0,0,'Données projet'!$E$11+1,1))-AVERAGE(OFFSET($H$3,0,0,'Données projet'!$E$11+1,1))</f>
        <v>183.67580045784649</v>
      </c>
      <c r="BJ162" s="59">
        <f t="shared" si="146"/>
        <v>121.08269345608767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83.729777860807545</v>
      </c>
      <c r="BQ162" s="21">
        <f>EXP(-LN(2)/25)*BQ161+(1-EXP(-LN(2)/25))/(LN(2)/25)*Calculateur!BL162*Calculateur!BN162*VLOOKUP('Données projet'!$B$11,Paramètres!$A$1:$I$89,3,0)*0.475*44/12</f>
        <v>16.017662820469614</v>
      </c>
      <c r="BR162" s="21">
        <f>EXP(-LN(2)/2)*BR161+(1-EXP(-LN(2)/2))/(LN(2)/2)*BL162*BO162*VLOOKUP('Données projet'!$B$11,Paramètres!$A$1:$I$89,3,0)*0.475*44/12</f>
        <v>1.136118336268938E-3</v>
      </c>
      <c r="BS162" s="22">
        <f t="shared" si="169"/>
        <v>99.748576799613417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212.00000000000009</v>
      </c>
      <c r="BZ162" s="13">
        <f>BY162*VLOOKUP('Données projet'!$B$12,Paramètres!$A$1:$I$89,3,0)*VLOOKUP('Données projet'!$B$12,Paramètres!$A$1:$I$89,5,0)</f>
        <v>185.20320000000009</v>
      </c>
      <c r="CA162" s="13">
        <f t="shared" si="170"/>
        <v>46.477875402099386</v>
      </c>
      <c r="CB162" s="20">
        <f t="shared" si="171"/>
        <v>403.5112063253232</v>
      </c>
      <c r="CC162" s="59">
        <f t="shared" si="119"/>
        <v>696.84453965865646</v>
      </c>
      <c r="CD162" s="59">
        <f ca="1">AVERAGE(OFFSET($CC$3,0,0,'Données projet'!$E$12+1,1))-AVERAGE(OFFSET($H$3,0,0,'Données projet'!$E$12+1,1))</f>
        <v>216.10252108537389</v>
      </c>
      <c r="CE162" s="59">
        <f t="shared" si="148"/>
        <v>196.91968622092054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4.642389119488521</v>
      </c>
      <c r="CL162" s="21">
        <f>EXP(-LN(2)/25)*CL161+(1-EXP(-LN(2)/25))/(LN(2)/25)*Calculateur!CG162*Calculateur!CI162*VLOOKUP('Données projet'!$B$12,Paramètres!$A$1:$I$89,3,0)*0.475*44/12</f>
        <v>2.7245679277123145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7.3669570472008354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6.3403846153846128</v>
      </c>
      <c r="CT162" s="12">
        <f>IF('Données projet'!$A$140&gt;35,CT161+CS162-DB161,IF(A162&lt;'Données projet'!$A$140,$CQ$205^A162,IF(A162='Données projet'!$A$140,'Données projet'!$B$140,CT161+CS162-DB161)))</f>
        <v>361.9839743589738</v>
      </c>
      <c r="CU162" s="17">
        <f>CT162*VLOOKUP('Données projet'!$B$13,Paramètres!$A$1:$I$89,3,0)*VLOOKUP('Données projet'!$B$13,Paramètres!$A$1:$I$89,5,0)</f>
        <v>327.52309999999949</v>
      </c>
      <c r="CV162" s="13">
        <f t="shared" si="173"/>
        <v>76.916557653095737</v>
      </c>
      <c r="CW162" s="20">
        <f t="shared" si="174"/>
        <v>704.39907041247409</v>
      </c>
      <c r="CX162" s="59">
        <f t="shared" si="122"/>
        <v>997.73240374580746</v>
      </c>
      <c r="CY162" s="59">
        <f ca="1">AVERAGE(OFFSET($CX$3,0,0,'Données projet'!$E$13+1,1))-AVERAGE(OFFSET($H$3,0,0,'Données projet'!$E$13+1,1))</f>
        <v>318.01858325056168</v>
      </c>
      <c r="CZ162" s="59">
        <f t="shared" si="150"/>
        <v>119.46953274700951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57.444328836162626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57.444328836162626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74.880000000000322</v>
      </c>
      <c r="D163" s="11">
        <f t="shared" si="140"/>
        <v>20.880539585643316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739.20416522251242</v>
      </c>
      <c r="H163" s="67">
        <f t="shared" si="110"/>
        <v>460.11627311166262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200.15574321350221</v>
      </c>
      <c r="T163" s="59">
        <f t="shared" si="142"/>
        <v>200.70728852570426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17.903091121844227</v>
      </c>
      <c r="AA163" s="21">
        <f>EXP(-LN(2)/25)*AA162+(1-EXP(-LN(2)/25))/(LN(2)/25)*Calculateur!V163*Calculateur!X163*VLOOKUP('Données projet'!$B$9,Paramètres!$A$1:$I$89,3,0)*0.475*44/12</f>
        <v>2.2586364383926041</v>
      </c>
      <c r="AB163" s="21">
        <f>EXP(-LN(2)/2)*AB162+(1-EXP(-LN(2)/2))/(LN(2)/2)*V163*Y163*VLOOKUP('Données projet'!$B$9,Paramètres!$A$1:$I$89,3,0)*0.475*44/12</f>
        <v>2.838871226094357E-14</v>
      </c>
      <c r="AC163" s="22">
        <f t="shared" si="163"/>
        <v>20.161727560236859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45.407317338461951</v>
      </c>
      <c r="AO163" s="59">
        <f t="shared" si="144"/>
        <v>149.88701606165358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2.2424076036394549</v>
      </c>
      <c r="AV163" s="21">
        <f>EXP(-LN(2)/25)*AV162+(1-EXP(-LN(2)/25))/(LN(2)/25)*Calculateur!AQ163*Calculateur!AS163*VLOOKUP('Données projet'!$B$10,Paramètres!$A$1:$I$89,3,0)*0.475*44/12</f>
        <v>0.15788701904835523</v>
      </c>
      <c r="AW163" s="21">
        <f>EXP(-LN(2)/2)*AW162+(1-EXP(-LN(2)/2))/(LN(2)/2)*AQ163*AT163*VLOOKUP('Données projet'!$B$10,Paramètres!$A$1:$I$89,3,0)*0.475*44/12</f>
        <v>9.2636896070427053E-21</v>
      </c>
      <c r="AX163" s="21">
        <f t="shared" si="166"/>
        <v>2.4002946226878104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1.1368683772161603E-12</v>
      </c>
      <c r="BE163" s="13">
        <f>BD163*VLOOKUP('Données projet'!$B$11,Paramètres!$A$1:$I$89,3,0)*VLOOKUP('Données projet'!$B$11,Paramètres!$A$1:$I$89,5,0)</f>
        <v>5.3205440053716299E-13</v>
      </c>
      <c r="BF163" s="13">
        <f t="shared" si="167"/>
        <v>6.579711042921201E-12</v>
      </c>
      <c r="BG163" s="20">
        <f t="shared" si="168"/>
        <v>1.2386324814023317E-11</v>
      </c>
      <c r="BH163" s="59">
        <f t="shared" si="116"/>
        <v>293.33333333334571</v>
      </c>
      <c r="BI163" s="59">
        <f ca="1">AVERAGE(OFFSET($BH$3,0,0,'Données projet'!$E$11+1,1))-AVERAGE(OFFSET($H$3,0,0,'Données projet'!$E$11+1,1))</f>
        <v>183.67580045784649</v>
      </c>
      <c r="BJ163" s="59">
        <f t="shared" si="146"/>
        <v>121.08269345608767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82.087887987078844</v>
      </c>
      <c r="BQ163" s="21">
        <f>EXP(-LN(2)/25)*BQ162+(1-EXP(-LN(2)/25))/(LN(2)/25)*Calculateur!BL163*Calculateur!BN163*VLOOKUP('Données projet'!$B$11,Paramètres!$A$1:$I$89,3,0)*0.475*44/12</f>
        <v>15.579658988311593</v>
      </c>
      <c r="BR163" s="21">
        <f>EXP(-LN(2)/2)*BR162+(1-EXP(-LN(2)/2))/(LN(2)/2)*BL163*BO163*VLOOKUP('Données projet'!$B$11,Paramètres!$A$1:$I$89,3,0)*0.475*44/12</f>
        <v>8.0335697980614439E-4</v>
      </c>
      <c r="BS163" s="22">
        <f t="shared" si="169"/>
        <v>97.668350332370238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212.00000000000009</v>
      </c>
      <c r="BZ163" s="13">
        <f>BY163*VLOOKUP('Données projet'!$B$12,Paramètres!$A$1:$I$89,3,0)*VLOOKUP('Données projet'!$B$12,Paramètres!$A$1:$I$89,5,0)</f>
        <v>185.20320000000009</v>
      </c>
      <c r="CA163" s="13">
        <f t="shared" si="170"/>
        <v>46.477875402099386</v>
      </c>
      <c r="CB163" s="20">
        <f t="shared" si="171"/>
        <v>403.5112063253232</v>
      </c>
      <c r="CC163" s="59">
        <f t="shared" si="119"/>
        <v>696.84453965865646</v>
      </c>
      <c r="CD163" s="59">
        <f ca="1">AVERAGE(OFFSET($CC$3,0,0,'Données projet'!$E$12+1,1))-AVERAGE(OFFSET($H$3,0,0,'Données projet'!$E$12+1,1))</f>
        <v>216.10252108537389</v>
      </c>
      <c r="CE163" s="59">
        <f t="shared" si="148"/>
        <v>196.91968622092054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4.5513547004331185</v>
      </c>
      <c r="CL163" s="21">
        <f>EXP(-LN(2)/25)*CL162+(1-EXP(-LN(2)/25))/(LN(2)/25)*Calculateur!CG163*Calculateur!CI163*VLOOKUP('Données projet'!$B$12,Paramètres!$A$1:$I$89,3,0)*0.475*44/12</f>
        <v>2.6500644744502209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7.2014191748833394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6.3403846153846128</v>
      </c>
      <c r="CT163" s="12">
        <f>IF('Données projet'!$A$140&gt;35,CT162+CS163-DB162,IF(A163&lt;'Données projet'!$A$140,$CQ$205^A163,IF(A163='Données projet'!$A$140,'Données projet'!$B$140,CT162+CS163-DB162)))</f>
        <v>368.3243589743584</v>
      </c>
      <c r="CU163" s="17">
        <f>CT163*VLOOKUP('Données projet'!$B$13,Paramètres!$A$1:$I$89,3,0)*VLOOKUP('Données projet'!$B$13,Paramètres!$A$1:$I$89,5,0)</f>
        <v>333.2598799999995</v>
      </c>
      <c r="CV163" s="13">
        <f t="shared" si="173"/>
        <v>78.105776321178652</v>
      </c>
      <c r="CW163" s="20">
        <f t="shared" si="174"/>
        <v>716.46185142605191</v>
      </c>
      <c r="CX163" s="59">
        <f t="shared" si="122"/>
        <v>1009.7951847593852</v>
      </c>
      <c r="CY163" s="59">
        <f ca="1">AVERAGE(OFFSET($CX$3,0,0,'Données projet'!$E$13+1,1))-AVERAGE(OFFSET($H$3,0,0,'Données projet'!$E$13+1,1))</f>
        <v>318.01858325056168</v>
      </c>
      <c r="CZ163" s="59">
        <f t="shared" si="150"/>
        <v>119.46953274700951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56.317880585266394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56.317880585266394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75.348000000000326</v>
      </c>
      <c r="D164" s="11">
        <f t="shared" si="140"/>
        <v>20.995810517717125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743.70660750518743</v>
      </c>
      <c r="H164" s="67">
        <f t="shared" si="110"/>
        <v>461.13213665169121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200.15574321350221</v>
      </c>
      <c r="T164" s="59">
        <f t="shared" si="142"/>
        <v>200.70728852570426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17.552022424752206</v>
      </c>
      <c r="AA164" s="21">
        <f>EXP(-LN(2)/25)*AA163+(1-EXP(-LN(2)/25))/(LN(2)/25)*Calculateur!V164*Calculateur!X164*VLOOKUP('Données projet'!$B$9,Paramètres!$A$1:$I$89,3,0)*0.475*44/12</f>
        <v>2.1968739062082303</v>
      </c>
      <c r="AB164" s="21">
        <f>EXP(-LN(2)/2)*AB163+(1-EXP(-LN(2)/2))/(LN(2)/2)*V164*Y164*VLOOKUP('Données projet'!$B$9,Paramètres!$A$1:$I$89,3,0)*0.475*44/12</f>
        <v>2.0073850948866886E-14</v>
      </c>
      <c r="AC164" s="22">
        <f t="shared" si="163"/>
        <v>19.748896330960456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45.407317338461951</v>
      </c>
      <c r="AO164" s="59">
        <f t="shared" si="144"/>
        <v>149.88701606165358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2.1984353582656708</v>
      </c>
      <c r="AV164" s="21">
        <f>EXP(-LN(2)/25)*AV163+(1-EXP(-LN(2)/25))/(LN(2)/25)*Calculateur!AQ164*Calculateur!AS164*VLOOKUP('Données projet'!$B$10,Paramètres!$A$1:$I$89,3,0)*0.475*44/12</f>
        <v>0.15356959020956049</v>
      </c>
      <c r="AW164" s="21">
        <f>EXP(-LN(2)/2)*AW163+(1-EXP(-LN(2)/2))/(LN(2)/2)*AQ164*AT164*VLOOKUP('Données projet'!$B$10,Paramètres!$A$1:$I$89,3,0)*0.475*44/12</f>
        <v>6.5504177399472407E-21</v>
      </c>
      <c r="AX164" s="21">
        <f t="shared" si="166"/>
        <v>2.3520049484752312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1.1368683772161603E-12</v>
      </c>
      <c r="BE164" s="13">
        <f>BD164*VLOOKUP('Données projet'!$B$11,Paramètres!$A$1:$I$89,3,0)*VLOOKUP('Données projet'!$B$11,Paramètres!$A$1:$I$89,5,0)</f>
        <v>5.3205440053716299E-13</v>
      </c>
      <c r="BF164" s="13">
        <f t="shared" si="167"/>
        <v>6.579711042921201E-12</v>
      </c>
      <c r="BG164" s="20">
        <f t="shared" si="168"/>
        <v>1.2386324814023317E-11</v>
      </c>
      <c r="BH164" s="59">
        <f t="shared" si="116"/>
        <v>293.33333333334571</v>
      </c>
      <c r="BI164" s="59">
        <f ca="1">AVERAGE(OFFSET($BH$3,0,0,'Données projet'!$E$11+1,1))-AVERAGE(OFFSET($H$3,0,0,'Données projet'!$E$11+1,1))</f>
        <v>183.67580045784649</v>
      </c>
      <c r="BJ164" s="59">
        <f t="shared" si="146"/>
        <v>121.08269345608767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80.478194572320035</v>
      </c>
      <c r="BQ164" s="21">
        <f>EXP(-LN(2)/25)*BQ163+(1-EXP(-LN(2)/25))/(LN(2)/25)*Calculateur!BL164*Calculateur!BN164*VLOOKUP('Données projet'!$B$11,Paramètres!$A$1:$I$89,3,0)*0.475*44/12</f>
        <v>15.153632393977555</v>
      </c>
      <c r="BR164" s="21">
        <f>EXP(-LN(2)/2)*BR163+(1-EXP(-LN(2)/2))/(LN(2)/2)*BL164*BO164*VLOOKUP('Données projet'!$B$11,Paramètres!$A$1:$I$89,3,0)*0.475*44/12</f>
        <v>5.6805916813446901E-4</v>
      </c>
      <c r="BS164" s="22">
        <f t="shared" si="169"/>
        <v>95.632395025465726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212.00000000000009</v>
      </c>
      <c r="BZ164" s="13">
        <f>BY164*VLOOKUP('Données projet'!$B$12,Paramètres!$A$1:$I$89,3,0)*VLOOKUP('Données projet'!$B$12,Paramètres!$A$1:$I$89,5,0)</f>
        <v>185.20320000000009</v>
      </c>
      <c r="CA164" s="13">
        <f t="shared" si="170"/>
        <v>46.477875402099386</v>
      </c>
      <c r="CB164" s="20">
        <f t="shared" si="171"/>
        <v>403.5112063253232</v>
      </c>
      <c r="CC164" s="59">
        <f t="shared" si="119"/>
        <v>696.84453965865646</v>
      </c>
      <c r="CD164" s="59">
        <f ca="1">AVERAGE(OFFSET($CC$3,0,0,'Données projet'!$E$12+1,1))-AVERAGE(OFFSET($H$3,0,0,'Données projet'!$E$12+1,1))</f>
        <v>216.10252108537389</v>
      </c>
      <c r="CE164" s="59">
        <f t="shared" si="148"/>
        <v>196.91968622092054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4.4621054108098797</v>
      </c>
      <c r="CL164" s="21">
        <f>EXP(-LN(2)/25)*CL163+(1-EXP(-LN(2)/25))/(LN(2)/25)*Calculateur!CG164*Calculateur!CI164*VLOOKUP('Données projet'!$B$12,Paramètres!$A$1:$I$89,3,0)*0.475*44/12</f>
        <v>2.5775983220355458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7.0397037328454255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6.3403846153846128</v>
      </c>
      <c r="CT164" s="12">
        <f>IF('Données projet'!$A$140&gt;35,CT163+CS164-DB163,IF(A164&lt;'Données projet'!$A$140,$CQ$205^A164,IF(A164='Données projet'!$A$140,'Données projet'!$B$140,CT163+CS164-DB163)))</f>
        <v>374.66474358974301</v>
      </c>
      <c r="CU164" s="17">
        <f>CT164*VLOOKUP('Données projet'!$B$13,Paramètres!$A$1:$I$89,3,0)*VLOOKUP('Données projet'!$B$13,Paramètres!$A$1:$I$89,5,0)</f>
        <v>338.99665999999951</v>
      </c>
      <c r="CV164" s="13">
        <f t="shared" si="173"/>
        <v>79.292614383358782</v>
      </c>
      <c r="CW164" s="20">
        <f t="shared" si="174"/>
        <v>728.52048621768233</v>
      </c>
      <c r="CX164" s="59">
        <f t="shared" si="122"/>
        <v>1021.8538195510157</v>
      </c>
      <c r="CY164" s="59">
        <f ca="1">AVERAGE(OFFSET($CX$3,0,0,'Données projet'!$E$13+1,1))-AVERAGE(OFFSET($H$3,0,0,'Données projet'!$E$13+1,1))</f>
        <v>318.01858325056168</v>
      </c>
      <c r="CZ164" s="59">
        <f t="shared" si="150"/>
        <v>119.46953274700951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55.213521297504649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55.213521297504649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75.816000000000329</v>
      </c>
      <c r="D165" s="11">
        <f t="shared" si="140"/>
        <v>21.11099814060724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748.20840669942697</v>
      </c>
      <c r="H165" s="67">
        <f t="shared" si="110"/>
        <v>462.1478550948915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200.15574321350221</v>
      </c>
      <c r="T165" s="59">
        <f t="shared" si="142"/>
        <v>200.70728852570426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17.207837970679396</v>
      </c>
      <c r="AA165" s="21">
        <f>EXP(-LN(2)/25)*AA164+(1-EXP(-LN(2)/25))/(LN(2)/25)*Calculateur!V165*Calculateur!X165*VLOOKUP('Données projet'!$B$9,Paramètres!$A$1:$I$89,3,0)*0.475*44/12</f>
        <v>2.1368002737143885</v>
      </c>
      <c r="AB165" s="21">
        <f>EXP(-LN(2)/2)*AB164+(1-EXP(-LN(2)/2))/(LN(2)/2)*V165*Y165*VLOOKUP('Données projet'!$B$9,Paramètres!$A$1:$I$89,3,0)*0.475*44/12</f>
        <v>1.4194356130471787E-14</v>
      </c>
      <c r="AC165" s="22">
        <f t="shared" si="163"/>
        <v>19.344638244393799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45.407317338461951</v>
      </c>
      <c r="AO165" s="59">
        <f t="shared" si="144"/>
        <v>149.88701606165358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2.1553253818032454</v>
      </c>
      <c r="AV165" s="21">
        <f>EXP(-LN(2)/25)*AV164+(1-EXP(-LN(2)/25))/(LN(2)/25)*Calculateur!AQ165*Calculateur!AS165*VLOOKUP('Données projet'!$B$10,Paramètres!$A$1:$I$89,3,0)*0.475*44/12</f>
        <v>0.14937022168940628</v>
      </c>
      <c r="AW165" s="21">
        <f>EXP(-LN(2)/2)*AW164+(1-EXP(-LN(2)/2))/(LN(2)/2)*AQ165*AT165*VLOOKUP('Données projet'!$B$10,Paramètres!$A$1:$I$89,3,0)*0.475*44/12</f>
        <v>4.6318448035213526E-21</v>
      </c>
      <c r="AX165" s="21">
        <f t="shared" si="166"/>
        <v>2.3046956034926516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1.1368683772161603E-12</v>
      </c>
      <c r="BE165" s="13">
        <f>BD165*VLOOKUP('Données projet'!$B$11,Paramètres!$A$1:$I$89,3,0)*VLOOKUP('Données projet'!$B$11,Paramètres!$A$1:$I$89,5,0)</f>
        <v>5.3205440053716299E-13</v>
      </c>
      <c r="BF165" s="13">
        <f t="shared" si="167"/>
        <v>6.579711042921201E-12</v>
      </c>
      <c r="BG165" s="20">
        <f t="shared" si="168"/>
        <v>1.2386324814023317E-11</v>
      </c>
      <c r="BH165" s="59">
        <f t="shared" si="116"/>
        <v>293.33333333334571</v>
      </c>
      <c r="BI165" s="59">
        <f ca="1">AVERAGE(OFFSET($BH$3,0,0,'Données projet'!$E$11+1,1))-AVERAGE(OFFSET($H$3,0,0,'Données projet'!$E$11+1,1))</f>
        <v>183.67580045784649</v>
      </c>
      <c r="BJ165" s="59">
        <f t="shared" si="146"/>
        <v>121.08269345608767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78.900066263608608</v>
      </c>
      <c r="BQ165" s="21">
        <f>EXP(-LN(2)/25)*BQ164+(1-EXP(-LN(2)/25))/(LN(2)/25)*Calculateur!BL165*Calculateur!BN165*VLOOKUP('Données projet'!$B$11,Paramètres!$A$1:$I$89,3,0)*0.475*44/12</f>
        <v>14.739255519269344</v>
      </c>
      <c r="BR165" s="21">
        <f>EXP(-LN(2)/2)*BR164+(1-EXP(-LN(2)/2))/(LN(2)/2)*BL165*BO165*VLOOKUP('Données projet'!$B$11,Paramètres!$A$1:$I$89,3,0)*0.475*44/12</f>
        <v>4.016784899030722E-4</v>
      </c>
      <c r="BS165" s="22">
        <f t="shared" si="169"/>
        <v>93.639723461367865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212.00000000000009</v>
      </c>
      <c r="BZ165" s="13">
        <f>BY165*VLOOKUP('Données projet'!$B$12,Paramètres!$A$1:$I$89,3,0)*VLOOKUP('Données projet'!$B$12,Paramètres!$A$1:$I$89,5,0)</f>
        <v>185.20320000000009</v>
      </c>
      <c r="CA165" s="13">
        <f t="shared" si="170"/>
        <v>46.477875402099386</v>
      </c>
      <c r="CB165" s="20">
        <f t="shared" si="171"/>
        <v>403.5112063253232</v>
      </c>
      <c r="CC165" s="59">
        <f t="shared" si="119"/>
        <v>696.84453965865646</v>
      </c>
      <c r="CD165" s="59">
        <f ca="1">AVERAGE(OFFSET($CC$3,0,0,'Données projet'!$E$12+1,1))-AVERAGE(OFFSET($H$3,0,0,'Données projet'!$E$12+1,1))</f>
        <v>216.10252108537389</v>
      </c>
      <c r="CE165" s="59">
        <f t="shared" si="148"/>
        <v>196.91968622092054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4.3746062453194616</v>
      </c>
      <c r="CL165" s="21">
        <f>EXP(-LN(2)/25)*CL164+(1-EXP(-LN(2)/25))/(LN(2)/25)*Calculateur!CG165*Calculateur!CI165*VLOOKUP('Données projet'!$B$12,Paramètres!$A$1:$I$89,3,0)*0.475*44/12</f>
        <v>2.5071137603694793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6.8817200056889405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6.3403846153846128</v>
      </c>
      <c r="CT165" s="12">
        <f>IF('Données projet'!$A$140&gt;35,CT164+CS165-DB164,IF(A165&lt;'Données projet'!$A$140,$CQ$205^A165,IF(A165='Données projet'!$A$140,'Données projet'!$B$140,CT164+CS165-DB164)))</f>
        <v>381.00512820512762</v>
      </c>
      <c r="CU165" s="17">
        <f>CT165*VLOOKUP('Données projet'!$B$13,Paramètres!$A$1:$I$89,3,0)*VLOOKUP('Données projet'!$B$13,Paramètres!$A$1:$I$89,5,0)</f>
        <v>344.73343999999946</v>
      </c>
      <c r="CV165" s="13">
        <f t="shared" si="173"/>
        <v>80.477116775616508</v>
      </c>
      <c r="CW165" s="20">
        <f t="shared" si="174"/>
        <v>740.57505305086443</v>
      </c>
      <c r="CX165" s="59">
        <f t="shared" si="122"/>
        <v>1033.9083863841977</v>
      </c>
      <c r="CY165" s="59">
        <f ca="1">AVERAGE(OFFSET($CX$3,0,0,'Données projet'!$E$13+1,1))-AVERAGE(OFFSET($H$3,0,0,'Données projet'!$E$13+1,1))</f>
        <v>318.01858325056168</v>
      </c>
      <c r="CZ165" s="59">
        <f t="shared" si="150"/>
        <v>119.46953274700951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54.130817821783253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54.130817821783253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76.284000000000333</v>
      </c>
      <c r="D166" s="11">
        <f t="shared" si="140"/>
        <v>21.226103028228163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752.70956723544816</v>
      </c>
      <c r="H166" s="67">
        <f t="shared" si="110"/>
        <v>463.16342944083124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200.15574321350221</v>
      </c>
      <c r="T166" s="59">
        <f t="shared" si="142"/>
        <v>200.70728852570426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16.870402763819165</v>
      </c>
      <c r="AA166" s="21">
        <f>EXP(-LN(2)/25)*AA165+(1-EXP(-LN(2)/25))/(LN(2)/25)*Calculateur!V166*Calculateur!X166*VLOOKUP('Données projet'!$B$9,Paramètres!$A$1:$I$89,3,0)*0.475*44/12</f>
        <v>2.0783693578602258</v>
      </c>
      <c r="AB166" s="21">
        <f>EXP(-LN(2)/2)*AB165+(1-EXP(-LN(2)/2))/(LN(2)/2)*V166*Y166*VLOOKUP('Données projet'!$B$9,Paramètres!$A$1:$I$89,3,0)*0.475*44/12</f>
        <v>1.0036925474433444E-14</v>
      </c>
      <c r="AC166" s="22">
        <f t="shared" si="163"/>
        <v>18.948772121679401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45.407317338461951</v>
      </c>
      <c r="AO166" s="59">
        <f t="shared" si="144"/>
        <v>149.88701606165358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2.1130607656847586</v>
      </c>
      <c r="AV166" s="21">
        <f>EXP(-LN(2)/25)*AV165+(1-EXP(-LN(2)/25))/(LN(2)/25)*Calculateur!AQ166*Calculateur!AS166*VLOOKUP('Données projet'!$B$10,Paramètres!$A$1:$I$89,3,0)*0.475*44/12</f>
        <v>0.14528568512227089</v>
      </c>
      <c r="AW166" s="21">
        <f>EXP(-LN(2)/2)*AW165+(1-EXP(-LN(2)/2))/(LN(2)/2)*AQ166*AT166*VLOOKUP('Données projet'!$B$10,Paramètres!$A$1:$I$89,3,0)*0.475*44/12</f>
        <v>3.2752088699736203E-21</v>
      </c>
      <c r="AX166" s="21">
        <f t="shared" si="166"/>
        <v>2.2583464508070294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1.1368683772161603E-12</v>
      </c>
      <c r="BE166" s="13">
        <f>BD166*VLOOKUP('Données projet'!$B$11,Paramètres!$A$1:$I$89,3,0)*VLOOKUP('Données projet'!$B$11,Paramètres!$A$1:$I$89,5,0)</f>
        <v>5.3205440053716299E-13</v>
      </c>
      <c r="BF166" s="13">
        <f t="shared" si="167"/>
        <v>6.579711042921201E-12</v>
      </c>
      <c r="BG166" s="20">
        <f t="shared" si="168"/>
        <v>1.2386324814023317E-11</v>
      </c>
      <c r="BH166" s="59">
        <f t="shared" si="116"/>
        <v>293.33333333334571</v>
      </c>
      <c r="BI166" s="59">
        <f ca="1">AVERAGE(OFFSET($BH$3,0,0,'Données projet'!$E$11+1,1))-AVERAGE(OFFSET($H$3,0,0,'Données projet'!$E$11+1,1))</f>
        <v>183.67580045784649</v>
      </c>
      <c r="BJ166" s="59">
        <f t="shared" si="146"/>
        <v>121.08269345608767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77.352884088467789</v>
      </c>
      <c r="BQ166" s="21">
        <f>EXP(-LN(2)/25)*BQ165+(1-EXP(-LN(2)/25))/(LN(2)/25)*Calculateur!BL166*Calculateur!BN166*VLOOKUP('Données projet'!$B$11,Paramètres!$A$1:$I$89,3,0)*0.475*44/12</f>
        <v>14.336209801991163</v>
      </c>
      <c r="BR166" s="21">
        <f>EXP(-LN(2)/2)*BR165+(1-EXP(-LN(2)/2))/(LN(2)/2)*BL166*BO166*VLOOKUP('Données projet'!$B$11,Paramètres!$A$1:$I$89,3,0)*0.475*44/12</f>
        <v>2.8402958406723451E-4</v>
      </c>
      <c r="BS166" s="22">
        <f t="shared" si="169"/>
        <v>91.689377920043015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212.00000000000009</v>
      </c>
      <c r="BZ166" s="13">
        <f>BY166*VLOOKUP('Données projet'!$B$12,Paramètres!$A$1:$I$89,3,0)*VLOOKUP('Données projet'!$B$12,Paramètres!$A$1:$I$89,5,0)</f>
        <v>185.20320000000009</v>
      </c>
      <c r="CA166" s="13">
        <f t="shared" si="170"/>
        <v>46.477875402099386</v>
      </c>
      <c r="CB166" s="20">
        <f t="shared" si="171"/>
        <v>403.5112063253232</v>
      </c>
      <c r="CC166" s="59">
        <f t="shared" si="119"/>
        <v>696.84453965865646</v>
      </c>
      <c r="CD166" s="59">
        <f ca="1">AVERAGE(OFFSET($CC$3,0,0,'Données projet'!$E$12+1,1))-AVERAGE(OFFSET($H$3,0,0,'Données projet'!$E$12+1,1))</f>
        <v>216.10252108537389</v>
      </c>
      <c r="CE166" s="59">
        <f t="shared" si="148"/>
        <v>196.91968622092054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4.2888228850950894</v>
      </c>
      <c r="CL166" s="21">
        <f>EXP(-LN(2)/25)*CL165+(1-EXP(-LN(2)/25))/(LN(2)/25)*Calculateur!CG166*Calculateur!CI166*VLOOKUP('Données projet'!$B$12,Paramètres!$A$1:$I$89,3,0)*0.475*44/12</f>
        <v>2.4385566027487933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6.7273794878438826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6.3403846153846128</v>
      </c>
      <c r="CT166" s="12">
        <f>IF('Données projet'!$A$140&gt;35,CT165+CS166-DB165,IF(A166&lt;'Données projet'!$A$140,$CQ$205^A166,IF(A166='Données projet'!$A$140,'Données projet'!$B$140,CT165+CS166-DB165)))</f>
        <v>387.34551282051223</v>
      </c>
      <c r="CU166" s="17">
        <f>CT166*VLOOKUP('Données projet'!$B$13,Paramètres!$A$1:$I$89,3,0)*VLOOKUP('Données projet'!$B$13,Paramètres!$A$1:$I$89,5,0)</f>
        <v>350.47021999999941</v>
      </c>
      <c r="CV166" s="13">
        <f t="shared" si="173"/>
        <v>81.659326852624957</v>
      </c>
      <c r="CW166" s="20">
        <f t="shared" si="174"/>
        <v>752.62562743498745</v>
      </c>
      <c r="CX166" s="59">
        <f t="shared" si="122"/>
        <v>1045.9589607683208</v>
      </c>
      <c r="CY166" s="59">
        <f ca="1">AVERAGE(OFFSET($CX$3,0,0,'Données projet'!$E$13+1,1))-AVERAGE(OFFSET($H$3,0,0,'Données projet'!$E$13+1,1))</f>
        <v>318.01858325056168</v>
      </c>
      <c r="CZ166" s="59">
        <f t="shared" si="150"/>
        <v>119.46953274700951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53.069345500836846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53.069345500836846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76.752000000000336</v>
      </c>
      <c r="D167" s="11">
        <f t="shared" si="140"/>
        <v>21.341125747045204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757.21009348596579</v>
      </c>
      <c r="H167" s="67">
        <f t="shared" si="110"/>
        <v>464.17886067610431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200.15574321350221</v>
      </c>
      <c r="T167" s="59">
        <f t="shared" si="142"/>
        <v>200.70728852570426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16.539584455550312</v>
      </c>
      <c r="AA167" s="21">
        <f>EXP(-LN(2)/25)*AA166+(1-EXP(-LN(2)/25))/(LN(2)/25)*Calculateur!V167*Calculateur!X167*VLOOKUP('Données projet'!$B$9,Paramètres!$A$1:$I$89,3,0)*0.475*44/12</f>
        <v>2.0215362384728435</v>
      </c>
      <c r="AB167" s="21">
        <f>EXP(-LN(2)/2)*AB166+(1-EXP(-LN(2)/2))/(LN(2)/2)*V167*Y167*VLOOKUP('Données projet'!$B$9,Paramètres!$A$1:$I$89,3,0)*0.475*44/12</f>
        <v>7.0971780652358949E-15</v>
      </c>
      <c r="AC167" s="22">
        <f t="shared" si="163"/>
        <v>18.561120694023163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45.407317338461951</v>
      </c>
      <c r="AO167" s="59">
        <f t="shared" si="144"/>
        <v>149.88701606165358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2.0716249329094851</v>
      </c>
      <c r="AV167" s="21">
        <f>EXP(-LN(2)/25)*AV166+(1-EXP(-LN(2)/25))/(LN(2)/25)*Calculateur!AQ167*Calculateur!AS167*VLOOKUP('Données projet'!$B$10,Paramètres!$A$1:$I$89,3,0)*0.475*44/12</f>
        <v>0.14131284042236025</v>
      </c>
      <c r="AW167" s="21">
        <f>EXP(-LN(2)/2)*AW166+(1-EXP(-LN(2)/2))/(LN(2)/2)*AQ167*AT167*VLOOKUP('Données projet'!$B$10,Paramètres!$A$1:$I$89,3,0)*0.475*44/12</f>
        <v>2.3159224017606763E-21</v>
      </c>
      <c r="AX167" s="21">
        <f t="shared" si="166"/>
        <v>2.2129377733318454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1.1368683772161603E-12</v>
      </c>
      <c r="BE167" s="13">
        <f>BD167*VLOOKUP('Données projet'!$B$11,Paramètres!$A$1:$I$89,3,0)*VLOOKUP('Données projet'!$B$11,Paramètres!$A$1:$I$89,5,0)</f>
        <v>5.3205440053716299E-13</v>
      </c>
      <c r="BF167" s="13">
        <f t="shared" si="167"/>
        <v>6.579711042921201E-12</v>
      </c>
      <c r="BG167" s="20">
        <f t="shared" si="168"/>
        <v>1.2386324814023317E-11</v>
      </c>
      <c r="BH167" s="59">
        <f t="shared" si="116"/>
        <v>293.33333333334571</v>
      </c>
      <c r="BI167" s="59">
        <f ca="1">AVERAGE(OFFSET($BH$3,0,0,'Données projet'!$E$11+1,1))-AVERAGE(OFFSET($H$3,0,0,'Données projet'!$E$11+1,1))</f>
        <v>183.67580045784649</v>
      </c>
      <c r="BJ167" s="59">
        <f t="shared" si="146"/>
        <v>121.08269345608767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75.836041212093534</v>
      </c>
      <c r="BQ167" s="21">
        <f>EXP(-LN(2)/25)*BQ166+(1-EXP(-LN(2)/25))/(LN(2)/25)*Calculateur!BL167*Calculateur!BN167*VLOOKUP('Données projet'!$B$11,Paramètres!$A$1:$I$89,3,0)*0.475*44/12</f>
        <v>13.944185391047208</v>
      </c>
      <c r="BR167" s="21">
        <f>EXP(-LN(2)/2)*BR166+(1-EXP(-LN(2)/2))/(LN(2)/2)*BL167*BO167*VLOOKUP('Données projet'!$B$11,Paramètres!$A$1:$I$89,3,0)*0.475*44/12</f>
        <v>2.008392449515361E-4</v>
      </c>
      <c r="BS167" s="22">
        <f t="shared" si="169"/>
        <v>89.780427442385701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212.00000000000009</v>
      </c>
      <c r="BZ167" s="13">
        <f>BY167*VLOOKUP('Données projet'!$B$12,Paramètres!$A$1:$I$89,3,0)*VLOOKUP('Données projet'!$B$12,Paramètres!$A$1:$I$89,5,0)</f>
        <v>185.20320000000009</v>
      </c>
      <c r="CA167" s="13">
        <f t="shared" si="170"/>
        <v>46.477875402099386</v>
      </c>
      <c r="CB167" s="20">
        <f t="shared" si="171"/>
        <v>403.5112063253232</v>
      </c>
      <c r="CC167" s="59">
        <f t="shared" si="119"/>
        <v>696.84453965865646</v>
      </c>
      <c r="CD167" s="59">
        <f ca="1">AVERAGE(OFFSET($CC$3,0,0,'Données projet'!$E$12+1,1))-AVERAGE(OFFSET($H$3,0,0,'Données projet'!$E$12+1,1))</f>
        <v>216.10252108537389</v>
      </c>
      <c r="CE167" s="59">
        <f t="shared" si="148"/>
        <v>196.91968622092054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4.2047216842420339</v>
      </c>
      <c r="CL167" s="21">
        <f>EXP(-LN(2)/25)*CL166+(1-EXP(-LN(2)/25))/(LN(2)/25)*Calculateur!CG167*Calculateur!CI167*VLOOKUP('Données projet'!$B$12,Paramètres!$A$1:$I$89,3,0)*0.475*44/12</f>
        <v>2.3718741442085092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6.576595828450543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>
        <f>VLOOKUP(A167,'Données projet'!$A$139:$I$159,2,0)</f>
        <v>393.6858974358974</v>
      </c>
      <c r="CR167" s="12">
        <f>VLOOKUP(A167,'Données projet'!$A$139:$I$159,9,0)</f>
        <v>6.3403846153846128</v>
      </c>
      <c r="CS167" s="12">
        <f t="array" ref="CS167">INDEX(CR:CR,MIN(IF(ISNUMBER(CR167:CR363),ROW(CR167:CR363),"")))</f>
        <v>6.3403846153846128</v>
      </c>
      <c r="CT167" s="12">
        <f>IF('Données projet'!$A$140&gt;35,CT166+CS167-DB166,IF(A167&lt;'Données projet'!$A$140,$CQ$205^A167,IF(A167='Données projet'!$A$140,'Données projet'!$B$140,CT166+CS167-DB166)))</f>
        <v>393.68589743589683</v>
      </c>
      <c r="CU167" s="17">
        <f>CT167*VLOOKUP('Données projet'!$B$13,Paramètres!$A$1:$I$89,3,0)*VLOOKUP('Données projet'!$B$13,Paramètres!$A$1:$I$89,5,0)</f>
        <v>356.20699999999943</v>
      </c>
      <c r="CV167" s="13">
        <f t="shared" si="173"/>
        <v>82.839286468353521</v>
      </c>
      <c r="CW167" s="20">
        <f t="shared" si="174"/>
        <v>764.67228226571467</v>
      </c>
      <c r="CX167" s="59">
        <f t="shared" si="122"/>
        <v>1058.005615599048</v>
      </c>
      <c r="CY167" s="59">
        <f ca="1">AVERAGE(OFFSET($CX$3,0,0,'Données projet'!$E$13+1,1))-AVERAGE(OFFSET($H$3,0,0,'Données projet'!$E$13+1,1))</f>
        <v>318.01858325056168</v>
      </c>
      <c r="CZ167" s="59">
        <f t="shared" si="150"/>
        <v>119.46953274700951</v>
      </c>
      <c r="DA167" s="15">
        <f>IF(ISNA(VLOOKUP(A167,'Données projet'!$A$139:$I$159,3,0)),0,VLOOKUP(A167,'Données projet'!$A$139:$I$159,3,0))</f>
        <v>14</v>
      </c>
      <c r="DB167" s="15">
        <f>IF(ISNA(VLOOKUP(A167,'Données projet'!$A$139:$I$159,4,0)),0,VLOOKUP(A167,'Données projet'!$A$139:$I$159,4,0))</f>
        <v>44.814102564102562</v>
      </c>
      <c r="DC167" s="16">
        <f>IF(ISNA(VLOOKUP(A167,'Données projet'!$A$139:$I$159,5,0)),0%,VLOOKUP(A167,'Données projet'!$A$139:$I$159,5,0)*VLOOKUP('Données projet'!$B$13,Paramètres!$A$1:$I$89,7,0))</f>
        <v>0.38700000000000001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69.375727652642539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69.375727652642539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77.22000000000034</v>
      </c>
      <c r="D168" s="11">
        <f t="shared" si="140"/>
        <v>21.456066856215958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761.70998976728379</v>
      </c>
      <c r="H168" s="67">
        <f t="shared" si="110"/>
        <v>465.19414977457666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200.15574321350221</v>
      </c>
      <c r="T168" s="59">
        <f t="shared" si="142"/>
        <v>200.70728852570426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16.215253292527365</v>
      </c>
      <c r="AA168" s="21">
        <f>EXP(-LN(2)/25)*AA167+(1-EXP(-LN(2)/25))/(LN(2)/25)*Calculateur!V168*Calculateur!X168*VLOOKUP('Données projet'!$B$9,Paramètres!$A$1:$I$89,3,0)*0.475*44/12</f>
        <v>1.9662572237238332</v>
      </c>
      <c r="AB168" s="21">
        <f>EXP(-LN(2)/2)*AB167+(1-EXP(-LN(2)/2))/(LN(2)/2)*V168*Y168*VLOOKUP('Données projet'!$B$9,Paramètres!$A$1:$I$89,3,0)*0.475*44/12</f>
        <v>5.018462737216723E-15</v>
      </c>
      <c r="AC168" s="22">
        <f t="shared" si="163"/>
        <v>18.181510516251201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45.407317338461951</v>
      </c>
      <c r="AO168" s="59">
        <f t="shared" si="144"/>
        <v>149.88701606165358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2.0310016315415722</v>
      </c>
      <c r="AV168" s="21">
        <f>EXP(-LN(2)/25)*AV167+(1-EXP(-LN(2)/25))/(LN(2)/25)*Calculateur!AQ168*Calculateur!AS168*VLOOKUP('Données projet'!$B$10,Paramètres!$A$1:$I$89,3,0)*0.475*44/12</f>
        <v>0.13744863336969151</v>
      </c>
      <c r="AW168" s="21">
        <f>EXP(-LN(2)/2)*AW167+(1-EXP(-LN(2)/2))/(LN(2)/2)*AQ168*AT168*VLOOKUP('Données projet'!$B$10,Paramètres!$A$1:$I$89,3,0)*0.475*44/12</f>
        <v>1.6376044349868102E-21</v>
      </c>
      <c r="AX168" s="21">
        <f t="shared" si="166"/>
        <v>2.1684502649112636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1.1368683772161603E-12</v>
      </c>
      <c r="BE168" s="13">
        <f>BD168*VLOOKUP('Données projet'!$B$11,Paramètres!$A$1:$I$89,3,0)*VLOOKUP('Données projet'!$B$11,Paramètres!$A$1:$I$89,5,0)</f>
        <v>5.3205440053716299E-13</v>
      </c>
      <c r="BF168" s="13">
        <f t="shared" si="167"/>
        <v>6.579711042921201E-12</v>
      </c>
      <c r="BG168" s="20">
        <f t="shared" si="168"/>
        <v>1.2386324814023317E-11</v>
      </c>
      <c r="BH168" s="59">
        <f t="shared" si="116"/>
        <v>293.33333333334571</v>
      </c>
      <c r="BI168" s="59">
        <f ca="1">AVERAGE(OFFSET($BH$3,0,0,'Données projet'!$E$11+1,1))-AVERAGE(OFFSET($H$3,0,0,'Données projet'!$E$11+1,1))</f>
        <v>183.67580045784649</v>
      </c>
      <c r="BJ168" s="59">
        <f t="shared" si="146"/>
        <v>121.08269345608767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74.348942699342174</v>
      </c>
      <c r="BQ168" s="21">
        <f>EXP(-LN(2)/25)*BQ167+(1-EXP(-LN(2)/25))/(LN(2)/25)*Calculateur!BL168*Calculateur!BN168*VLOOKUP('Données projet'!$B$11,Paramètres!$A$1:$I$89,3,0)*0.475*44/12</f>
        <v>13.562880908236183</v>
      </c>
      <c r="BR168" s="21">
        <f>EXP(-LN(2)/2)*BR167+(1-EXP(-LN(2)/2))/(LN(2)/2)*BL168*BO168*VLOOKUP('Données projet'!$B$11,Paramètres!$A$1:$I$89,3,0)*0.475*44/12</f>
        <v>1.4201479203361725E-4</v>
      </c>
      <c r="BS168" s="22">
        <f t="shared" si="169"/>
        <v>87.911965622370388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212.00000000000009</v>
      </c>
      <c r="BZ168" s="13">
        <f>BY168*VLOOKUP('Données projet'!$B$12,Paramètres!$A$1:$I$89,3,0)*VLOOKUP('Données projet'!$B$12,Paramètres!$A$1:$I$89,5,0)</f>
        <v>185.20320000000009</v>
      </c>
      <c r="CA168" s="13">
        <f t="shared" si="170"/>
        <v>46.477875402099386</v>
      </c>
      <c r="CB168" s="20">
        <f t="shared" si="171"/>
        <v>403.5112063253232</v>
      </c>
      <c r="CC168" s="59">
        <f t="shared" si="119"/>
        <v>696.84453965865646</v>
      </c>
      <c r="CD168" s="59">
        <f ca="1">AVERAGE(OFFSET($CC$3,0,0,'Données projet'!$E$12+1,1))-AVERAGE(OFFSET($H$3,0,0,'Données projet'!$E$12+1,1))</f>
        <v>216.10252108537389</v>
      </c>
      <c r="CE168" s="59">
        <f t="shared" si="148"/>
        <v>196.91968622092054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4.1222696566410395</v>
      </c>
      <c r="CL168" s="21">
        <f>EXP(-LN(2)/25)*CL167+(1-EXP(-LN(2)/25))/(LN(2)/25)*Calculateur!CG168*Calculateur!CI168*VLOOKUP('Données projet'!$B$12,Paramètres!$A$1:$I$89,3,0)*0.475*44/12</f>
        <v>2.3070151210036873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6.4292847776447264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6.4179487179487182</v>
      </c>
      <c r="CT168" s="12">
        <f>IF('Données projet'!$A$140&gt;35,CT167+CS168-DB167,IF(A168&lt;'Données projet'!$A$140,$CQ$205^A168,IF(A168='Données projet'!$A$140,'Données projet'!$B$140,CT167+CS168-DB167)))</f>
        <v>355.28974358974301</v>
      </c>
      <c r="CU168" s="17">
        <f>CT168*VLOOKUP('Données projet'!$B$13,Paramètres!$A$1:$I$89,3,0)*VLOOKUP('Données projet'!$B$13,Paramètres!$A$1:$I$89,5,0)</f>
        <v>321.46615999999949</v>
      </c>
      <c r="CV168" s="13">
        <f t="shared" si="173"/>
        <v>75.658335555310842</v>
      </c>
      <c r="CW168" s="20">
        <f t="shared" si="174"/>
        <v>691.65849642549881</v>
      </c>
      <c r="CX168" s="59">
        <f t="shared" si="122"/>
        <v>984.99182975883218</v>
      </c>
      <c r="CY168" s="59">
        <f ca="1">AVERAGE(OFFSET($CX$3,0,0,'Données projet'!$E$13+1,1))-AVERAGE(OFFSET($H$3,0,0,'Données projet'!$E$13+1,1))</f>
        <v>318.01858325056168</v>
      </c>
      <c r="CZ168" s="59">
        <f t="shared" si="150"/>
        <v>119.46953274700951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68.015311948389822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68.015311948389822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77.688000000000343</v>
      </c>
      <c r="D169" s="11">
        <f t="shared" si="140"/>
        <v>21.570926907728293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766.20926034036154</v>
      </c>
      <c r="H169" s="67">
        <f t="shared" si="110"/>
        <v>466.20929769762733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200.15574321350221</v>
      </c>
      <c r="T169" s="59">
        <f t="shared" si="142"/>
        <v>200.70728852570426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15.897282065788822</v>
      </c>
      <c r="AA169" s="21">
        <f>EXP(-LN(2)/25)*AA168+(1-EXP(-LN(2)/25))/(LN(2)/25)*Calculateur!V169*Calculateur!X169*VLOOKUP('Données projet'!$B$9,Paramètres!$A$1:$I$89,3,0)*0.475*44/12</f>
        <v>1.9124898165401314</v>
      </c>
      <c r="AB169" s="21">
        <f>EXP(-LN(2)/2)*AB168+(1-EXP(-LN(2)/2))/(LN(2)/2)*V169*Y169*VLOOKUP('Données projet'!$B$9,Paramètres!$A$1:$I$89,3,0)*0.475*44/12</f>
        <v>3.5485890326179478E-15</v>
      </c>
      <c r="AC169" s="22">
        <f t="shared" si="163"/>
        <v>17.809771882328956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45.407317338461951</v>
      </c>
      <c r="AO169" s="59">
        <f t="shared" si="144"/>
        <v>149.88701606165358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1.991174928335717</v>
      </c>
      <c r="AV169" s="21">
        <f>EXP(-LN(2)/25)*AV168+(1-EXP(-LN(2)/25))/(LN(2)/25)*Calculateur!AQ169*Calculateur!AS169*VLOOKUP('Données projet'!$B$10,Paramètres!$A$1:$I$89,3,0)*0.475*44/12</f>
        <v>0.13369009326208781</v>
      </c>
      <c r="AW169" s="21">
        <f>EXP(-LN(2)/2)*AW168+(1-EXP(-LN(2)/2))/(LN(2)/2)*AQ169*AT169*VLOOKUP('Données projet'!$B$10,Paramètres!$A$1:$I$89,3,0)*0.475*44/12</f>
        <v>1.1579612008803382E-21</v>
      </c>
      <c r="AX169" s="21">
        <f t="shared" si="166"/>
        <v>2.1248650215978047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1.1368683772161603E-12</v>
      </c>
      <c r="BE169" s="13">
        <f>BD169*VLOOKUP('Données projet'!$B$11,Paramètres!$A$1:$I$89,3,0)*VLOOKUP('Données projet'!$B$11,Paramètres!$A$1:$I$89,5,0)</f>
        <v>5.3205440053716299E-13</v>
      </c>
      <c r="BF169" s="13">
        <f t="shared" si="167"/>
        <v>6.579711042921201E-12</v>
      </c>
      <c r="BG169" s="20">
        <f t="shared" si="168"/>
        <v>1.2386324814023317E-11</v>
      </c>
      <c r="BH169" s="59">
        <f t="shared" si="116"/>
        <v>293.33333333334571</v>
      </c>
      <c r="BI169" s="59">
        <f ca="1">AVERAGE(OFFSET($BH$3,0,0,'Données projet'!$E$11+1,1))-AVERAGE(OFFSET($H$3,0,0,'Données projet'!$E$11+1,1))</f>
        <v>183.67580045784649</v>
      </c>
      <c r="BJ169" s="59">
        <f t="shared" si="146"/>
        <v>121.08269345608767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72.891005281385347</v>
      </c>
      <c r="BQ169" s="21">
        <f>EXP(-LN(2)/25)*BQ168+(1-EXP(-LN(2)/25))/(LN(2)/25)*Calculateur!BL169*Calculateur!BN169*VLOOKUP('Données projet'!$B$11,Paramètres!$A$1:$I$89,3,0)*0.475*44/12</f>
        <v>13.192003216559556</v>
      </c>
      <c r="BR169" s="21">
        <f>EXP(-LN(2)/2)*BR168+(1-EXP(-LN(2)/2))/(LN(2)/2)*BL169*BO169*VLOOKUP('Données projet'!$B$11,Paramètres!$A$1:$I$89,3,0)*0.475*44/12</f>
        <v>1.0041962247576805E-4</v>
      </c>
      <c r="BS169" s="22">
        <f t="shared" si="169"/>
        <v>86.083108917567372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212.00000000000009</v>
      </c>
      <c r="BZ169" s="13">
        <f>BY169*VLOOKUP('Données projet'!$B$12,Paramètres!$A$1:$I$89,3,0)*VLOOKUP('Données projet'!$B$12,Paramètres!$A$1:$I$89,5,0)</f>
        <v>185.20320000000009</v>
      </c>
      <c r="CA169" s="13">
        <f t="shared" si="170"/>
        <v>46.477875402099386</v>
      </c>
      <c r="CB169" s="20">
        <f t="shared" si="171"/>
        <v>403.5112063253232</v>
      </c>
      <c r="CC169" s="59">
        <f t="shared" si="119"/>
        <v>696.84453965865646</v>
      </c>
      <c r="CD169" s="59">
        <f ca="1">AVERAGE(OFFSET($CC$3,0,0,'Données projet'!$E$12+1,1))-AVERAGE(OFFSET($H$3,0,0,'Données projet'!$E$12+1,1))</f>
        <v>216.10252108537389</v>
      </c>
      <c r="CE169" s="59">
        <f t="shared" si="148"/>
        <v>196.91968622092054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4.0414344630105292</v>
      </c>
      <c r="CL169" s="21">
        <f>EXP(-LN(2)/25)*CL168+(1-EXP(-LN(2)/25))/(LN(2)/25)*Calculateur!CG169*Calculateur!CI169*VLOOKUP('Données projet'!$B$12,Paramètres!$A$1:$I$89,3,0)*0.475*44/12</f>
        <v>2.2439296711991892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6.2853641342097184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6.4179487179487182</v>
      </c>
      <c r="CT169" s="12">
        <f>IF('Données projet'!$A$140&gt;35,CT168+CS169-DB168,IF(A169&lt;'Données projet'!$A$140,$CQ$205^A169,IF(A169='Données projet'!$A$140,'Données projet'!$B$140,CT168+CS169-DB168)))</f>
        <v>361.70769230769173</v>
      </c>
      <c r="CU169" s="17">
        <f>CT169*VLOOKUP('Données projet'!$B$13,Paramètres!$A$1:$I$89,3,0)*VLOOKUP('Données projet'!$B$13,Paramètres!$A$1:$I$89,5,0)</f>
        <v>327.27311999999944</v>
      </c>
      <c r="CV169" s="13">
        <f t="shared" si="173"/>
        <v>76.864682645751117</v>
      </c>
      <c r="CW169" s="20">
        <f t="shared" si="174"/>
        <v>703.8733396080155</v>
      </c>
      <c r="CX169" s="59">
        <f t="shared" si="122"/>
        <v>997.20667294134887</v>
      </c>
      <c r="CY169" s="59">
        <f ca="1">AVERAGE(OFFSET($CX$3,0,0,'Données projet'!$E$13+1,1))-AVERAGE(OFFSET($H$3,0,0,'Données projet'!$E$13+1,1))</f>
        <v>318.01858325056168</v>
      </c>
      <c r="CZ169" s="59">
        <f t="shared" si="150"/>
        <v>119.46953274700951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66.681573166325862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66.681573166325862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78.156000000000347</v>
      </c>
      <c r="D170" s="11">
        <f t="shared" si="140"/>
        <v>21.685706446534894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770.70790941185112</v>
      </c>
      <c r="H170" s="67">
        <f t="shared" si="110"/>
        <v>467.22430539438216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200.15574321350221</v>
      </c>
      <c r="T170" s="59">
        <f t="shared" si="142"/>
        <v>200.70728852570426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15.585546060863326</v>
      </c>
      <c r="AA170" s="21">
        <f>EXP(-LN(2)/25)*AA169+(1-EXP(-LN(2)/25))/(LN(2)/25)*Calculateur!V170*Calculateur!X170*VLOOKUP('Données projet'!$B$9,Paramètres!$A$1:$I$89,3,0)*0.475*44/12</f>
        <v>1.8601926819333732</v>
      </c>
      <c r="AB170" s="21">
        <f>EXP(-LN(2)/2)*AB169+(1-EXP(-LN(2)/2))/(LN(2)/2)*V170*Y170*VLOOKUP('Données projet'!$B$9,Paramètres!$A$1:$I$89,3,0)*0.475*44/12</f>
        <v>2.5092313686083619E-15</v>
      </c>
      <c r="AC170" s="22">
        <f t="shared" si="163"/>
        <v>17.445738742796703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45.407317338461951</v>
      </c>
      <c r="AO170" s="59">
        <f t="shared" si="144"/>
        <v>149.88701606165358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1.9521292024878383</v>
      </c>
      <c r="AV170" s="21">
        <f>EXP(-LN(2)/25)*AV169+(1-EXP(-LN(2)/25))/(LN(2)/25)*Calculateur!AQ170*Calculateur!AS170*VLOOKUP('Données projet'!$B$10,Paramètres!$A$1:$I$89,3,0)*0.475*44/12</f>
        <v>0.13003433063137956</v>
      </c>
      <c r="AW170" s="21">
        <f>EXP(-LN(2)/2)*AW169+(1-EXP(-LN(2)/2))/(LN(2)/2)*AQ170*AT170*VLOOKUP('Données projet'!$B$10,Paramètres!$A$1:$I$89,3,0)*0.475*44/12</f>
        <v>8.1880221749340509E-22</v>
      </c>
      <c r="AX170" s="21">
        <f t="shared" si="166"/>
        <v>2.0821635331192176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1.1368683772161603E-12</v>
      </c>
      <c r="BE170" s="13">
        <f>BD170*VLOOKUP('Données projet'!$B$11,Paramètres!$A$1:$I$89,3,0)*VLOOKUP('Données projet'!$B$11,Paramètres!$A$1:$I$89,5,0)</f>
        <v>5.3205440053716299E-13</v>
      </c>
      <c r="BF170" s="13">
        <f t="shared" si="167"/>
        <v>6.579711042921201E-12</v>
      </c>
      <c r="BG170" s="20">
        <f t="shared" si="168"/>
        <v>1.2386324814023317E-11</v>
      </c>
      <c r="BH170" s="59">
        <f t="shared" si="116"/>
        <v>293.33333333334571</v>
      </c>
      <c r="BI170" s="59">
        <f ca="1">AVERAGE(OFFSET($BH$3,0,0,'Données projet'!$E$11+1,1))-AVERAGE(OFFSET($H$3,0,0,'Données projet'!$E$11+1,1))</f>
        <v>183.67580045784649</v>
      </c>
      <c r="BJ170" s="59">
        <f t="shared" si="146"/>
        <v>121.08269345608767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71.461657126940622</v>
      </c>
      <c r="BQ170" s="21">
        <f>EXP(-LN(2)/25)*BQ169+(1-EXP(-LN(2)/25))/(LN(2)/25)*Calculateur!BL170*Calculateur!BN170*VLOOKUP('Données projet'!$B$11,Paramètres!$A$1:$I$89,3,0)*0.475*44/12</f>
        <v>12.831267194865436</v>
      </c>
      <c r="BR170" s="21">
        <f>EXP(-LN(2)/2)*BR169+(1-EXP(-LN(2)/2))/(LN(2)/2)*BL170*BO170*VLOOKUP('Données projet'!$B$11,Paramètres!$A$1:$I$89,3,0)*0.475*44/12</f>
        <v>7.1007396016808626E-5</v>
      </c>
      <c r="BS170" s="22">
        <f t="shared" si="169"/>
        <v>84.292995329202071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212.00000000000009</v>
      </c>
      <c r="BZ170" s="13">
        <f>BY170*VLOOKUP('Données projet'!$B$12,Paramètres!$A$1:$I$89,3,0)*VLOOKUP('Données projet'!$B$12,Paramètres!$A$1:$I$89,5,0)</f>
        <v>185.20320000000009</v>
      </c>
      <c r="CA170" s="13">
        <f t="shared" si="170"/>
        <v>46.477875402099386</v>
      </c>
      <c r="CB170" s="20">
        <f t="shared" si="171"/>
        <v>403.5112063253232</v>
      </c>
      <c r="CC170" s="59">
        <f t="shared" si="119"/>
        <v>696.84453965865646</v>
      </c>
      <c r="CD170" s="59">
        <f ca="1">AVERAGE(OFFSET($CC$3,0,0,'Données projet'!$E$12+1,1))-AVERAGE(OFFSET($H$3,0,0,'Données projet'!$E$12+1,1))</f>
        <v>216.10252108537389</v>
      </c>
      <c r="CE170" s="59">
        <f t="shared" si="148"/>
        <v>196.91968622092054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3.9621843982225133</v>
      </c>
      <c r="CL170" s="21">
        <f>EXP(-LN(2)/25)*CL169+(1-EXP(-LN(2)/25))/(LN(2)/25)*Calculateur!CG170*Calculateur!CI170*VLOOKUP('Données projet'!$B$12,Paramètres!$A$1:$I$89,3,0)*0.475*44/12</f>
        <v>2.1825692963371144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6.1447536945596273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6.4179487179487182</v>
      </c>
      <c r="CT170" s="12">
        <f>IF('Données projet'!$A$140&gt;35,CT169+CS170-DB169,IF(A170&lt;'Données projet'!$A$140,$CQ$205^A170,IF(A170='Données projet'!$A$140,'Données projet'!$B$140,CT169+CS170-DB169)))</f>
        <v>368.12564102564045</v>
      </c>
      <c r="CU170" s="17">
        <f>CT170*VLOOKUP('Données projet'!$B$13,Paramètres!$A$1:$I$89,3,0)*VLOOKUP('Données projet'!$B$13,Paramètres!$A$1:$I$89,5,0)</f>
        <v>333.08007999999944</v>
      </c>
      <c r="CV170" s="13">
        <f t="shared" si="173"/>
        <v>78.068540652807755</v>
      </c>
      <c r="CW170" s="20">
        <f t="shared" si="174"/>
        <v>716.08384763697256</v>
      </c>
      <c r="CX170" s="59">
        <f t="shared" si="122"/>
        <v>1009.4171809703059</v>
      </c>
      <c r="CY170" s="59">
        <f ca="1">AVERAGE(OFFSET($CX$3,0,0,'Données projet'!$E$13+1,1))-AVERAGE(OFFSET($H$3,0,0,'Données projet'!$E$13+1,1))</f>
        <v>318.01858325056168</v>
      </c>
      <c r="CZ170" s="59">
        <f t="shared" si="150"/>
        <v>119.46953274700951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65.373988188277835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65.373988188277835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78.62400000000035</v>
      </c>
      <c r="D171" s="11">
        <f t="shared" si="140"/>
        <v>21.800406010684551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775.20594113511152</v>
      </c>
      <c r="H171" s="67">
        <f t="shared" si="110"/>
        <v>468.23917380194285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200.15574321350221</v>
      </c>
      <c r="T171" s="59">
        <f t="shared" si="142"/>
        <v>200.70728852570426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15.279923008854229</v>
      </c>
      <c r="AA171" s="21">
        <f>EXP(-LN(2)/25)*AA170+(1-EXP(-LN(2)/25))/(LN(2)/25)*Calculateur!V171*Calculateur!X171*VLOOKUP('Données projet'!$B$9,Paramètres!$A$1:$I$89,3,0)*0.475*44/12</f>
        <v>1.8093256152226234</v>
      </c>
      <c r="AB171" s="21">
        <f>EXP(-LN(2)/2)*AB170+(1-EXP(-LN(2)/2))/(LN(2)/2)*V171*Y171*VLOOKUP('Données projet'!$B$9,Paramètres!$A$1:$I$89,3,0)*0.475*44/12</f>
        <v>1.7742945163089743E-15</v>
      </c>
      <c r="AC171" s="22">
        <f t="shared" si="163"/>
        <v>17.089248624076852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45.407317338461951</v>
      </c>
      <c r="AO171" s="59">
        <f t="shared" si="144"/>
        <v>149.88701606165358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1.9138491395082953</v>
      </c>
      <c r="AV171" s="21">
        <f>EXP(-LN(2)/25)*AV170+(1-EXP(-LN(2)/25))/(LN(2)/25)*Calculateur!AQ171*Calculateur!AS171*VLOOKUP('Données projet'!$B$10,Paramètres!$A$1:$I$89,3,0)*0.475*44/12</f>
        <v>0.12647853502205625</v>
      </c>
      <c r="AW171" s="21">
        <f>EXP(-LN(2)/2)*AW170+(1-EXP(-LN(2)/2))/(LN(2)/2)*AQ171*AT171*VLOOKUP('Données projet'!$B$10,Paramètres!$A$1:$I$89,3,0)*0.475*44/12</f>
        <v>5.7898060044016908E-22</v>
      </c>
      <c r="AX171" s="21">
        <f t="shared" si="166"/>
        <v>2.0403276745303516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1.1368683772161603E-12</v>
      </c>
      <c r="BE171" s="13">
        <f>BD171*VLOOKUP('Données projet'!$B$11,Paramètres!$A$1:$I$89,3,0)*VLOOKUP('Données projet'!$B$11,Paramètres!$A$1:$I$89,5,0)</f>
        <v>5.3205440053716299E-13</v>
      </c>
      <c r="BF171" s="13">
        <f t="shared" si="167"/>
        <v>6.579711042921201E-12</v>
      </c>
      <c r="BG171" s="20">
        <f t="shared" si="168"/>
        <v>1.2386324814023317E-11</v>
      </c>
      <c r="BH171" s="59">
        <f t="shared" si="116"/>
        <v>293.33333333334571</v>
      </c>
      <c r="BI171" s="59">
        <f ca="1">AVERAGE(OFFSET($BH$3,0,0,'Données projet'!$E$11+1,1))-AVERAGE(OFFSET($H$3,0,0,'Données projet'!$E$11+1,1))</f>
        <v>183.67580045784649</v>
      </c>
      <c r="BJ171" s="59">
        <f t="shared" si="146"/>
        <v>121.08269345608767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70.060337617988282</v>
      </c>
      <c r="BQ171" s="21">
        <f>EXP(-LN(2)/25)*BQ170+(1-EXP(-LN(2)/25))/(LN(2)/25)*Calculateur!BL171*Calculateur!BN171*VLOOKUP('Données projet'!$B$11,Paramètres!$A$1:$I$89,3,0)*0.475*44/12</f>
        <v>12.480395518654825</v>
      </c>
      <c r="BR171" s="21">
        <f>EXP(-LN(2)/2)*BR170+(1-EXP(-LN(2)/2))/(LN(2)/2)*BL171*BO171*VLOOKUP('Données projet'!$B$11,Paramètres!$A$1:$I$89,3,0)*0.475*44/12</f>
        <v>5.0209811237884025E-5</v>
      </c>
      <c r="BS171" s="22">
        <f t="shared" si="169"/>
        <v>82.540783346454347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212.00000000000009</v>
      </c>
      <c r="BZ171" s="13">
        <f>BY171*VLOOKUP('Données projet'!$B$12,Paramètres!$A$1:$I$89,3,0)*VLOOKUP('Données projet'!$B$12,Paramètres!$A$1:$I$89,5,0)</f>
        <v>185.20320000000009</v>
      </c>
      <c r="CA171" s="13">
        <f t="shared" si="170"/>
        <v>46.477875402099386</v>
      </c>
      <c r="CB171" s="20">
        <f t="shared" si="171"/>
        <v>403.5112063253232</v>
      </c>
      <c r="CC171" s="59">
        <f t="shared" si="119"/>
        <v>696.84453965865646</v>
      </c>
      <c r="CD171" s="59">
        <f ca="1">AVERAGE(OFFSET($CC$3,0,0,'Données projet'!$E$12+1,1))-AVERAGE(OFFSET($H$3,0,0,'Données projet'!$E$12+1,1))</f>
        <v>216.10252108537389</v>
      </c>
      <c r="CE171" s="59">
        <f t="shared" si="148"/>
        <v>196.91968622092054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3.884488378867224</v>
      </c>
      <c r="CL171" s="21">
        <f>EXP(-LN(2)/25)*CL170+(1-EXP(-LN(2)/25))/(LN(2)/25)*Calculateur!CG171*Calculateur!CI171*VLOOKUP('Données projet'!$B$12,Paramètres!$A$1:$I$89,3,0)*0.475*44/12</f>
        <v>2.1228868241524452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6.0073752030196692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6.4179487179487182</v>
      </c>
      <c r="CT171" s="12">
        <f>IF('Données projet'!$A$140&gt;35,CT170+CS171-DB170,IF(A171&lt;'Données projet'!$A$140,$CQ$205^A171,IF(A171='Données projet'!$A$140,'Données projet'!$B$140,CT170+CS171-DB170)))</f>
        <v>374.54358974358917</v>
      </c>
      <c r="CU171" s="17">
        <f>CT171*VLOOKUP('Données projet'!$B$13,Paramètres!$A$1:$I$89,3,0)*VLOOKUP('Données projet'!$B$13,Paramètres!$A$1:$I$89,5,0)</f>
        <v>338.88703999999944</v>
      </c>
      <c r="CV171" s="13">
        <f t="shared" si="173"/>
        <v>79.26995797846979</v>
      </c>
      <c r="CW171" s="20">
        <f t="shared" si="174"/>
        <v>728.29010481250054</v>
      </c>
      <c r="CX171" s="59">
        <f t="shared" si="122"/>
        <v>1021.6234381458339</v>
      </c>
      <c r="CY171" s="59">
        <f ca="1">AVERAGE(OFFSET($CX$3,0,0,'Données projet'!$E$13+1,1))-AVERAGE(OFFSET($H$3,0,0,'Données projet'!$E$13+1,1))</f>
        <v>318.01858325056168</v>
      </c>
      <c r="CZ171" s="59">
        <f t="shared" si="150"/>
        <v>119.46953274700951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64.092044154101245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64.092044154101245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79.092000000000354</v>
      </c>
      <c r="D172" s="11">
        <f t="shared" si="140"/>
        <v>21.915026131450077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779.70335961119633</v>
      </c>
      <c r="H172" s="67">
        <f t="shared" si="110"/>
        <v>469.25390384560944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200.15574321350221</v>
      </c>
      <c r="T172" s="59">
        <f t="shared" si="142"/>
        <v>200.70728852570426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14.980293038483376</v>
      </c>
      <c r="AA172" s="21">
        <f>EXP(-LN(2)/25)*AA171+(1-EXP(-LN(2)/25))/(LN(2)/25)*Calculateur!V172*Calculateur!X172*VLOOKUP('Données projet'!$B$9,Paramètres!$A$1:$I$89,3,0)*0.475*44/12</f>
        <v>1.7598495111260619</v>
      </c>
      <c r="AB172" s="21">
        <f>EXP(-LN(2)/2)*AB171+(1-EXP(-LN(2)/2))/(LN(2)/2)*V172*Y172*VLOOKUP('Données projet'!$B$9,Paramètres!$A$1:$I$89,3,0)*0.475*44/12</f>
        <v>1.2546156843041811E-15</v>
      </c>
      <c r="AC172" s="22">
        <f t="shared" si="163"/>
        <v>16.740142549609438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45.407317338461951</v>
      </c>
      <c r="AO172" s="59">
        <f t="shared" si="144"/>
        <v>149.88701606165358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1.8763197252152481</v>
      </c>
      <c r="AV172" s="21">
        <f>EXP(-LN(2)/25)*AV171+(1-EXP(-LN(2)/25))/(LN(2)/25)*Calculateur!AQ172*Calculateur!AS172*VLOOKUP('Données projet'!$B$10,Paramètres!$A$1:$I$89,3,0)*0.475*44/12</f>
        <v>0.12301997283066103</v>
      </c>
      <c r="AW172" s="21">
        <f>EXP(-LN(2)/2)*AW171+(1-EXP(-LN(2)/2))/(LN(2)/2)*AQ172*AT172*VLOOKUP('Données projet'!$B$10,Paramètres!$A$1:$I$89,3,0)*0.475*44/12</f>
        <v>4.0940110874670254E-22</v>
      </c>
      <c r="AX172" s="21">
        <f t="shared" si="166"/>
        <v>1.9993396980459093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1.1368683772161603E-12</v>
      </c>
      <c r="BE172" s="13">
        <f>BD172*VLOOKUP('Données projet'!$B$11,Paramètres!$A$1:$I$89,3,0)*VLOOKUP('Données projet'!$B$11,Paramètres!$A$1:$I$89,5,0)</f>
        <v>5.3205440053716299E-13</v>
      </c>
      <c r="BF172" s="13">
        <f t="shared" si="167"/>
        <v>6.579711042921201E-12</v>
      </c>
      <c r="BG172" s="20">
        <f t="shared" si="168"/>
        <v>1.2386324814023317E-11</v>
      </c>
      <c r="BH172" s="59">
        <f t="shared" si="116"/>
        <v>293.33333333334571</v>
      </c>
      <c r="BI172" s="59">
        <f ca="1">AVERAGE(OFFSET($BH$3,0,0,'Données projet'!$E$11+1,1))-AVERAGE(OFFSET($H$3,0,0,'Données projet'!$E$11+1,1))</f>
        <v>183.67580045784649</v>
      </c>
      <c r="BJ172" s="59">
        <f t="shared" si="146"/>
        <v>121.08269345608767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68.686497129885993</v>
      </c>
      <c r="BQ172" s="21">
        <f>EXP(-LN(2)/25)*BQ171+(1-EXP(-LN(2)/25))/(LN(2)/25)*Calculateur!BL172*Calculateur!BN172*VLOOKUP('Données projet'!$B$11,Paramètres!$A$1:$I$89,3,0)*0.475*44/12</f>
        <v>12.139118446881733</v>
      </c>
      <c r="BR172" s="21">
        <f>EXP(-LN(2)/2)*BR171+(1-EXP(-LN(2)/2))/(LN(2)/2)*BL172*BO172*VLOOKUP('Données projet'!$B$11,Paramètres!$A$1:$I$89,3,0)*0.475*44/12</f>
        <v>3.5503698008404313E-5</v>
      </c>
      <c r="BS172" s="22">
        <f t="shared" si="169"/>
        <v>80.825651080465747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212.00000000000009</v>
      </c>
      <c r="BZ172" s="13">
        <f>BY172*VLOOKUP('Données projet'!$B$12,Paramètres!$A$1:$I$89,3,0)*VLOOKUP('Données projet'!$B$12,Paramètres!$A$1:$I$89,5,0)</f>
        <v>185.20320000000009</v>
      </c>
      <c r="CA172" s="13">
        <f t="shared" si="170"/>
        <v>46.477875402099386</v>
      </c>
      <c r="CB172" s="20">
        <f t="shared" si="171"/>
        <v>403.5112063253232</v>
      </c>
      <c r="CC172" s="59">
        <f t="shared" si="119"/>
        <v>696.84453965865646</v>
      </c>
      <c r="CD172" s="59">
        <f ca="1">AVERAGE(OFFSET($CC$3,0,0,'Données projet'!$E$12+1,1))-AVERAGE(OFFSET($H$3,0,0,'Données projet'!$E$12+1,1))</f>
        <v>216.10252108537389</v>
      </c>
      <c r="CE172" s="59">
        <f t="shared" si="148"/>
        <v>196.91968622092054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3.8083159310615997</v>
      </c>
      <c r="CL172" s="21">
        <f>EXP(-LN(2)/25)*CL171+(1-EXP(-LN(2)/25))/(LN(2)/25)*Calculateur!CG172*Calculateur!CI172*VLOOKUP('Données projet'!$B$12,Paramètres!$A$1:$I$89,3,0)*0.475*44/12</f>
        <v>2.0648363723082306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5.8731523033698299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6.4179487179487182</v>
      </c>
      <c r="CT172" s="12">
        <f>IF('Données projet'!$A$140&gt;35,CT171+CS172-DB171,IF(A172&lt;'Données projet'!$A$140,$CQ$205^A172,IF(A172='Données projet'!$A$140,'Données projet'!$B$140,CT171+CS172-DB171)))</f>
        <v>380.96153846153788</v>
      </c>
      <c r="CU172" s="17">
        <f>CT172*VLOOKUP('Données projet'!$B$13,Paramètres!$A$1:$I$89,3,0)*VLOOKUP('Données projet'!$B$13,Paramètres!$A$1:$I$89,5,0)</f>
        <v>344.69399999999945</v>
      </c>
      <c r="CV172" s="13">
        <f t="shared" si="173"/>
        <v>80.468981270905161</v>
      </c>
      <c r="CW172" s="20">
        <f t="shared" si="174"/>
        <v>740.49219238015883</v>
      </c>
      <c r="CX172" s="59">
        <f t="shared" si="122"/>
        <v>1033.8255257134922</v>
      </c>
      <c r="CY172" s="59">
        <f ca="1">AVERAGE(OFFSET($CX$3,0,0,'Données projet'!$E$13+1,1))-AVERAGE(OFFSET($H$3,0,0,'Données projet'!$E$13+1,1))</f>
        <v>318.01858325056168</v>
      </c>
      <c r="CZ172" s="59">
        <f t="shared" si="150"/>
        <v>119.46953274700951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62.835238260526211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62.835238260526211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79.560000000000358</v>
      </c>
      <c r="D173" s="11">
        <f t="shared" si="140"/>
        <v>22.0295673334534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784.20016888981854</v>
      </c>
      <c r="H173" s="67">
        <f t="shared" si="110"/>
        <v>470.26849643909861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200.15574321350221</v>
      </c>
      <c r="T173" s="59">
        <f t="shared" si="142"/>
        <v>200.70728852570426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14.68653862907526</v>
      </c>
      <c r="AA173" s="21">
        <f>EXP(-LN(2)/25)*AA172+(1-EXP(-LN(2)/25))/(LN(2)/25)*Calculateur!V173*Calculateur!X173*VLOOKUP('Données projet'!$B$9,Paramètres!$A$1:$I$89,3,0)*0.475*44/12</f>
        <v>1.7117263336978561</v>
      </c>
      <c r="AB173" s="21">
        <f>EXP(-LN(2)/2)*AB172+(1-EXP(-LN(2)/2))/(LN(2)/2)*V173*Y173*VLOOKUP('Données projet'!$B$9,Paramètres!$A$1:$I$89,3,0)*0.475*44/12</f>
        <v>8.8714725815448726E-16</v>
      </c>
      <c r="AC173" s="22">
        <f t="shared" si="163"/>
        <v>16.398264962773116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45.407317338461951</v>
      </c>
      <c r="AO173" s="59">
        <f t="shared" si="144"/>
        <v>149.88701606165358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1.8395262398458052</v>
      </c>
      <c r="AV173" s="21">
        <f>EXP(-LN(2)/25)*AV172+(1-EXP(-LN(2)/25))/(LN(2)/25)*Calculateur!AQ173*Calculateur!AS173*VLOOKUP('Données projet'!$B$10,Paramètres!$A$1:$I$89,3,0)*0.475*44/12</f>
        <v>0.1196559852042674</v>
      </c>
      <c r="AW173" s="21">
        <f>EXP(-LN(2)/2)*AW172+(1-EXP(-LN(2)/2))/(LN(2)/2)*AQ173*AT173*VLOOKUP('Données projet'!$B$10,Paramètres!$A$1:$I$89,3,0)*0.475*44/12</f>
        <v>2.8949030022008454E-22</v>
      </c>
      <c r="AX173" s="21">
        <f t="shared" si="166"/>
        <v>1.9591822250500726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1.1368683772161603E-12</v>
      </c>
      <c r="BE173" s="13">
        <f>BD173*VLOOKUP('Données projet'!$B$11,Paramètres!$A$1:$I$89,3,0)*VLOOKUP('Données projet'!$B$11,Paramètres!$A$1:$I$89,5,0)</f>
        <v>5.3205440053716299E-13</v>
      </c>
      <c r="BF173" s="13">
        <f t="shared" si="167"/>
        <v>6.579711042921201E-12</v>
      </c>
      <c r="BG173" s="20">
        <f t="shared" si="168"/>
        <v>1.2386324814023317E-11</v>
      </c>
      <c r="BH173" s="59">
        <f t="shared" si="116"/>
        <v>293.33333333334571</v>
      </c>
      <c r="BI173" s="59">
        <f ca="1">AVERAGE(OFFSET($BH$3,0,0,'Données projet'!$E$11+1,1))-AVERAGE(OFFSET($H$3,0,0,'Données projet'!$E$11+1,1))</f>
        <v>183.67580045784649</v>
      </c>
      <c r="BJ173" s="59">
        <f t="shared" si="146"/>
        <v>121.08269345608767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67.339596815795431</v>
      </c>
      <c r="BQ173" s="21">
        <f>EXP(-LN(2)/25)*BQ172+(1-EXP(-LN(2)/25))/(LN(2)/25)*Calculateur!BL173*Calculateur!BN173*VLOOKUP('Données projet'!$B$11,Paramètres!$A$1:$I$89,3,0)*0.475*44/12</f>
        <v>11.807173614583258</v>
      </c>
      <c r="BR173" s="21">
        <f>EXP(-LN(2)/2)*BR172+(1-EXP(-LN(2)/2))/(LN(2)/2)*BL173*BO173*VLOOKUP('Données projet'!$B$11,Paramètres!$A$1:$I$89,3,0)*0.475*44/12</f>
        <v>2.5104905618942012E-5</v>
      </c>
      <c r="BS173" s="22">
        <f t="shared" si="169"/>
        <v>79.146795535284312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212.00000000000009</v>
      </c>
      <c r="BZ173" s="13">
        <f>BY173*VLOOKUP('Données projet'!$B$12,Paramètres!$A$1:$I$89,3,0)*VLOOKUP('Données projet'!$B$12,Paramètres!$A$1:$I$89,5,0)</f>
        <v>185.20320000000009</v>
      </c>
      <c r="CA173" s="13">
        <f t="shared" si="170"/>
        <v>46.477875402099386</v>
      </c>
      <c r="CB173" s="20">
        <f t="shared" si="171"/>
        <v>403.5112063253232</v>
      </c>
      <c r="CC173" s="59">
        <f t="shared" si="119"/>
        <v>696.84453965865646</v>
      </c>
      <c r="CD173" s="59">
        <f ca="1">AVERAGE(OFFSET($CC$3,0,0,'Données projet'!$E$12+1,1))-AVERAGE(OFFSET($H$3,0,0,'Données projet'!$E$12+1,1))</f>
        <v>216.10252108537389</v>
      </c>
      <c r="CE173" s="59">
        <f t="shared" si="148"/>
        <v>196.91968622092054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3.7336371784968381</v>
      </c>
      <c r="CL173" s="21">
        <f>EXP(-LN(2)/25)*CL172+(1-EXP(-LN(2)/25))/(LN(2)/25)*Calculateur!CG173*Calculateur!CI173*VLOOKUP('Données projet'!$B$12,Paramètres!$A$1:$I$89,3,0)*0.475*44/12</f>
        <v>2.0083733131224366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5.7420104916192747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6.4179487179487182</v>
      </c>
      <c r="CT173" s="12">
        <f>IF('Données projet'!$A$140&gt;35,CT172+CS173-DB172,IF(A173&lt;'Données projet'!$A$140,$CQ$205^A173,IF(A173='Données projet'!$A$140,'Données projet'!$B$140,CT172+CS173-DB172)))</f>
        <v>387.3794871794866</v>
      </c>
      <c r="CU173" s="17">
        <f>CT173*VLOOKUP('Données projet'!$B$13,Paramètres!$A$1:$I$89,3,0)*VLOOKUP('Données projet'!$B$13,Paramètres!$A$1:$I$89,5,0)</f>
        <v>350.50095999999945</v>
      </c>
      <c r="CV173" s="13">
        <f t="shared" si="173"/>
        <v>81.665655516464668</v>
      </c>
      <c r="CW173" s="20">
        <f t="shared" si="174"/>
        <v>752.69018869117497</v>
      </c>
      <c r="CX173" s="59">
        <f t="shared" si="122"/>
        <v>1046.0235220245083</v>
      </c>
      <c r="CY173" s="59">
        <f ca="1">AVERAGE(OFFSET($CX$3,0,0,'Données projet'!$E$13+1,1))-AVERAGE(OFFSET($H$3,0,0,'Données projet'!$E$13+1,1))</f>
        <v>318.01858325056168</v>
      </c>
      <c r="CZ173" s="59">
        <f t="shared" si="150"/>
        <v>119.46953274700951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61.603077563948283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61.603077563948283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80.028000000000361</v>
      </c>
      <c r="D174" s="11">
        <f t="shared" si="140"/>
        <v>22.144030134787236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788.69637297029021</v>
      </c>
      <c r="H174" s="67">
        <f t="shared" si="110"/>
        <v>471.28295248475501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200.15574321350221</v>
      </c>
      <c r="T174" s="59">
        <f t="shared" si="142"/>
        <v>200.70728852570426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14.398544564463139</v>
      </c>
      <c r="AA174" s="21">
        <f>EXP(-LN(2)/25)*AA173+(1-EXP(-LN(2)/25))/(LN(2)/25)*Calculateur!V174*Calculateur!X174*VLOOKUP('Données projet'!$B$9,Paramètres!$A$1:$I$89,3,0)*0.475*44/12</f>
        <v>1.6649190870871124</v>
      </c>
      <c r="AB174" s="21">
        <f>EXP(-LN(2)/2)*AB173+(1-EXP(-LN(2)/2))/(LN(2)/2)*V174*Y174*VLOOKUP('Données projet'!$B$9,Paramètres!$A$1:$I$89,3,0)*0.475*44/12</f>
        <v>6.2730784215209067E-16</v>
      </c>
      <c r="AC174" s="22">
        <f t="shared" si="163"/>
        <v>16.063463651550251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45.407317338461951</v>
      </c>
      <c r="AO174" s="59">
        <f t="shared" si="144"/>
        <v>149.88701606165358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1.8034542522826469</v>
      </c>
      <c r="AV174" s="21">
        <f>EXP(-LN(2)/25)*AV173+(1-EXP(-LN(2)/25))/(LN(2)/25)*Calculateur!AQ174*Calculateur!AS174*VLOOKUP('Données projet'!$B$10,Paramètres!$A$1:$I$89,3,0)*0.475*44/12</f>
        <v>0.11638398599642193</v>
      </c>
      <c r="AW174" s="21">
        <f>EXP(-LN(2)/2)*AW173+(1-EXP(-LN(2)/2))/(LN(2)/2)*AQ174*AT174*VLOOKUP('Données projet'!$B$10,Paramètres!$A$1:$I$89,3,0)*0.475*44/12</f>
        <v>2.0470055437335127E-22</v>
      </c>
      <c r="AX174" s="21">
        <f t="shared" si="166"/>
        <v>1.9198382382790689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1.1368683772161603E-12</v>
      </c>
      <c r="BE174" s="13">
        <f>BD174*VLOOKUP('Données projet'!$B$11,Paramètres!$A$1:$I$89,3,0)*VLOOKUP('Données projet'!$B$11,Paramètres!$A$1:$I$89,5,0)</f>
        <v>5.3205440053716299E-13</v>
      </c>
      <c r="BF174" s="13">
        <f t="shared" si="167"/>
        <v>6.579711042921201E-12</v>
      </c>
      <c r="BG174" s="20">
        <f t="shared" si="168"/>
        <v>1.2386324814023317E-11</v>
      </c>
      <c r="BH174" s="59">
        <f t="shared" si="116"/>
        <v>293.33333333334571</v>
      </c>
      <c r="BI174" s="59">
        <f ca="1">AVERAGE(OFFSET($BH$3,0,0,'Données projet'!$E$11+1,1))-AVERAGE(OFFSET($H$3,0,0,'Données projet'!$E$11+1,1))</f>
        <v>183.67580045784649</v>
      </c>
      <c r="BJ174" s="59">
        <f t="shared" si="146"/>
        <v>121.08269345608767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66.019108395336104</v>
      </c>
      <c r="BQ174" s="21">
        <f>EXP(-LN(2)/25)*BQ173+(1-EXP(-LN(2)/25))/(LN(2)/25)*Calculateur!BL174*Calculateur!BN174*VLOOKUP('Données projet'!$B$11,Paramètres!$A$1:$I$89,3,0)*0.475*44/12</f>
        <v>11.484305831180205</v>
      </c>
      <c r="BR174" s="21">
        <f>EXP(-LN(2)/2)*BR173+(1-EXP(-LN(2)/2))/(LN(2)/2)*BL174*BO174*VLOOKUP('Données projet'!$B$11,Paramètres!$A$1:$I$89,3,0)*0.475*44/12</f>
        <v>1.7751849004202157E-5</v>
      </c>
      <c r="BS174" s="22">
        <f t="shared" si="169"/>
        <v>77.503431978365313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212.00000000000009</v>
      </c>
      <c r="BZ174" s="13">
        <f>BY174*VLOOKUP('Données projet'!$B$12,Paramètres!$A$1:$I$89,3,0)*VLOOKUP('Données projet'!$B$12,Paramètres!$A$1:$I$89,5,0)</f>
        <v>185.20320000000009</v>
      </c>
      <c r="CA174" s="13">
        <f t="shared" si="170"/>
        <v>46.477875402099386</v>
      </c>
      <c r="CB174" s="20">
        <f t="shared" si="171"/>
        <v>403.5112063253232</v>
      </c>
      <c r="CC174" s="59">
        <f t="shared" si="119"/>
        <v>696.84453965865646</v>
      </c>
      <c r="CD174" s="59">
        <f ca="1">AVERAGE(OFFSET($CC$3,0,0,'Données projet'!$E$12+1,1))-AVERAGE(OFFSET($H$3,0,0,'Données projet'!$E$12+1,1))</f>
        <v>216.10252108537389</v>
      </c>
      <c r="CE174" s="59">
        <f t="shared" si="148"/>
        <v>196.91968622092054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3.6604228307203299</v>
      </c>
      <c r="CL174" s="21">
        <f>EXP(-LN(2)/25)*CL173+(1-EXP(-LN(2)/25))/(LN(2)/25)*Calculateur!CG174*Calculateur!CI174*VLOOKUP('Données projet'!$B$12,Paramètres!$A$1:$I$89,3,0)*0.475*44/12</f>
        <v>1.9534542392593413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5.6138770699796714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6.4179487179487182</v>
      </c>
      <c r="CT174" s="12">
        <f>IF('Données projet'!$A$140&gt;35,CT173+CS174-DB173,IF(A174&lt;'Données projet'!$A$140,$CQ$205^A174,IF(A174='Données projet'!$A$140,'Données projet'!$B$140,CT173+CS174-DB173)))</f>
        <v>393.79743589743532</v>
      </c>
      <c r="CU174" s="17">
        <f>CT174*VLOOKUP('Données projet'!$B$13,Paramètres!$A$1:$I$89,3,0)*VLOOKUP('Données projet'!$B$13,Paramètres!$A$1:$I$89,5,0)</f>
        <v>356.30791999999946</v>
      </c>
      <c r="CV174" s="13">
        <f t="shared" si="173"/>
        <v>82.860024125417155</v>
      </c>
      <c r="CW174" s="20">
        <f t="shared" si="174"/>
        <v>764.88416935176735</v>
      </c>
      <c r="CX174" s="59">
        <f t="shared" si="122"/>
        <v>1058.2175026851007</v>
      </c>
      <c r="CY174" s="59">
        <f ca="1">AVERAGE(OFFSET($CX$3,0,0,'Données projet'!$E$13+1,1))-AVERAGE(OFFSET($H$3,0,0,'Données projet'!$E$13+1,1))</f>
        <v>318.01858325056168</v>
      </c>
      <c r="CZ174" s="59">
        <f t="shared" si="150"/>
        <v>119.46953274700951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60.395078787086433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60.395078787086433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80.496000000000365</v>
      </c>
      <c r="D175" s="11">
        <f t="shared" si="140"/>
        <v>22.258415047134207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793.19197580244236</v>
      </c>
      <c r="H175" s="67">
        <f t="shared" si="110"/>
        <v>472.29727287375937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200.15574321350221</v>
      </c>
      <c r="T175" s="59">
        <f t="shared" si="142"/>
        <v>200.70728852570426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14.116197887799027</v>
      </c>
      <c r="AA175" s="21">
        <f>EXP(-LN(2)/25)*AA174+(1-EXP(-LN(2)/25))/(LN(2)/25)*Calculateur!V175*Calculateur!X175*VLOOKUP('Données projet'!$B$9,Paramètres!$A$1:$I$89,3,0)*0.475*44/12</f>
        <v>1.6193917870964258</v>
      </c>
      <c r="AB175" s="21">
        <f>EXP(-LN(2)/2)*AB174+(1-EXP(-LN(2)/2))/(LN(2)/2)*V175*Y175*VLOOKUP('Données projet'!$B$9,Paramètres!$A$1:$I$89,3,0)*0.475*44/12</f>
        <v>4.4357362907724373E-16</v>
      </c>
      <c r="AC175" s="22">
        <f t="shared" si="163"/>
        <v>15.735589674895452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45.407317338461951</v>
      </c>
      <c r="AO175" s="59">
        <f t="shared" si="144"/>
        <v>149.88701606165358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1.7680896143938623</v>
      </c>
      <c r="AV175" s="21">
        <f>EXP(-LN(2)/25)*AV174+(1-EXP(-LN(2)/25))/(LN(2)/25)*Calculateur!AQ175*Calculateur!AS175*VLOOKUP('Données projet'!$B$10,Paramètres!$A$1:$I$89,3,0)*0.475*44/12</f>
        <v>0.11320145977898194</v>
      </c>
      <c r="AW175" s="21">
        <f>EXP(-LN(2)/2)*AW174+(1-EXP(-LN(2)/2))/(LN(2)/2)*AQ175*AT175*VLOOKUP('Données projet'!$B$10,Paramètres!$A$1:$I$89,3,0)*0.475*44/12</f>
        <v>1.4474515011004227E-22</v>
      </c>
      <c r="AX175" s="21">
        <f t="shared" si="166"/>
        <v>1.8812910741728441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1.1368683772161603E-12</v>
      </c>
      <c r="BE175" s="13">
        <f>BD175*VLOOKUP('Données projet'!$B$11,Paramètres!$A$1:$I$89,3,0)*VLOOKUP('Données projet'!$B$11,Paramètres!$A$1:$I$89,5,0)</f>
        <v>5.3205440053716299E-13</v>
      </c>
      <c r="BF175" s="13">
        <f t="shared" si="167"/>
        <v>6.579711042921201E-12</v>
      </c>
      <c r="BG175" s="20">
        <f t="shared" si="168"/>
        <v>1.2386324814023317E-11</v>
      </c>
      <c r="BH175" s="59">
        <f t="shared" si="116"/>
        <v>293.33333333334571</v>
      </c>
      <c r="BI175" s="59">
        <f ca="1">AVERAGE(OFFSET($BH$3,0,0,'Données projet'!$E$11+1,1))-AVERAGE(OFFSET($H$3,0,0,'Données projet'!$E$11+1,1))</f>
        <v>183.67580045784649</v>
      </c>
      <c r="BJ175" s="59">
        <f t="shared" si="146"/>
        <v>121.08269345608767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64.724513947383585</v>
      </c>
      <c r="BQ175" s="21">
        <f>EXP(-LN(2)/25)*BQ174+(1-EXP(-LN(2)/25))/(LN(2)/25)*Calculateur!BL175*Calculateur!BN175*VLOOKUP('Données projet'!$B$11,Paramètres!$A$1:$I$89,3,0)*0.475*44/12</f>
        <v>11.170266884293186</v>
      </c>
      <c r="BR175" s="21">
        <f>EXP(-LN(2)/2)*BR174+(1-EXP(-LN(2)/2))/(LN(2)/2)*BL175*BO175*VLOOKUP('Données projet'!$B$11,Paramètres!$A$1:$I$89,3,0)*0.475*44/12</f>
        <v>1.2552452809471006E-5</v>
      </c>
      <c r="BS175" s="22">
        <f t="shared" si="169"/>
        <v>75.894793384129585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212.00000000000009</v>
      </c>
      <c r="BZ175" s="13">
        <f>BY175*VLOOKUP('Données projet'!$B$12,Paramètres!$A$1:$I$89,3,0)*VLOOKUP('Données projet'!$B$12,Paramètres!$A$1:$I$89,5,0)</f>
        <v>185.20320000000009</v>
      </c>
      <c r="CA175" s="13">
        <f t="shared" si="170"/>
        <v>46.477875402099386</v>
      </c>
      <c r="CB175" s="20">
        <f t="shared" si="171"/>
        <v>403.5112063253232</v>
      </c>
      <c r="CC175" s="59">
        <f t="shared" si="119"/>
        <v>696.84453965865646</v>
      </c>
      <c r="CD175" s="59">
        <f ca="1">AVERAGE(OFFSET($CC$3,0,0,'Données projet'!$E$12+1,1))-AVERAGE(OFFSET($H$3,0,0,'Données projet'!$E$12+1,1))</f>
        <v>216.10252108537389</v>
      </c>
      <c r="CE175" s="59">
        <f t="shared" si="148"/>
        <v>196.91968622092054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3.5886441716473763</v>
      </c>
      <c r="CL175" s="21">
        <f>EXP(-LN(2)/25)*CL174+(1-EXP(-LN(2)/25))/(LN(2)/25)*Calculateur!CG175*Calculateur!CI175*VLOOKUP('Données projet'!$B$12,Paramètres!$A$1:$I$89,3,0)*0.475*44/12</f>
        <v>1.9000369303591007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5.4886811020064767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6.4179487179487182</v>
      </c>
      <c r="CT175" s="12">
        <f>IF('Données projet'!$A$140&gt;35,CT174+CS175-DB174,IF(A175&lt;'Données projet'!$A$140,$CQ$205^A175,IF(A175='Données projet'!$A$140,'Données projet'!$B$140,CT174+CS175-DB174)))</f>
        <v>400.21538461538404</v>
      </c>
      <c r="CU175" s="17">
        <f>CT175*VLOOKUP('Données projet'!$B$13,Paramètres!$A$1:$I$89,3,0)*VLOOKUP('Données projet'!$B$13,Paramètres!$A$1:$I$89,5,0)</f>
        <v>362.11487999999946</v>
      </c>
      <c r="CV175" s="13">
        <f t="shared" si="173"/>
        <v>84.052129011936628</v>
      </c>
      <c r="CW175" s="20">
        <f t="shared" si="174"/>
        <v>777.07420736245524</v>
      </c>
      <c r="CX175" s="59">
        <f t="shared" si="122"/>
        <v>1070.4075406957886</v>
      </c>
      <c r="CY175" s="59">
        <f ca="1">AVERAGE(OFFSET($CX$3,0,0,'Données projet'!$E$13+1,1))-AVERAGE(OFFSET($H$3,0,0,'Données projet'!$E$13+1,1))</f>
        <v>318.01858325056168</v>
      </c>
      <c r="CZ175" s="59">
        <f t="shared" si="150"/>
        <v>119.46953274700951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59.210768129432338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59.210768129432338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80.964000000000368</v>
      </c>
      <c r="D176" s="11">
        <f t="shared" si="140"/>
        <v>22.372722575882829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797.68698128751942</v>
      </c>
      <c r="H176" s="67">
        <f t="shared" si="110"/>
        <v>473.31145848632991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200.15574321350221</v>
      </c>
      <c r="T176" s="59">
        <f t="shared" si="142"/>
        <v>200.70728852570426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13.839387857249829</v>
      </c>
      <c r="AA176" s="21">
        <f>EXP(-LN(2)/25)*AA175+(1-EXP(-LN(2)/25))/(LN(2)/25)*Calculateur!V176*Calculateur!X176*VLOOKUP('Données projet'!$B$9,Paramètres!$A$1:$I$89,3,0)*0.475*44/12</f>
        <v>1.5751094335181612</v>
      </c>
      <c r="AB176" s="21">
        <f>EXP(-LN(2)/2)*AB175+(1-EXP(-LN(2)/2))/(LN(2)/2)*V176*Y176*VLOOKUP('Données projet'!$B$9,Paramètres!$A$1:$I$89,3,0)*0.475*44/12</f>
        <v>3.1365392107604539E-16</v>
      </c>
      <c r="AC176" s="22">
        <f t="shared" si="163"/>
        <v>15.41449729076799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45.407317338461951</v>
      </c>
      <c r="AO176" s="59">
        <f t="shared" si="144"/>
        <v>149.88701606165358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1.7334184554837775</v>
      </c>
      <c r="AV176" s="21">
        <f>EXP(-LN(2)/25)*AV175+(1-EXP(-LN(2)/25))/(LN(2)/25)*Calculateur!AQ176*Calculateur!AS176*VLOOKUP('Données projet'!$B$10,Paramètres!$A$1:$I$89,3,0)*0.475*44/12</f>
        <v>0.11010595990831963</v>
      </c>
      <c r="AW176" s="21">
        <f>EXP(-LN(2)/2)*AW175+(1-EXP(-LN(2)/2))/(LN(2)/2)*AQ176*AT176*VLOOKUP('Données projet'!$B$10,Paramètres!$A$1:$I$89,3,0)*0.475*44/12</f>
        <v>1.0235027718667564E-22</v>
      </c>
      <c r="AX176" s="21">
        <f t="shared" si="166"/>
        <v>1.8435244153920971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1.1368683772161603E-12</v>
      </c>
      <c r="BE176" s="13">
        <f>BD176*VLOOKUP('Données projet'!$B$11,Paramètres!$A$1:$I$89,3,0)*VLOOKUP('Données projet'!$B$11,Paramètres!$A$1:$I$89,5,0)</f>
        <v>5.3205440053716299E-13</v>
      </c>
      <c r="BF176" s="13">
        <f t="shared" si="167"/>
        <v>6.579711042921201E-12</v>
      </c>
      <c r="BG176" s="20">
        <f t="shared" si="168"/>
        <v>1.2386324814023317E-11</v>
      </c>
      <c r="BH176" s="59">
        <f t="shared" si="116"/>
        <v>293.33333333334571</v>
      </c>
      <c r="BI176" s="59">
        <f ca="1">AVERAGE(OFFSET($BH$3,0,0,'Données projet'!$E$11+1,1))-AVERAGE(OFFSET($H$3,0,0,'Données projet'!$E$11+1,1))</f>
        <v>183.67580045784649</v>
      </c>
      <c r="BJ176" s="59">
        <f t="shared" si="146"/>
        <v>121.08269345608767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63.455305706930766</v>
      </c>
      <c r="BQ176" s="21">
        <f>EXP(-LN(2)/25)*BQ175+(1-EXP(-LN(2)/25))/(LN(2)/25)*Calculateur!BL176*Calculateur!BN176*VLOOKUP('Données projet'!$B$11,Paramètres!$A$1:$I$89,3,0)*0.475*44/12</f>
        <v>10.864815348923383</v>
      </c>
      <c r="BR176" s="21">
        <f>EXP(-LN(2)/2)*BR175+(1-EXP(-LN(2)/2))/(LN(2)/2)*BL176*BO176*VLOOKUP('Données projet'!$B$11,Paramètres!$A$1:$I$89,3,0)*0.475*44/12</f>
        <v>8.8759245021010783E-6</v>
      </c>
      <c r="BS176" s="22">
        <f t="shared" si="169"/>
        <v>74.320129931778652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212.00000000000009</v>
      </c>
      <c r="BZ176" s="13">
        <f>BY176*VLOOKUP('Données projet'!$B$12,Paramètres!$A$1:$I$89,3,0)*VLOOKUP('Données projet'!$B$12,Paramètres!$A$1:$I$89,5,0)</f>
        <v>185.20320000000009</v>
      </c>
      <c r="CA176" s="13">
        <f t="shared" si="170"/>
        <v>46.477875402099386</v>
      </c>
      <c r="CB176" s="20">
        <f t="shared" si="171"/>
        <v>403.5112063253232</v>
      </c>
      <c r="CC176" s="59">
        <f t="shared" si="119"/>
        <v>696.84453965865646</v>
      </c>
      <c r="CD176" s="59">
        <f ca="1">AVERAGE(OFFSET($CC$3,0,0,'Données projet'!$E$12+1,1))-AVERAGE(OFFSET($H$3,0,0,'Données projet'!$E$12+1,1))</f>
        <v>216.10252108537389</v>
      </c>
      <c r="CE176" s="59">
        <f t="shared" si="148"/>
        <v>196.91968622092054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3.5182730482981843</v>
      </c>
      <c r="CL176" s="21">
        <f>EXP(-LN(2)/25)*CL175+(1-EXP(-LN(2)/25))/(LN(2)/25)*Calculateur!CG176*Calculateur!CI176*VLOOKUP('Données projet'!$B$12,Paramètres!$A$1:$I$89,3,0)*0.475*44/12</f>
        <v>1.8480803205798315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5.3663533688780163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6.4179487179487182</v>
      </c>
      <c r="CT176" s="12">
        <f>IF('Données projet'!$A$140&gt;35,CT175+CS176-DB175,IF(A176&lt;'Données projet'!$A$140,$CQ$205^A176,IF(A176='Données projet'!$A$140,'Données projet'!$B$140,CT175+CS176-DB175)))</f>
        <v>406.63333333333276</v>
      </c>
      <c r="CU176" s="17">
        <f>CT176*VLOOKUP('Données projet'!$B$13,Paramètres!$A$1:$I$89,3,0)*VLOOKUP('Données projet'!$B$13,Paramètres!$A$1:$I$89,5,0)</f>
        <v>367.92183999999946</v>
      </c>
      <c r="CV176" s="13">
        <f t="shared" si="173"/>
        <v>85.242010668812711</v>
      </c>
      <c r="CW176" s="20">
        <f t="shared" si="174"/>
        <v>789.26037324818117</v>
      </c>
      <c r="CX176" s="59">
        <f t="shared" si="122"/>
        <v>1082.5937065815144</v>
      </c>
      <c r="CY176" s="59">
        <f ca="1">AVERAGE(OFFSET($CX$3,0,0,'Données projet'!$E$13+1,1))-AVERAGE(OFFSET($H$3,0,0,'Données projet'!$E$13+1,1))</f>
        <v>318.01858325056168</v>
      </c>
      <c r="CZ176" s="59">
        <f t="shared" si="150"/>
        <v>119.46953274700951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58.049681081416672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58.049681081416672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81.432000000000372</v>
      </c>
      <c r="D177" s="11">
        <f t="shared" si="140"/>
        <v>22.486953220240959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802.18139327905601</v>
      </c>
      <c r="H177" s="67">
        <f t="shared" si="110"/>
        <v>474.32551019192033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200.15574321350221</v>
      </c>
      <c r="T177" s="59">
        <f t="shared" si="142"/>
        <v>200.70728852570426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13.568005902562254</v>
      </c>
      <c r="AA177" s="21">
        <f>EXP(-LN(2)/25)*AA176+(1-EXP(-LN(2)/25))/(LN(2)/25)*Calculateur!V177*Calculateur!X177*VLOOKUP('Données projet'!$B$9,Paramètres!$A$1:$I$89,3,0)*0.475*44/12</f>
        <v>1.532037983227202</v>
      </c>
      <c r="AB177" s="21">
        <f>EXP(-LN(2)/2)*AB176+(1-EXP(-LN(2)/2))/(LN(2)/2)*V177*Y177*VLOOKUP('Données projet'!$B$9,Paramètres!$A$1:$I$89,3,0)*0.475*44/12</f>
        <v>2.2178681453862189E-16</v>
      </c>
      <c r="AC177" s="22">
        <f t="shared" si="163"/>
        <v>15.100043885789455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45.407317338461951</v>
      </c>
      <c r="AO177" s="59">
        <f t="shared" si="144"/>
        <v>149.88701606165358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1.6994271768526006</v>
      </c>
      <c r="AV177" s="21">
        <f>EXP(-LN(2)/25)*AV176+(1-EXP(-LN(2)/25))/(LN(2)/25)*Calculateur!AQ177*Calculateur!AS177*VLOOKUP('Données projet'!$B$10,Paramètres!$A$1:$I$89,3,0)*0.475*44/12</f>
        <v>0.10709510664440584</v>
      </c>
      <c r="AW177" s="21">
        <f>EXP(-LN(2)/2)*AW176+(1-EXP(-LN(2)/2))/(LN(2)/2)*AQ177*AT177*VLOOKUP('Données projet'!$B$10,Paramètres!$A$1:$I$89,3,0)*0.475*44/12</f>
        <v>7.2372575055021135E-23</v>
      </c>
      <c r="AX177" s="21">
        <f t="shared" si="166"/>
        <v>1.8065222834970065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1.1368683772161603E-12</v>
      </c>
      <c r="BE177" s="13">
        <f>BD177*VLOOKUP('Données projet'!$B$11,Paramètres!$A$1:$I$89,3,0)*VLOOKUP('Données projet'!$B$11,Paramètres!$A$1:$I$89,5,0)</f>
        <v>5.3205440053716299E-13</v>
      </c>
      <c r="BF177" s="13">
        <f t="shared" si="167"/>
        <v>6.579711042921201E-12</v>
      </c>
      <c r="BG177" s="20">
        <f t="shared" si="168"/>
        <v>1.2386324814023317E-11</v>
      </c>
      <c r="BH177" s="59">
        <f t="shared" si="116"/>
        <v>293.33333333334571</v>
      </c>
      <c r="BI177" s="59">
        <f ca="1">AVERAGE(OFFSET($BH$3,0,0,'Données projet'!$E$11+1,1))-AVERAGE(OFFSET($H$3,0,0,'Données projet'!$E$11+1,1))</f>
        <v>183.67580045784649</v>
      </c>
      <c r="BJ177" s="59">
        <f t="shared" si="146"/>
        <v>121.08269345608767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62.210985865932642</v>
      </c>
      <c r="BQ177" s="21">
        <f>EXP(-LN(2)/25)*BQ176+(1-EXP(-LN(2)/25))/(LN(2)/25)*Calculateur!BL177*Calculateur!BN177*VLOOKUP('Données projet'!$B$11,Paramètres!$A$1:$I$89,3,0)*0.475*44/12</f>
        <v>10.567716401851266</v>
      </c>
      <c r="BR177" s="21">
        <f>EXP(-LN(2)/2)*BR176+(1-EXP(-LN(2)/2))/(LN(2)/2)*BL177*BO177*VLOOKUP('Données projet'!$B$11,Paramètres!$A$1:$I$89,3,0)*0.475*44/12</f>
        <v>6.2762264047355031E-6</v>
      </c>
      <c r="BS177" s="22">
        <f t="shared" si="169"/>
        <v>72.778708544010314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212.00000000000009</v>
      </c>
      <c r="BZ177" s="13">
        <f>BY177*VLOOKUP('Données projet'!$B$12,Paramètres!$A$1:$I$89,3,0)*VLOOKUP('Données projet'!$B$12,Paramètres!$A$1:$I$89,5,0)</f>
        <v>185.20320000000009</v>
      </c>
      <c r="CA177" s="13">
        <f t="shared" si="170"/>
        <v>46.477875402099386</v>
      </c>
      <c r="CB177" s="20">
        <f t="shared" si="171"/>
        <v>403.5112063253232</v>
      </c>
      <c r="CC177" s="59">
        <f t="shared" si="119"/>
        <v>696.84453965865646</v>
      </c>
      <c r="CD177" s="59">
        <f ca="1">AVERAGE(OFFSET($CC$3,0,0,'Données projet'!$E$12+1,1))-AVERAGE(OFFSET($H$3,0,0,'Données projet'!$E$12+1,1))</f>
        <v>216.10252108537389</v>
      </c>
      <c r="CE177" s="59">
        <f t="shared" si="148"/>
        <v>196.91968622092054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3.4492818597557231</v>
      </c>
      <c r="CL177" s="21">
        <f>EXP(-LN(2)/25)*CL176+(1-EXP(-LN(2)/25))/(LN(2)/25)*Calculateur!CG177*Calculateur!CI177*VLOOKUP('Données projet'!$B$12,Paramètres!$A$1:$I$89,3,0)*0.475*44/12</f>
        <v>1.7975444670272558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5.2468263267829789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>
        <f>VLOOKUP(A177,'Données projet'!$A$139:$I$159,2,0)</f>
        <v>413.05128205128204</v>
      </c>
      <c r="CR177" s="12">
        <f>VLOOKUP(A177,'Données projet'!$A$139:$I$159,9,0)</f>
        <v>6.4179487179487182</v>
      </c>
      <c r="CS177" s="12">
        <f t="array" ref="CS177">INDEX(CR:CR,MIN(IF(ISNUMBER(CR177:CR373),ROW(CR177:CR373),"")))</f>
        <v>6.4179487179487182</v>
      </c>
      <c r="CT177" s="12">
        <f>IF('Données projet'!$A$140&gt;35,CT176+CS177-DB176,IF(A177&lt;'Données projet'!$A$140,$CQ$205^A177,IF(A177='Données projet'!$A$140,'Données projet'!$B$140,CT176+CS177-DB176)))</f>
        <v>413.05128205128148</v>
      </c>
      <c r="CU177" s="17">
        <f>CT177*VLOOKUP('Données projet'!$B$13,Paramètres!$A$1:$I$89,3,0)*VLOOKUP('Données projet'!$B$13,Paramètres!$A$1:$I$89,5,0)</f>
        <v>373.72879999999947</v>
      </c>
      <c r="CV177" s="13">
        <f t="shared" si="173"/>
        <v>86.429708237311118</v>
      </c>
      <c r="CW177" s="20">
        <f t="shared" si="174"/>
        <v>801.44273517998261</v>
      </c>
      <c r="CX177" s="59">
        <f t="shared" si="122"/>
        <v>1094.776068513316</v>
      </c>
      <c r="CY177" s="59">
        <f ca="1">AVERAGE(OFFSET($CX$3,0,0,'Données projet'!$E$13+1,1))-AVERAGE(OFFSET($H$3,0,0,'Données projet'!$E$13+1,1))</f>
        <v>318.01858325056168</v>
      </c>
      <c r="CZ177" s="59">
        <f t="shared" si="150"/>
        <v>119.46953274700951</v>
      </c>
      <c r="DA177" s="15">
        <f>IF(ISNA(VLOOKUP(A177,'Données projet'!$A$139:$I$159,3,0)),0,VLOOKUP(A177,'Données projet'!$A$139:$I$159,3,0))</f>
        <v>15</v>
      </c>
      <c r="DB177" s="15">
        <f>IF(ISNA(VLOOKUP(A177,'Données projet'!$A$139:$I$159,4,0)),0,VLOOKUP(A177,'Données projet'!$A$139:$I$159,4,0))</f>
        <v>162.38461538461539</v>
      </c>
      <c r="DC177" s="16">
        <f>IF(ISNA(VLOOKUP(A177,'Données projet'!$A$139:$I$159,5,0)),0%,VLOOKUP(A177,'Données projet'!$A$139:$I$159,5,0)*VLOOKUP('Données projet'!$B$13,Paramètres!$A$1:$I$89,7,0))</f>
        <v>0.38700000000000001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119.7686370759256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119.7686370759256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81.900000000000375</v>
      </c>
      <c r="D178" s="11">
        <f t="shared" si="140"/>
        <v>22.601107473346421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806.67521558372971</v>
      </c>
      <c r="H178" s="67">
        <f t="shared" si="110"/>
        <v>475.33942884941229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200.15574321350221</v>
      </c>
      <c r="T178" s="59">
        <f t="shared" si="142"/>
        <v>200.70728852570426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13.301945582479455</v>
      </c>
      <c r="AA178" s="21">
        <f>EXP(-LN(2)/25)*AA177+(1-EXP(-LN(2)/25))/(LN(2)/25)*Calculateur!V178*Calculateur!X178*VLOOKUP('Données projet'!$B$9,Paramètres!$A$1:$I$89,3,0)*0.475*44/12</f>
        <v>1.490144324009478</v>
      </c>
      <c r="AB178" s="21">
        <f>EXP(-LN(2)/2)*AB177+(1-EXP(-LN(2)/2))/(LN(2)/2)*V178*Y178*VLOOKUP('Données projet'!$B$9,Paramètres!$A$1:$I$89,3,0)*0.475*44/12</f>
        <v>1.5682696053802272E-16</v>
      </c>
      <c r="AC178" s="22">
        <f t="shared" si="163"/>
        <v>14.792089906488933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45.407317338461951</v>
      </c>
      <c r="AO178" s="59">
        <f t="shared" si="144"/>
        <v>149.88701606165358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1.6661024464627483</v>
      </c>
      <c r="AV178" s="21">
        <f>EXP(-LN(2)/25)*AV177+(1-EXP(-LN(2)/25))/(LN(2)/25)*Calculateur!AQ178*Calculateur!AS178*VLOOKUP('Données projet'!$B$10,Paramètres!$A$1:$I$89,3,0)*0.475*44/12</f>
        <v>0.10416658532132768</v>
      </c>
      <c r="AW178" s="21">
        <f>EXP(-LN(2)/2)*AW177+(1-EXP(-LN(2)/2))/(LN(2)/2)*AQ178*AT178*VLOOKUP('Données projet'!$B$10,Paramètres!$A$1:$I$89,3,0)*0.475*44/12</f>
        <v>5.1175138593337818E-23</v>
      </c>
      <c r="AX178" s="21">
        <f t="shared" si="166"/>
        <v>1.7702690317840759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1.1368683772161603E-12</v>
      </c>
      <c r="BE178" s="13">
        <f>BD178*VLOOKUP('Données projet'!$B$11,Paramètres!$A$1:$I$89,3,0)*VLOOKUP('Données projet'!$B$11,Paramètres!$A$1:$I$89,5,0)</f>
        <v>5.3205440053716299E-13</v>
      </c>
      <c r="BF178" s="13">
        <f t="shared" si="167"/>
        <v>6.579711042921201E-12</v>
      </c>
      <c r="BG178" s="20">
        <f t="shared" si="168"/>
        <v>1.2386324814023317E-11</v>
      </c>
      <c r="BH178" s="59">
        <f t="shared" si="116"/>
        <v>293.33333333334571</v>
      </c>
      <c r="BI178" s="59">
        <f ca="1">AVERAGE(OFFSET($BH$3,0,0,'Données projet'!$E$11+1,1))-AVERAGE(OFFSET($H$3,0,0,'Données projet'!$E$11+1,1))</f>
        <v>183.67580045784649</v>
      </c>
      <c r="BJ178" s="59">
        <f t="shared" si="146"/>
        <v>121.08269345608767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60.991066378056331</v>
      </c>
      <c r="BQ178" s="21">
        <f>EXP(-LN(2)/25)*BQ177+(1-EXP(-LN(2)/25))/(LN(2)/25)*Calculateur!BL178*Calculateur!BN178*VLOOKUP('Données projet'!$B$11,Paramètres!$A$1:$I$89,3,0)*0.475*44/12</f>
        <v>10.278741641110591</v>
      </c>
      <c r="BR178" s="21">
        <f>EXP(-LN(2)/2)*BR177+(1-EXP(-LN(2)/2))/(LN(2)/2)*BL178*BO178*VLOOKUP('Données projet'!$B$11,Paramètres!$A$1:$I$89,3,0)*0.475*44/12</f>
        <v>4.4379622510505391E-6</v>
      </c>
      <c r="BS178" s="22">
        <f t="shared" si="169"/>
        <v>71.269812457129163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212.00000000000009</v>
      </c>
      <c r="BZ178" s="13">
        <f>BY178*VLOOKUP('Données projet'!$B$12,Paramètres!$A$1:$I$89,3,0)*VLOOKUP('Données projet'!$B$12,Paramètres!$A$1:$I$89,5,0)</f>
        <v>185.20320000000009</v>
      </c>
      <c r="CA178" s="13">
        <f t="shared" si="170"/>
        <v>46.477875402099386</v>
      </c>
      <c r="CB178" s="20">
        <f t="shared" si="171"/>
        <v>403.5112063253232</v>
      </c>
      <c r="CC178" s="59">
        <f t="shared" si="119"/>
        <v>696.84453965865646</v>
      </c>
      <c r="CD178" s="59">
        <f ca="1">AVERAGE(OFFSET($CC$3,0,0,'Données projet'!$E$12+1,1))-AVERAGE(OFFSET($H$3,0,0,'Données projet'!$E$12+1,1))</f>
        <v>216.10252108537389</v>
      </c>
      <c r="CE178" s="59">
        <f t="shared" si="148"/>
        <v>196.91968622092054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3.3816435463401096</v>
      </c>
      <c r="CL178" s="21">
        <f>EXP(-LN(2)/25)*CL177+(1-EXP(-LN(2)/25))/(LN(2)/25)*Calculateur!CG178*Calculateur!CI178*VLOOKUP('Données projet'!$B$12,Paramètres!$A$1:$I$89,3,0)*0.475*44/12</f>
        <v>1.7483905190476403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5.1300340653877496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4.0982905982905988</v>
      </c>
      <c r="CT178" s="12">
        <f>IF('Données projet'!$A$140&gt;35,CT177+CS178-DB177,IF(A178&lt;'Données projet'!$A$140,$CQ$205^A178,IF(A178='Données projet'!$A$140,'Données projet'!$B$140,CT177+CS178-DB177)))</f>
        <v>254.76495726495668</v>
      </c>
      <c r="CU178" s="17">
        <f>CT178*VLOOKUP('Données projet'!$B$13,Paramètres!$A$1:$I$89,3,0)*VLOOKUP('Données projet'!$B$13,Paramètres!$A$1:$I$89,5,0)</f>
        <v>230.5113333333328</v>
      </c>
      <c r="CV178" s="13">
        <f t="shared" si="173"/>
        <v>56.393229459006619</v>
      </c>
      <c r="CW178" s="20">
        <f t="shared" si="174"/>
        <v>499.6921135299911</v>
      </c>
      <c r="CX178" s="59">
        <f t="shared" si="122"/>
        <v>793.02544686332442</v>
      </c>
      <c r="CY178" s="59">
        <f ca="1">AVERAGE(OFFSET($CX$3,0,0,'Données projet'!$E$13+1,1))-AVERAGE(OFFSET($H$3,0,0,'Données projet'!$E$13+1,1))</f>
        <v>318.01858325056168</v>
      </c>
      <c r="CZ178" s="59">
        <f t="shared" si="150"/>
        <v>119.46953274700951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117.42004715452207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117.42004715452207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82.368000000000379</v>
      </c>
      <c r="D179" s="11">
        <f t="shared" si="140"/>
        <v>22.715185822375016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811.16845196219617</v>
      </c>
      <c r="H179" s="67">
        <f t="shared" si="110"/>
        <v>476.3532153073038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200.15574321350221</v>
      </c>
      <c r="T179" s="59">
        <f t="shared" si="142"/>
        <v>200.70728852570426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13.041102542992707</v>
      </c>
      <c r="AA179" s="21">
        <f>EXP(-LN(2)/25)*AA178+(1-EXP(-LN(2)/25))/(LN(2)/25)*Calculateur!V179*Calculateur!X179*VLOOKUP('Données projet'!$B$9,Paramètres!$A$1:$I$89,3,0)*0.475*44/12</f>
        <v>1.4493962491061547</v>
      </c>
      <c r="AB179" s="21">
        <f>EXP(-LN(2)/2)*AB178+(1-EXP(-LN(2)/2))/(LN(2)/2)*V179*Y179*VLOOKUP('Données projet'!$B$9,Paramètres!$A$1:$I$89,3,0)*0.475*44/12</f>
        <v>1.1089340726931096E-16</v>
      </c>
      <c r="AC179" s="22">
        <f t="shared" si="163"/>
        <v>14.490498792098862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45.407317338461951</v>
      </c>
      <c r="AO179" s="59">
        <f t="shared" si="144"/>
        <v>149.88701606165358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1.6334311937097625</v>
      </c>
      <c r="AV179" s="21">
        <f>EXP(-LN(2)/25)*AV178+(1-EXP(-LN(2)/25))/(LN(2)/25)*Calculateur!AQ179*Calculateur!AS179*VLOOKUP('Données projet'!$B$10,Paramètres!$A$1:$I$89,3,0)*0.475*44/12</f>
        <v>0.10131814456783332</v>
      </c>
      <c r="AW179" s="21">
        <f>EXP(-LN(2)/2)*AW178+(1-EXP(-LN(2)/2))/(LN(2)/2)*AQ179*AT179*VLOOKUP('Données projet'!$B$10,Paramètres!$A$1:$I$89,3,0)*0.475*44/12</f>
        <v>3.6186287527510567E-23</v>
      </c>
      <c r="AX179" s="21">
        <f t="shared" si="166"/>
        <v>1.7347493382775958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1.1368683772161603E-12</v>
      </c>
      <c r="BE179" s="13">
        <f>BD179*VLOOKUP('Données projet'!$B$11,Paramètres!$A$1:$I$89,3,0)*VLOOKUP('Données projet'!$B$11,Paramètres!$A$1:$I$89,5,0)</f>
        <v>5.3205440053716299E-13</v>
      </c>
      <c r="BF179" s="13">
        <f t="shared" si="167"/>
        <v>6.579711042921201E-12</v>
      </c>
      <c r="BG179" s="20">
        <f t="shared" si="168"/>
        <v>1.2386324814023317E-11</v>
      </c>
      <c r="BH179" s="59">
        <f t="shared" si="116"/>
        <v>293.33333333334571</v>
      </c>
      <c r="BI179" s="59">
        <f ca="1">AVERAGE(OFFSET($BH$3,0,0,'Données projet'!$E$11+1,1))-AVERAGE(OFFSET($H$3,0,0,'Données projet'!$E$11+1,1))</f>
        <v>183.67580045784649</v>
      </c>
      <c r="BJ179" s="59">
        <f t="shared" si="146"/>
        <v>121.08269345608767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59.795068767259856</v>
      </c>
      <c r="BQ179" s="21">
        <f>EXP(-LN(2)/25)*BQ178+(1-EXP(-LN(2)/25))/(LN(2)/25)*Calculateur!BL179*Calculateur!BN179*VLOOKUP('Données projet'!$B$11,Paramètres!$A$1:$I$89,3,0)*0.475*44/12</f>
        <v>9.9976689103988914</v>
      </c>
      <c r="BR179" s="21">
        <f>EXP(-LN(2)/2)*BR178+(1-EXP(-LN(2)/2))/(LN(2)/2)*BL179*BO179*VLOOKUP('Données projet'!$B$11,Paramètres!$A$1:$I$89,3,0)*0.475*44/12</f>
        <v>3.1381132023677515E-6</v>
      </c>
      <c r="BS179" s="22">
        <f t="shared" si="169"/>
        <v>69.79274081577195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212.00000000000009</v>
      </c>
      <c r="BZ179" s="13">
        <f>BY179*VLOOKUP('Données projet'!$B$12,Paramètres!$A$1:$I$89,3,0)*VLOOKUP('Données projet'!$B$12,Paramètres!$A$1:$I$89,5,0)</f>
        <v>185.20320000000009</v>
      </c>
      <c r="CA179" s="13">
        <f t="shared" si="170"/>
        <v>46.477875402099386</v>
      </c>
      <c r="CB179" s="20">
        <f t="shared" si="171"/>
        <v>403.5112063253232</v>
      </c>
      <c r="CC179" s="59">
        <f t="shared" si="119"/>
        <v>696.84453965865646</v>
      </c>
      <c r="CD179" s="59">
        <f ca="1">AVERAGE(OFFSET($CC$3,0,0,'Données projet'!$E$12+1,1))-AVERAGE(OFFSET($H$3,0,0,'Données projet'!$E$12+1,1))</f>
        <v>216.10252108537389</v>
      </c>
      <c r="CE179" s="59">
        <f t="shared" si="148"/>
        <v>196.91968622092054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3.3153315789952784</v>
      </c>
      <c r="CL179" s="21">
        <f>EXP(-LN(2)/25)*CL178+(1-EXP(-LN(2)/25))/(LN(2)/25)*Calculateur!CG179*Calculateur!CI179*VLOOKUP('Données projet'!$B$12,Paramètres!$A$1:$I$89,3,0)*0.475*44/12</f>
        <v>1.7005806883604211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5.0159122673556995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4.0982905982905988</v>
      </c>
      <c r="CT179" s="12">
        <f>IF('Données projet'!$A$140&gt;35,CT178+CS179-DB178,IF(A179&lt;'Données projet'!$A$140,$CQ$205^A179,IF(A179='Données projet'!$A$140,'Données projet'!$B$140,CT178+CS179-DB178)))</f>
        <v>258.8632478632473</v>
      </c>
      <c r="CU179" s="17">
        <f>CT179*VLOOKUP('Données projet'!$B$13,Paramètres!$A$1:$I$89,3,0)*VLOOKUP('Données projet'!$B$13,Paramètres!$A$1:$I$89,5,0)</f>
        <v>234.21946666666616</v>
      </c>
      <c r="CV179" s="13">
        <f t="shared" si="173"/>
        <v>57.194061341064028</v>
      </c>
      <c r="CW179" s="20">
        <f t="shared" si="174"/>
        <v>507.54522794679673</v>
      </c>
      <c r="CX179" s="59">
        <f t="shared" si="122"/>
        <v>800.87856128013004</v>
      </c>
      <c r="CY179" s="59">
        <f ca="1">AVERAGE(OFFSET($CX$3,0,0,'Données projet'!$E$13+1,1))-AVERAGE(OFFSET($H$3,0,0,'Données projet'!$E$13+1,1))</f>
        <v>318.01858325056168</v>
      </c>
      <c r="CZ179" s="59">
        <f t="shared" si="150"/>
        <v>119.46953274700951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115.11751164897885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115.11751164897885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82.836000000000382</v>
      </c>
      <c r="D180" s="11">
        <f t="shared" si="140"/>
        <v>22.829188748646111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815.66110612990281</v>
      </c>
      <c r="H180" s="67">
        <f t="shared" si="110"/>
        <v>477.36687040389262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200.15574321350221</v>
      </c>
      <c r="T180" s="59">
        <f t="shared" si="142"/>
        <v>200.70728852570426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12.78537447641175</v>
      </c>
      <c r="AA180" s="21">
        <f>EXP(-LN(2)/25)*AA179+(1-EXP(-LN(2)/25))/(LN(2)/25)*Calculateur!V180*Calculateur!X180*VLOOKUP('Données projet'!$B$9,Paramètres!$A$1:$I$89,3,0)*0.475*44/12</f>
        <v>1.4097624324539109</v>
      </c>
      <c r="AB180" s="21">
        <f>EXP(-LN(2)/2)*AB179+(1-EXP(-LN(2)/2))/(LN(2)/2)*V180*Y180*VLOOKUP('Données projet'!$B$9,Paramètres!$A$1:$I$89,3,0)*0.475*44/12</f>
        <v>7.8413480269011371E-17</v>
      </c>
      <c r="AC180" s="22">
        <f t="shared" si="163"/>
        <v>14.195136908865662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45.407317338461951</v>
      </c>
      <c r="AO180" s="59">
        <f t="shared" si="144"/>
        <v>149.88701606165358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1.6014006042957663</v>
      </c>
      <c r="AV180" s="21">
        <f>EXP(-LN(2)/25)*AV179+(1-EXP(-LN(2)/25))/(LN(2)/25)*Calculateur!AQ180*Calculateur!AS180*VLOOKUP('Données projet'!$B$10,Paramètres!$A$1:$I$89,3,0)*0.475*44/12</f>
        <v>9.8547594576536265E-2</v>
      </c>
      <c r="AW180" s="21">
        <f>EXP(-LN(2)/2)*AW179+(1-EXP(-LN(2)/2))/(LN(2)/2)*AQ180*AT180*VLOOKUP('Données projet'!$B$10,Paramètres!$A$1:$I$89,3,0)*0.475*44/12</f>
        <v>2.5587569296668909E-23</v>
      </c>
      <c r="AX180" s="21">
        <f t="shared" si="166"/>
        <v>1.6999481988723024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1.1368683772161603E-12</v>
      </c>
      <c r="BE180" s="13">
        <f>BD180*VLOOKUP('Données projet'!$B$11,Paramètres!$A$1:$I$89,3,0)*VLOOKUP('Données projet'!$B$11,Paramètres!$A$1:$I$89,5,0)</f>
        <v>5.3205440053716299E-13</v>
      </c>
      <c r="BF180" s="13">
        <f t="shared" si="167"/>
        <v>6.579711042921201E-12</v>
      </c>
      <c r="BG180" s="20">
        <f t="shared" si="168"/>
        <v>1.2386324814023317E-11</v>
      </c>
      <c r="BH180" s="59">
        <f t="shared" si="116"/>
        <v>293.33333333334571</v>
      </c>
      <c r="BI180" s="59">
        <f ca="1">AVERAGE(OFFSET($BH$3,0,0,'Données projet'!$E$11+1,1))-AVERAGE(OFFSET($H$3,0,0,'Données projet'!$E$11+1,1))</f>
        <v>183.67580045784649</v>
      </c>
      <c r="BJ180" s="59">
        <f t="shared" si="146"/>
        <v>121.08269345608767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58.622523940124587</v>
      </c>
      <c r="BQ180" s="21">
        <f>EXP(-LN(2)/25)*BQ179+(1-EXP(-LN(2)/25))/(LN(2)/25)*Calculateur!BL180*Calculateur!BN180*VLOOKUP('Données projet'!$B$11,Paramètres!$A$1:$I$89,3,0)*0.475*44/12</f>
        <v>9.7242821282894756</v>
      </c>
      <c r="BR180" s="21">
        <f>EXP(-LN(2)/2)*BR179+(1-EXP(-LN(2)/2))/(LN(2)/2)*BL180*BO180*VLOOKUP('Données projet'!$B$11,Paramètres!$A$1:$I$89,3,0)*0.475*44/12</f>
        <v>2.2189811255252696E-6</v>
      </c>
      <c r="BS180" s="22">
        <f t="shared" si="169"/>
        <v>68.346808287395191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212.00000000000009</v>
      </c>
      <c r="BZ180" s="13">
        <f>BY180*VLOOKUP('Données projet'!$B$12,Paramètres!$A$1:$I$89,3,0)*VLOOKUP('Données projet'!$B$12,Paramètres!$A$1:$I$89,5,0)</f>
        <v>185.20320000000009</v>
      </c>
      <c r="CA180" s="13">
        <f t="shared" si="170"/>
        <v>46.477875402099386</v>
      </c>
      <c r="CB180" s="20">
        <f t="shared" si="171"/>
        <v>403.5112063253232</v>
      </c>
      <c r="CC180" s="59">
        <f t="shared" si="119"/>
        <v>696.84453965865646</v>
      </c>
      <c r="CD180" s="59">
        <f ca="1">AVERAGE(OFFSET($CC$3,0,0,'Données projet'!$E$12+1,1))-AVERAGE(OFFSET($H$3,0,0,'Données projet'!$E$12+1,1))</f>
        <v>216.10252108537389</v>
      </c>
      <c r="CE180" s="59">
        <f t="shared" si="148"/>
        <v>196.91968622092054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3.2503199488837731</v>
      </c>
      <c r="CL180" s="21">
        <f>EXP(-LN(2)/25)*CL179+(1-EXP(-LN(2)/25))/(LN(2)/25)*Calculateur!CG180*Calculateur!CI180*VLOOKUP('Données projet'!$B$12,Paramètres!$A$1:$I$89,3,0)*0.475*44/12</f>
        <v>1.6540782200075537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4.9043981688913263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>
        <f>VLOOKUP(A180,'Données projet'!$A$139:$I$159,2,0)</f>
        <v>262.96153846153845</v>
      </c>
      <c r="CR180" s="12">
        <f>VLOOKUP(A180,'Données projet'!$A$139:$I$159,9,0)</f>
        <v>4.0982905982905988</v>
      </c>
      <c r="CS180" s="12">
        <f t="array" ref="CS180">INDEX(CR:CR,MIN(IF(ISNUMBER(CR180:CR376),ROW(CR180:CR376),"")))</f>
        <v>4.0982905982905988</v>
      </c>
      <c r="CT180" s="12">
        <f>IF('Données projet'!$A$140&gt;35,CT179+CS180-DB179,IF(A180&lt;'Données projet'!$A$140,$CQ$205^A180,IF(A180='Données projet'!$A$140,'Données projet'!$B$140,CT179+CS180-DB179)))</f>
        <v>262.96153846153788</v>
      </c>
      <c r="CU180" s="17">
        <f>CT180*VLOOKUP('Données projet'!$B$13,Paramètres!$A$1:$I$89,3,0)*VLOOKUP('Données projet'!$B$13,Paramètres!$A$1:$I$89,5,0)</f>
        <v>237.92759999999947</v>
      </c>
      <c r="CV180" s="13">
        <f t="shared" si="173"/>
        <v>57.993418719759447</v>
      </c>
      <c r="CW180" s="20">
        <f t="shared" si="174"/>
        <v>515.39577427024676</v>
      </c>
      <c r="CX180" s="59">
        <f t="shared" si="122"/>
        <v>808.72910760358013</v>
      </c>
      <c r="CY180" s="59">
        <f ca="1">AVERAGE(OFFSET($CX$3,0,0,'Données projet'!$E$13+1,1))-AVERAGE(OFFSET($H$3,0,0,'Données projet'!$E$13+1,1))</f>
        <v>318.01858325056168</v>
      </c>
      <c r="CZ180" s="59">
        <f t="shared" si="150"/>
        <v>119.46953274700951</v>
      </c>
      <c r="DA180" s="15">
        <f>IF(ISNA(VLOOKUP(A180,'Données projet'!$A$139:$I$159,3,0)),0,VLOOKUP(A180,'Données projet'!$A$139:$I$159,3,0))</f>
        <v>16</v>
      </c>
      <c r="DB180" s="15">
        <f>IF(ISNA(VLOOKUP(A180,'Données projet'!$A$139:$I$159,4,0)),0,VLOOKUP(A180,'Données projet'!$A$139:$I$159,4,0))</f>
        <v>87</v>
      </c>
      <c r="DC180" s="16">
        <f>IF(ISNA(VLOOKUP(A180,'Données projet'!$A$139:$I$159,5,0)),0%,VLOOKUP(A180,'Données projet'!$A$139:$I$159,5,0)*VLOOKUP('Données projet'!$B$13,Paramètres!$A$1:$I$89,7,0))</f>
        <v>0.38700000000000001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146.53685784253753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146.53685784253753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83.304000000000386</v>
      </c>
      <c r="D181" s="11">
        <f t="shared" si="140"/>
        <v>22.943116727725723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820.15318175788582</v>
      </c>
      <c r="H181" s="67">
        <f t="shared" si="110"/>
        <v>478.38039496745625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200.15574321350221</v>
      </c>
      <c r="T181" s="59">
        <f t="shared" si="142"/>
        <v>200.70728852570426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12.534661081237727</v>
      </c>
      <c r="AA181" s="21">
        <f>EXP(-LN(2)/25)*AA180+(1-EXP(-LN(2)/25))/(LN(2)/25)*Calculateur!V181*Calculateur!X181*VLOOKUP('Données projet'!$B$9,Paramètres!$A$1:$I$89,3,0)*0.475*44/12</f>
        <v>1.3712124046022744</v>
      </c>
      <c r="AB181" s="21">
        <f>EXP(-LN(2)/2)*AB180+(1-EXP(-LN(2)/2))/(LN(2)/2)*V181*Y181*VLOOKUP('Données projet'!$B$9,Paramètres!$A$1:$I$89,3,0)*0.475*44/12</f>
        <v>5.544670363465549E-17</v>
      </c>
      <c r="AC181" s="22">
        <f t="shared" si="163"/>
        <v>13.905873485840003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45.407317338461951</v>
      </c>
      <c r="AO181" s="59">
        <f t="shared" si="144"/>
        <v>149.88701606165358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1.5699981152034481</v>
      </c>
      <c r="AV181" s="21">
        <f>EXP(-LN(2)/25)*AV180+(1-EXP(-LN(2)/25))/(LN(2)/25)*Calculateur!AQ181*Calculateur!AS181*VLOOKUP('Données projet'!$B$10,Paramètres!$A$1:$I$89,3,0)*0.475*44/12</f>
        <v>9.585280542044812E-2</v>
      </c>
      <c r="AW181" s="21">
        <f>EXP(-LN(2)/2)*AW180+(1-EXP(-LN(2)/2))/(LN(2)/2)*AQ181*AT181*VLOOKUP('Données projet'!$B$10,Paramètres!$A$1:$I$89,3,0)*0.475*44/12</f>
        <v>1.8093143763755284E-23</v>
      </c>
      <c r="AX181" s="21">
        <f t="shared" si="166"/>
        <v>1.6658509206238963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1.1368683772161603E-12</v>
      </c>
      <c r="BE181" s="13">
        <f>BD181*VLOOKUP('Données projet'!$B$11,Paramètres!$A$1:$I$89,3,0)*VLOOKUP('Données projet'!$B$11,Paramètres!$A$1:$I$89,5,0)</f>
        <v>5.3205440053716299E-13</v>
      </c>
      <c r="BF181" s="13">
        <f t="shared" si="167"/>
        <v>6.579711042921201E-12</v>
      </c>
      <c r="BG181" s="20">
        <f t="shared" si="168"/>
        <v>1.2386324814023317E-11</v>
      </c>
      <c r="BH181" s="59">
        <f t="shared" si="116"/>
        <v>293.33333333334571</v>
      </c>
      <c r="BI181" s="59">
        <f ca="1">AVERAGE(OFFSET($BH$3,0,0,'Données projet'!$E$11+1,1))-AVERAGE(OFFSET($H$3,0,0,'Données projet'!$E$11+1,1))</f>
        <v>183.67580045784649</v>
      </c>
      <c r="BJ181" s="59">
        <f t="shared" si="146"/>
        <v>121.08269345608767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57.472972001867717</v>
      </c>
      <c r="BQ181" s="21">
        <f>EXP(-LN(2)/25)*BQ180+(1-EXP(-LN(2)/25))/(LN(2)/25)*Calculateur!BL181*Calculateur!BN181*VLOOKUP('Données projet'!$B$11,Paramètres!$A$1:$I$89,3,0)*0.475*44/12</f>
        <v>9.4583711221136273</v>
      </c>
      <c r="BR181" s="21">
        <f>EXP(-LN(2)/2)*BR180+(1-EXP(-LN(2)/2))/(LN(2)/2)*BL181*BO181*VLOOKUP('Données projet'!$B$11,Paramètres!$A$1:$I$89,3,0)*0.475*44/12</f>
        <v>1.5690566011838758E-6</v>
      </c>
      <c r="BS181" s="22">
        <f t="shared" si="169"/>
        <v>66.931344693037957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212.00000000000009</v>
      </c>
      <c r="BZ181" s="13">
        <f>BY181*VLOOKUP('Données projet'!$B$12,Paramètres!$A$1:$I$89,3,0)*VLOOKUP('Données projet'!$B$12,Paramètres!$A$1:$I$89,5,0)</f>
        <v>185.20320000000009</v>
      </c>
      <c r="CA181" s="13">
        <f t="shared" si="170"/>
        <v>46.477875402099386</v>
      </c>
      <c r="CB181" s="20">
        <f t="shared" si="171"/>
        <v>403.5112063253232</v>
      </c>
      <c r="CC181" s="59">
        <f t="shared" si="119"/>
        <v>696.84453965865646</v>
      </c>
      <c r="CD181" s="59">
        <f ca="1">AVERAGE(OFFSET($CC$3,0,0,'Données projet'!$E$12+1,1))-AVERAGE(OFFSET($H$3,0,0,'Données projet'!$E$12+1,1))</f>
        <v>216.10252108537389</v>
      </c>
      <c r="CE181" s="59">
        <f t="shared" si="148"/>
        <v>196.91968622092054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3.1865831571855754</v>
      </c>
      <c r="CL181" s="21">
        <f>EXP(-LN(2)/25)*CL180+(1-EXP(-LN(2)/25))/(LN(2)/25)*Calculateur!CG181*Calculateur!CI181*VLOOKUP('Données projet'!$B$12,Paramètres!$A$1:$I$89,3,0)*0.475*44/12</f>
        <v>1.608847364097254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4.7954305212828299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2.5149572649572653</v>
      </c>
      <c r="CT181" s="12">
        <f>IF('Données projet'!$A$140&gt;35,CT180+CS181-DB180,IF(A181&lt;'Données projet'!$A$140,$CQ$205^A181,IF(A181='Données projet'!$A$140,'Données projet'!$B$140,CT180+CS181-DB180)))</f>
        <v>178.47649572649516</v>
      </c>
      <c r="CU181" s="17">
        <f>CT181*VLOOKUP('Données projet'!$B$13,Paramètres!$A$1:$I$89,3,0)*VLOOKUP('Données projet'!$B$13,Paramètres!$A$1:$I$89,5,0)</f>
        <v>161.48553333333282</v>
      </c>
      <c r="CV181" s="13">
        <f t="shared" si="173"/>
        <v>41.17740116187629</v>
      </c>
      <c r="CW181" s="20">
        <f t="shared" si="174"/>
        <v>352.97127757915587</v>
      </c>
      <c r="CX181" s="59">
        <f t="shared" si="122"/>
        <v>646.30461091248912</v>
      </c>
      <c r="CY181" s="59">
        <f ca="1">AVERAGE(OFFSET($CX$3,0,0,'Données projet'!$E$13+1,1))-AVERAGE(OFFSET($H$3,0,0,'Données projet'!$E$13+1,1))</f>
        <v>318.01858325056168</v>
      </c>
      <c r="CZ181" s="59">
        <f t="shared" si="150"/>
        <v>119.46953274700951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143.66335943890326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143.66335943890326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83.772000000000389</v>
      </c>
      <c r="D182" s="11">
        <f t="shared" si="140"/>
        <v>23.056970229527188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824.64468247354625</v>
      </c>
      <c r="H182" s="67">
        <f t="shared" si="110"/>
        <v>479.39378981642722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200.15574321350221</v>
      </c>
      <c r="T182" s="59">
        <f t="shared" si="142"/>
        <v>200.70728852570426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12.288864022822995</v>
      </c>
      <c r="AA182" s="21">
        <f>EXP(-LN(2)/25)*AA181+(1-EXP(-LN(2)/25))/(LN(2)/25)*Calculateur!V182*Calculateur!X182*VLOOKUP('Données projet'!$B$9,Paramètres!$A$1:$I$89,3,0)*0.475*44/12</f>
        <v>1.3337165292894988</v>
      </c>
      <c r="AB182" s="21">
        <f>EXP(-LN(2)/2)*AB181+(1-EXP(-LN(2)/2))/(LN(2)/2)*V182*Y182*VLOOKUP('Données projet'!$B$9,Paramètres!$A$1:$I$89,3,0)*0.475*44/12</f>
        <v>3.9206740134505692E-17</v>
      </c>
      <c r="AC182" s="22">
        <f t="shared" si="163"/>
        <v>13.622580552112494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45.407317338461951</v>
      </c>
      <c r="AO182" s="59">
        <f t="shared" si="144"/>
        <v>149.88701606165358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1.5392114097686032</v>
      </c>
      <c r="AV182" s="21">
        <f>EXP(-LN(2)/25)*AV181+(1-EXP(-LN(2)/25))/(LN(2)/25)*Calculateur!AQ182*Calculateur!AS182*VLOOKUP('Données projet'!$B$10,Paramètres!$A$1:$I$89,3,0)*0.475*44/12</f>
        <v>9.3231705415545998E-2</v>
      </c>
      <c r="AW182" s="21">
        <f>EXP(-LN(2)/2)*AW181+(1-EXP(-LN(2)/2))/(LN(2)/2)*AQ182*AT182*VLOOKUP('Données projet'!$B$10,Paramètres!$A$1:$I$89,3,0)*0.475*44/12</f>
        <v>1.2793784648334454E-23</v>
      </c>
      <c r="AX182" s="21">
        <f t="shared" si="166"/>
        <v>1.6324431151841492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1.1368683772161603E-12</v>
      </c>
      <c r="BE182" s="13">
        <f>BD182*VLOOKUP('Données projet'!$B$11,Paramètres!$A$1:$I$89,3,0)*VLOOKUP('Données projet'!$B$11,Paramètres!$A$1:$I$89,5,0)</f>
        <v>5.3205440053716299E-13</v>
      </c>
      <c r="BF182" s="13">
        <f t="shared" si="167"/>
        <v>6.579711042921201E-12</v>
      </c>
      <c r="BG182" s="20">
        <f t="shared" si="168"/>
        <v>1.2386324814023317E-11</v>
      </c>
      <c r="BH182" s="59">
        <f t="shared" si="116"/>
        <v>293.33333333334571</v>
      </c>
      <c r="BI182" s="59">
        <f ca="1">AVERAGE(OFFSET($BH$3,0,0,'Données projet'!$E$11+1,1))-AVERAGE(OFFSET($H$3,0,0,'Données projet'!$E$11+1,1))</f>
        <v>183.67580045784649</v>
      </c>
      <c r="BJ182" s="59">
        <f t="shared" si="146"/>
        <v>121.08269345608767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56.345962075962611</v>
      </c>
      <c r="BQ182" s="21">
        <f>EXP(-LN(2)/25)*BQ181+(1-EXP(-LN(2)/25))/(LN(2)/25)*Calculateur!BL182*Calculateur!BN182*VLOOKUP('Données projet'!$B$11,Paramètres!$A$1:$I$89,3,0)*0.475*44/12</f>
        <v>9.1997314663853107</v>
      </c>
      <c r="BR182" s="21">
        <f>EXP(-LN(2)/2)*BR181+(1-EXP(-LN(2)/2))/(LN(2)/2)*BL182*BO182*VLOOKUP('Données projet'!$B$11,Paramètres!$A$1:$I$89,3,0)*0.475*44/12</f>
        <v>1.1094905627626348E-6</v>
      </c>
      <c r="BS182" s="22">
        <f t="shared" si="169"/>
        <v>65.545694651838488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212.00000000000009</v>
      </c>
      <c r="BZ182" s="13">
        <f>BY182*VLOOKUP('Données projet'!$B$12,Paramètres!$A$1:$I$89,3,0)*VLOOKUP('Données projet'!$B$12,Paramètres!$A$1:$I$89,5,0)</f>
        <v>185.20320000000009</v>
      </c>
      <c r="CA182" s="13">
        <f t="shared" si="170"/>
        <v>46.477875402099386</v>
      </c>
      <c r="CB182" s="20">
        <f t="shared" si="171"/>
        <v>403.5112063253232</v>
      </c>
      <c r="CC182" s="59">
        <f t="shared" si="119"/>
        <v>696.84453965865646</v>
      </c>
      <c r="CD182" s="59">
        <f ca="1">AVERAGE(OFFSET($CC$3,0,0,'Données projet'!$E$12+1,1))-AVERAGE(OFFSET($H$3,0,0,'Données projet'!$E$12+1,1))</f>
        <v>216.10252108537389</v>
      </c>
      <c r="CE182" s="59">
        <f t="shared" si="148"/>
        <v>196.91968622092054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3.1240962050969752</v>
      </c>
      <c r="CL182" s="21">
        <f>EXP(-LN(2)/25)*CL181+(1-EXP(-LN(2)/25))/(LN(2)/25)*Calculateur!CG182*Calculateur!CI182*VLOOKUP('Données projet'!$B$12,Paramètres!$A$1:$I$89,3,0)*0.475*44/12</f>
        <v>1.5648533483204088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4.688949553417384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2.5149572649572653</v>
      </c>
      <c r="CT182" s="12">
        <f>IF('Données projet'!$A$140&gt;35,CT181+CS182-DB181,IF(A182&lt;'Données projet'!$A$140,$CQ$205^A182,IF(A182='Données projet'!$A$140,'Données projet'!$B$140,CT181+CS182-DB181)))</f>
        <v>180.99145299145243</v>
      </c>
      <c r="CU182" s="17">
        <f>CT182*VLOOKUP('Données projet'!$B$13,Paramètres!$A$1:$I$89,3,0)*VLOOKUP('Données projet'!$B$13,Paramètres!$A$1:$I$89,5,0)</f>
        <v>163.76106666666615</v>
      </c>
      <c r="CV182" s="13">
        <f t="shared" si="173"/>
        <v>41.689683944410106</v>
      </c>
      <c r="CW182" s="20">
        <f t="shared" si="174"/>
        <v>357.82672398095787</v>
      </c>
      <c r="CX182" s="59">
        <f t="shared" si="122"/>
        <v>651.16005731429118</v>
      </c>
      <c r="CY182" s="59">
        <f ca="1">AVERAGE(OFFSET($CX$3,0,0,'Données projet'!$E$13+1,1))-AVERAGE(OFFSET($H$3,0,0,'Données projet'!$E$13+1,1))</f>
        <v>318.01858325056168</v>
      </c>
      <c r="CZ182" s="59">
        <f t="shared" si="150"/>
        <v>119.46953274700951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140.84620858630328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140.84620858630328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84.240000000000393</v>
      </c>
      <c r="D183" s="11">
        <f t="shared" si="140"/>
        <v>23.170749718409571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829.13561186141033</v>
      </c>
      <c r="H183" s="67">
        <f t="shared" si="110"/>
        <v>480.40705575956395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200.15574321350221</v>
      </c>
      <c r="T183" s="59">
        <f t="shared" si="142"/>
        <v>200.70728852570426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12.047886894802375</v>
      </c>
      <c r="AA183" s="21">
        <f>EXP(-LN(2)/25)*AA182+(1-EXP(-LN(2)/25))/(LN(2)/25)*Calculateur!V183*Calculateur!X183*VLOOKUP('Données projet'!$B$9,Paramètres!$A$1:$I$89,3,0)*0.475*44/12</f>
        <v>1.2972459806589733</v>
      </c>
      <c r="AB183" s="21">
        <f>EXP(-LN(2)/2)*AB182+(1-EXP(-LN(2)/2))/(LN(2)/2)*V183*Y183*VLOOKUP('Données projet'!$B$9,Paramètres!$A$1:$I$89,3,0)*0.475*44/12</f>
        <v>2.7723351817327748E-17</v>
      </c>
      <c r="AC183" s="22">
        <f t="shared" si="163"/>
        <v>13.345132875461347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45.407317338461951</v>
      </c>
      <c r="AO183" s="59">
        <f t="shared" si="144"/>
        <v>149.88701606165358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1.5090284128492994</v>
      </c>
      <c r="AV183" s="21">
        <f>EXP(-LN(2)/25)*AV182+(1-EXP(-LN(2)/25))/(LN(2)/25)*Calculateur!AQ183*Calculateur!AS183*VLOOKUP('Données projet'!$B$10,Paramètres!$A$1:$I$89,3,0)*0.475*44/12</f>
        <v>9.0682279528115584E-2</v>
      </c>
      <c r="AW183" s="21">
        <f>EXP(-LN(2)/2)*AW182+(1-EXP(-LN(2)/2))/(LN(2)/2)*AQ183*AT183*VLOOKUP('Données projet'!$B$10,Paramètres!$A$1:$I$89,3,0)*0.475*44/12</f>
        <v>9.0465718818776419E-24</v>
      </c>
      <c r="AX183" s="21">
        <f t="shared" si="166"/>
        <v>1.5997106923774149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1.1368683772161603E-12</v>
      </c>
      <c r="BE183" s="13">
        <f>BD183*VLOOKUP('Données projet'!$B$11,Paramètres!$A$1:$I$89,3,0)*VLOOKUP('Données projet'!$B$11,Paramètres!$A$1:$I$89,5,0)</f>
        <v>5.3205440053716299E-13</v>
      </c>
      <c r="BF183" s="13">
        <f t="shared" si="167"/>
        <v>6.579711042921201E-12</v>
      </c>
      <c r="BG183" s="20">
        <f t="shared" si="168"/>
        <v>1.2386324814023317E-11</v>
      </c>
      <c r="BH183" s="59">
        <f t="shared" si="116"/>
        <v>293.33333333334571</v>
      </c>
      <c r="BI183" s="59">
        <f ca="1">AVERAGE(OFFSET($BH$3,0,0,'Données projet'!$E$11+1,1))-AVERAGE(OFFSET($H$3,0,0,'Données projet'!$E$11+1,1))</f>
        <v>183.67580045784649</v>
      </c>
      <c r="BJ183" s="59">
        <f t="shared" si="146"/>
        <v>121.08269345608767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55.241052127296328</v>
      </c>
      <c r="BQ183" s="21">
        <f>EXP(-LN(2)/25)*BQ182+(1-EXP(-LN(2)/25))/(LN(2)/25)*Calculateur!BL183*Calculateur!BN183*VLOOKUP('Données projet'!$B$11,Paramètres!$A$1:$I$89,3,0)*0.475*44/12</f>
        <v>8.9481643256441536</v>
      </c>
      <c r="BR183" s="21">
        <f>EXP(-LN(2)/2)*BR182+(1-EXP(-LN(2)/2))/(LN(2)/2)*BL183*BO183*VLOOKUP('Données projet'!$B$11,Paramètres!$A$1:$I$89,3,0)*0.475*44/12</f>
        <v>7.8452830059193788E-7</v>
      </c>
      <c r="BS183" s="22">
        <f t="shared" si="169"/>
        <v>64.189217237468782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212.00000000000009</v>
      </c>
      <c r="BZ183" s="13">
        <f>BY183*VLOOKUP('Données projet'!$B$12,Paramètres!$A$1:$I$89,3,0)*VLOOKUP('Données projet'!$B$12,Paramètres!$A$1:$I$89,5,0)</f>
        <v>185.20320000000009</v>
      </c>
      <c r="CA183" s="13">
        <f t="shared" si="170"/>
        <v>46.477875402099386</v>
      </c>
      <c r="CB183" s="20">
        <f t="shared" si="171"/>
        <v>403.5112063253232</v>
      </c>
      <c r="CC183" s="59">
        <f t="shared" si="119"/>
        <v>696.84453965865646</v>
      </c>
      <c r="CD183" s="59">
        <f ca="1">AVERAGE(OFFSET($CC$3,0,0,'Données projet'!$E$12+1,1))-AVERAGE(OFFSET($H$3,0,0,'Données projet'!$E$12+1,1))</f>
        <v>216.10252108537389</v>
      </c>
      <c r="CE183" s="59">
        <f t="shared" si="148"/>
        <v>196.91968622092054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3.0628345840255551</v>
      </c>
      <c r="CL183" s="21">
        <f>EXP(-LN(2)/25)*CL182+(1-EXP(-LN(2)/25))/(LN(2)/25)*Calculateur!CG183*Calculateur!CI183*VLOOKUP('Données projet'!$B$12,Paramètres!$A$1:$I$89,3,0)*0.475*44/12</f>
        <v>1.5220623512185261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4.5848969352440809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183.50641025641025</v>
      </c>
      <c r="CR183" s="12">
        <f>VLOOKUP(A183,'Données projet'!$A$139:$I$159,9,0)</f>
        <v>2.5149572649572653</v>
      </c>
      <c r="CS183" s="12">
        <f t="array" ref="CS183">INDEX(CR:CR,MIN(IF(ISNUMBER(CR183:CR379),ROW(CR183:CR379),"")))</f>
        <v>2.5149572649572653</v>
      </c>
      <c r="CT183" s="12">
        <f>IF('Données projet'!$A$140&gt;35,CT182+CS183-DB182,IF(A183&lt;'Données projet'!$A$140,$CQ$205^A183,IF(A183='Données projet'!$A$140,'Données projet'!$B$140,CT182+CS183-DB182)))</f>
        <v>183.50641025640971</v>
      </c>
      <c r="CU183" s="17">
        <f>CT183*VLOOKUP('Données projet'!$B$13,Paramètres!$A$1:$I$89,3,0)*VLOOKUP('Données projet'!$B$13,Paramètres!$A$1:$I$89,5,0)</f>
        <v>166.03659999999951</v>
      </c>
      <c r="CV183" s="13">
        <f t="shared" si="173"/>
        <v>42.201138786899428</v>
      </c>
      <c r="CW183" s="20">
        <f t="shared" si="174"/>
        <v>362.68072838718234</v>
      </c>
      <c r="CX183" s="59">
        <f t="shared" si="122"/>
        <v>656.01406172051566</v>
      </c>
      <c r="CY183" s="59">
        <f ca="1">AVERAGE(OFFSET($CX$3,0,0,'Données projet'!$E$13+1,1))-AVERAGE(OFFSET($H$3,0,0,'Données projet'!$E$13+1,1))</f>
        <v>318.01858325056168</v>
      </c>
      <c r="CZ183" s="59">
        <f t="shared" si="150"/>
        <v>119.46953274700951</v>
      </c>
      <c r="DA183" s="15">
        <f>IF(ISNA(VLOOKUP(A183,'Données projet'!$A$139:$I$159,3,0)),0,VLOOKUP(A183,'Données projet'!$A$139:$I$159,3,0))</f>
        <v>17</v>
      </c>
      <c r="DB183" s="15">
        <f>IF(ISNA(VLOOKUP(A183,'Données projet'!$A$139:$I$159,4,0)),0,VLOOKUP(A183,'Données projet'!$A$139:$I$159,4,0))</f>
        <v>58.794871794871796</v>
      </c>
      <c r="DC183" s="16">
        <f>IF(ISNA(VLOOKUP(A183,'Données projet'!$A$139:$I$159,5,0)),0%,VLOOKUP(A183,'Données projet'!$A$139:$I$159,5,0)*VLOOKUP('Données projet'!$B$13,Paramètres!$A$1:$I$89,7,0))</f>
        <v>0.38700000000000001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160.8431399447181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160.8431399447181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84.708000000000396</v>
      </c>
      <c r="D184" s="11">
        <f t="shared" si="140"/>
        <v>23.284455653273778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833.62597346387076</v>
      </c>
      <c r="H184" s="67">
        <f t="shared" si="110"/>
        <v>481.42019359611913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200.15574321350221</v>
      </c>
      <c r="T184" s="59">
        <f t="shared" si="142"/>
        <v>200.70728852570426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11.811635181280703</v>
      </c>
      <c r="AA184" s="21">
        <f>EXP(-LN(2)/25)*AA183+(1-EXP(-LN(2)/25))/(LN(2)/25)*Calculateur!V184*Calculateur!X184*VLOOKUP('Données projet'!$B$9,Paramètres!$A$1:$I$89,3,0)*0.475*44/12</f>
        <v>1.2617727210986525</v>
      </c>
      <c r="AB184" s="21">
        <f>EXP(-LN(2)/2)*AB183+(1-EXP(-LN(2)/2))/(LN(2)/2)*V184*Y184*VLOOKUP('Données projet'!$B$9,Paramètres!$A$1:$I$89,3,0)*0.475*44/12</f>
        <v>1.9603370067252849E-17</v>
      </c>
      <c r="AC184" s="22">
        <f t="shared" si="163"/>
        <v>13.073407902379355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45.407317338461951</v>
      </c>
      <c r="AO184" s="59">
        <f t="shared" si="144"/>
        <v>149.88701606165358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1.4794372860897729</v>
      </c>
      <c r="AV184" s="21">
        <f>EXP(-LN(2)/25)*AV183+(1-EXP(-LN(2)/25))/(LN(2)/25)*Calculateur!AQ184*Calculateur!AS184*VLOOKUP('Données projet'!$B$10,Paramètres!$A$1:$I$89,3,0)*0.475*44/12</f>
        <v>8.8202567825645437E-2</v>
      </c>
      <c r="AW184" s="21">
        <f>EXP(-LN(2)/2)*AW183+(1-EXP(-LN(2)/2))/(LN(2)/2)*AQ184*AT184*VLOOKUP('Données projet'!$B$10,Paramètres!$A$1:$I$89,3,0)*0.475*44/12</f>
        <v>6.3968923241672272E-24</v>
      </c>
      <c r="AX184" s="21">
        <f t="shared" si="166"/>
        <v>1.5676398539154184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1.1368683772161603E-12</v>
      </c>
      <c r="BE184" s="13">
        <f>BD184*VLOOKUP('Données projet'!$B$11,Paramètres!$A$1:$I$89,3,0)*VLOOKUP('Données projet'!$B$11,Paramètres!$A$1:$I$89,5,0)</f>
        <v>5.3205440053716299E-13</v>
      </c>
      <c r="BF184" s="13">
        <f t="shared" si="167"/>
        <v>6.579711042921201E-12</v>
      </c>
      <c r="BG184" s="20">
        <f t="shared" si="168"/>
        <v>1.2386324814023317E-11</v>
      </c>
      <c r="BH184" s="59">
        <f t="shared" si="116"/>
        <v>293.33333333334571</v>
      </c>
      <c r="BI184" s="59">
        <f ca="1">AVERAGE(OFFSET($BH$3,0,0,'Données projet'!$E$11+1,1))-AVERAGE(OFFSET($H$3,0,0,'Données projet'!$E$11+1,1))</f>
        <v>183.67580045784649</v>
      </c>
      <c r="BJ184" s="59">
        <f t="shared" si="146"/>
        <v>121.08269345608767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54.157808788794867</v>
      </c>
      <c r="BQ184" s="21">
        <f>EXP(-LN(2)/25)*BQ183+(1-EXP(-LN(2)/25))/(LN(2)/25)*Calculateur!BL184*Calculateur!BN184*VLOOKUP('Données projet'!$B$11,Paramètres!$A$1:$I$89,3,0)*0.475*44/12</f>
        <v>8.703476301595904</v>
      </c>
      <c r="BR184" s="21">
        <f>EXP(-LN(2)/2)*BR183+(1-EXP(-LN(2)/2))/(LN(2)/2)*BL184*BO184*VLOOKUP('Données projet'!$B$11,Paramètres!$A$1:$I$89,3,0)*0.475*44/12</f>
        <v>5.5474528138131739E-7</v>
      </c>
      <c r="BS184" s="22">
        <f t="shared" si="169"/>
        <v>62.861285645136057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212.00000000000009</v>
      </c>
      <c r="BZ184" s="13">
        <f>BY184*VLOOKUP('Données projet'!$B$12,Paramètres!$A$1:$I$89,3,0)*VLOOKUP('Données projet'!$B$12,Paramètres!$A$1:$I$89,5,0)</f>
        <v>185.20320000000009</v>
      </c>
      <c r="CA184" s="13">
        <f t="shared" si="170"/>
        <v>46.477875402099386</v>
      </c>
      <c r="CB184" s="20">
        <f t="shared" si="171"/>
        <v>403.5112063253232</v>
      </c>
      <c r="CC184" s="59">
        <f t="shared" si="119"/>
        <v>696.84453965865646</v>
      </c>
      <c r="CD184" s="59">
        <f ca="1">AVERAGE(OFFSET($CC$3,0,0,'Données projet'!$E$12+1,1))-AVERAGE(OFFSET($H$3,0,0,'Données projet'!$E$12+1,1))</f>
        <v>216.10252108537389</v>
      </c>
      <c r="CE184" s="59">
        <f t="shared" si="148"/>
        <v>196.91968622092054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3.0027742659774463</v>
      </c>
      <c r="CL184" s="21">
        <f>EXP(-LN(2)/25)*CL183+(1-EXP(-LN(2)/25))/(LN(2)/25)*Calculateur!CG184*Calculateur!CI184*VLOOKUP('Données projet'!$B$12,Paramètres!$A$1:$I$89,3,0)*0.475*44/12</f>
        <v>1.4804414761826752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4.4832157421601213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1.5384615384615377</v>
      </c>
      <c r="CT184" s="12">
        <f>IF('Données projet'!$A$140&gt;35,CT183+CS184-DB183,IF(A184&lt;'Données projet'!$A$140,$CQ$205^A184,IF(A184='Données projet'!$A$140,'Données projet'!$B$140,CT183+CS184-DB183)))</f>
        <v>126.24999999999946</v>
      </c>
      <c r="CU184" s="17">
        <f>CT184*VLOOKUP('Données projet'!$B$13,Paramètres!$A$1:$I$89,3,0)*VLOOKUP('Données projet'!$B$13,Paramètres!$A$1:$I$89,5,0)</f>
        <v>114.23099999999951</v>
      </c>
      <c r="CV184" s="13">
        <f t="shared" si="173"/>
        <v>30.325640932877807</v>
      </c>
      <c r="CW184" s="20">
        <f t="shared" si="174"/>
        <v>251.76948295809464</v>
      </c>
      <c r="CX184" s="59">
        <f t="shared" si="122"/>
        <v>545.10281629142798</v>
      </c>
      <c r="CY184" s="59">
        <f ca="1">AVERAGE(OFFSET($CX$3,0,0,'Données projet'!$E$13+1,1))-AVERAGE(OFFSET($H$3,0,0,'Données projet'!$E$13+1,1))</f>
        <v>318.01858325056168</v>
      </c>
      <c r="CZ184" s="59">
        <f t="shared" si="150"/>
        <v>119.46953274700951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157.68910407503051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157.68910407503051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85.1760000000004</v>
      </c>
      <c r="D185" s="11">
        <f t="shared" si="140"/>
        <v>23.398088487656537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838.11577078191328</v>
      </c>
      <c r="H185" s="67">
        <f t="shared" si="110"/>
        <v>482.43320411600246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200.15574321350221</v>
      </c>
      <c r="T185" s="59">
        <f t="shared" si="142"/>
        <v>200.70728852570426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11.580016219761875</v>
      </c>
      <c r="AA185" s="21">
        <f>EXP(-LN(2)/25)*AA184+(1-EXP(-LN(2)/25))/(LN(2)/25)*Calculateur!V185*Calculateur!X185*VLOOKUP('Données projet'!$B$9,Paramètres!$A$1:$I$89,3,0)*0.475*44/12</f>
        <v>1.2272694796864663</v>
      </c>
      <c r="AB185" s="21">
        <f>EXP(-LN(2)/2)*AB184+(1-EXP(-LN(2)/2))/(LN(2)/2)*V185*Y185*VLOOKUP('Données projet'!$B$9,Paramètres!$A$1:$I$89,3,0)*0.475*44/12</f>
        <v>1.3861675908663877E-17</v>
      </c>
      <c r="AC185" s="22">
        <f t="shared" si="163"/>
        <v>12.807285699448341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45.407317338461951</v>
      </c>
      <c r="AO185" s="59">
        <f t="shared" si="144"/>
        <v>149.88701606165358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1.4504264232771955</v>
      </c>
      <c r="AV185" s="21">
        <f>EXP(-LN(2)/25)*AV184+(1-EXP(-LN(2)/25))/(LN(2)/25)*Calculateur!AQ185*Calculateur!AS185*VLOOKUP('Données projet'!$B$10,Paramètres!$A$1:$I$89,3,0)*0.475*44/12</f>
        <v>8.5790663970081713E-2</v>
      </c>
      <c r="AW185" s="21">
        <f>EXP(-LN(2)/2)*AW184+(1-EXP(-LN(2)/2))/(LN(2)/2)*AQ185*AT185*VLOOKUP('Données projet'!$B$10,Paramètres!$A$1:$I$89,3,0)*0.475*44/12</f>
        <v>4.5232859409388209E-24</v>
      </c>
      <c r="AX185" s="21">
        <f t="shared" si="166"/>
        <v>1.5362170872472771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1.1368683772161603E-12</v>
      </c>
      <c r="BE185" s="13">
        <f>BD185*VLOOKUP('Données projet'!$B$11,Paramètres!$A$1:$I$89,3,0)*VLOOKUP('Données projet'!$B$11,Paramètres!$A$1:$I$89,5,0)</f>
        <v>5.3205440053716299E-13</v>
      </c>
      <c r="BF185" s="13">
        <f t="shared" si="167"/>
        <v>6.579711042921201E-12</v>
      </c>
      <c r="BG185" s="20">
        <f t="shared" si="168"/>
        <v>1.2386324814023317E-11</v>
      </c>
      <c r="BH185" s="59">
        <f t="shared" si="116"/>
        <v>293.33333333334571</v>
      </c>
      <c r="BI185" s="59">
        <f ca="1">AVERAGE(OFFSET($BH$3,0,0,'Données projet'!$E$11+1,1))-AVERAGE(OFFSET($H$3,0,0,'Données projet'!$E$11+1,1))</f>
        <v>183.67580045784649</v>
      </c>
      <c r="BJ185" s="59">
        <f t="shared" si="146"/>
        <v>121.08269345608767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53.095807191448223</v>
      </c>
      <c r="BQ185" s="21">
        <f>EXP(-LN(2)/25)*BQ184+(1-EXP(-LN(2)/25))/(LN(2)/25)*Calculateur!BL185*Calculateur!BN185*VLOOKUP('Données projet'!$B$11,Paramètres!$A$1:$I$89,3,0)*0.475*44/12</f>
        <v>8.4654792844328366</v>
      </c>
      <c r="BR185" s="21">
        <f>EXP(-LN(2)/2)*BR184+(1-EXP(-LN(2)/2))/(LN(2)/2)*BL185*BO185*VLOOKUP('Données projet'!$B$11,Paramètres!$A$1:$I$89,3,0)*0.475*44/12</f>
        <v>3.9226415029596894E-7</v>
      </c>
      <c r="BS185" s="22">
        <f t="shared" si="169"/>
        <v>61.56128686814521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212.00000000000009</v>
      </c>
      <c r="BZ185" s="13">
        <f>BY185*VLOOKUP('Données projet'!$B$12,Paramètres!$A$1:$I$89,3,0)*VLOOKUP('Données projet'!$B$12,Paramètres!$A$1:$I$89,5,0)</f>
        <v>185.20320000000009</v>
      </c>
      <c r="CA185" s="13">
        <f t="shared" si="170"/>
        <v>46.477875402099386</v>
      </c>
      <c r="CB185" s="20">
        <f t="shared" si="171"/>
        <v>403.5112063253232</v>
      </c>
      <c r="CC185" s="59">
        <f t="shared" si="119"/>
        <v>696.84453965865646</v>
      </c>
      <c r="CD185" s="59">
        <f ca="1">AVERAGE(OFFSET($CC$3,0,0,'Données projet'!$E$12+1,1))-AVERAGE(OFFSET($H$3,0,0,'Données projet'!$E$12+1,1))</f>
        <v>216.10252108537389</v>
      </c>
      <c r="CE185" s="59">
        <f t="shared" si="148"/>
        <v>196.91968622092054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2.9438916941330842</v>
      </c>
      <c r="CL185" s="21">
        <f>EXP(-LN(2)/25)*CL184+(1-EXP(-LN(2)/25))/(LN(2)/25)*Calculateur!CG185*Calculateur!CI185*VLOOKUP('Données projet'!$B$12,Paramètres!$A$1:$I$89,3,0)*0.475*44/12</f>
        <v>1.4399587261634264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4.3838504202965103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1.5384615384615377</v>
      </c>
      <c r="CT185" s="12">
        <f>IF('Données projet'!$A$140&gt;35,CT184+CS185-DB184,IF(A185&lt;'Données projet'!$A$140,$CQ$205^A185,IF(A185='Données projet'!$A$140,'Données projet'!$B$140,CT184+CS185-DB184)))</f>
        <v>127.78846153846099</v>
      </c>
      <c r="CU185" s="17">
        <f>CT185*VLOOKUP('Données projet'!$B$13,Paramètres!$A$1:$I$89,3,0)*VLOOKUP('Données projet'!$B$13,Paramètres!$A$1:$I$89,5,0)</f>
        <v>115.62299999999951</v>
      </c>
      <c r="CV185" s="13">
        <f t="shared" si="173"/>
        <v>30.651938791248938</v>
      </c>
      <c r="CW185" s="20">
        <f t="shared" si="174"/>
        <v>254.76218506142436</v>
      </c>
      <c r="CX185" s="59">
        <f t="shared" si="122"/>
        <v>548.09551839475762</v>
      </c>
      <c r="CY185" s="59">
        <f ca="1">AVERAGE(OFFSET($CX$3,0,0,'Données projet'!$E$13+1,1))-AVERAGE(OFFSET($H$3,0,0,'Données projet'!$E$13+1,1))</f>
        <v>318.01858325056168</v>
      </c>
      <c r="CZ185" s="59">
        <f t="shared" si="150"/>
        <v>119.46953274700951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154.59691692497557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154.59691692497557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85.644000000000403</v>
      </c>
      <c r="D186" s="11">
        <f t="shared" si="140"/>
        <v>23.511648669822165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842.60500727582337</v>
      </c>
      <c r="H186" s="67">
        <f t="shared" si="110"/>
        <v>483.44608809994094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200.15574321350221</v>
      </c>
      <c r="T186" s="59">
        <f t="shared" si="142"/>
        <v>200.70728852570426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11.352939164804814</v>
      </c>
      <c r="AA186" s="21">
        <f>EXP(-LN(2)/25)*AA185+(1-EXP(-LN(2)/25))/(LN(2)/25)*Calculateur!V186*Calculateur!X186*VLOOKUP('Données projet'!$B$9,Paramètres!$A$1:$I$89,3,0)*0.475*44/12</f>
        <v>1.1937097312251428</v>
      </c>
      <c r="AB186" s="21">
        <f>EXP(-LN(2)/2)*AB185+(1-EXP(-LN(2)/2))/(LN(2)/2)*V186*Y186*VLOOKUP('Données projet'!$B$9,Paramètres!$A$1:$I$89,3,0)*0.475*44/12</f>
        <v>9.801685033626426E-18</v>
      </c>
      <c r="AC186" s="22">
        <f t="shared" si="163"/>
        <v>12.546648896029957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45.407317338461951</v>
      </c>
      <c r="AO186" s="59">
        <f t="shared" si="144"/>
        <v>149.88701606165358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1.4219844457894937</v>
      </c>
      <c r="AV186" s="21">
        <f>EXP(-LN(2)/25)*AV185+(1-EXP(-LN(2)/25))/(LN(2)/25)*Calculateur!AQ186*Calculateur!AS186*VLOOKUP('Données projet'!$B$10,Paramètres!$A$1:$I$89,3,0)*0.475*44/12</f>
        <v>8.3444713752284891E-2</v>
      </c>
      <c r="AW186" s="21">
        <f>EXP(-LN(2)/2)*AW185+(1-EXP(-LN(2)/2))/(LN(2)/2)*AQ186*AT186*VLOOKUP('Données projet'!$B$10,Paramètres!$A$1:$I$89,3,0)*0.475*44/12</f>
        <v>3.1984461620836136E-24</v>
      </c>
      <c r="AX186" s="21">
        <f t="shared" si="166"/>
        <v>1.5054291595417786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1.1368683772161603E-12</v>
      </c>
      <c r="BE186" s="13">
        <f>BD186*VLOOKUP('Données projet'!$B$11,Paramètres!$A$1:$I$89,3,0)*VLOOKUP('Données projet'!$B$11,Paramètres!$A$1:$I$89,5,0)</f>
        <v>5.3205440053716299E-13</v>
      </c>
      <c r="BF186" s="13">
        <f t="shared" si="167"/>
        <v>6.579711042921201E-12</v>
      </c>
      <c r="BG186" s="20">
        <f t="shared" si="168"/>
        <v>1.2386324814023317E-11</v>
      </c>
      <c r="BH186" s="59">
        <f t="shared" si="116"/>
        <v>293.33333333334571</v>
      </c>
      <c r="BI186" s="59">
        <f ca="1">AVERAGE(OFFSET($BH$3,0,0,'Données projet'!$E$11+1,1))-AVERAGE(OFFSET($H$3,0,0,'Données projet'!$E$11+1,1))</f>
        <v>183.67580045784649</v>
      </c>
      <c r="BJ186" s="59">
        <f t="shared" si="146"/>
        <v>121.08269345608767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52.05463079766853</v>
      </c>
      <c r="BQ186" s="21">
        <f>EXP(-LN(2)/25)*BQ185+(1-EXP(-LN(2)/25))/(LN(2)/25)*Calculateur!BL186*Calculateur!BN186*VLOOKUP('Données projet'!$B$11,Paramètres!$A$1:$I$89,3,0)*0.475*44/12</f>
        <v>8.2339903082198127</v>
      </c>
      <c r="BR186" s="21">
        <f>EXP(-LN(2)/2)*BR185+(1-EXP(-LN(2)/2))/(LN(2)/2)*BL186*BO186*VLOOKUP('Données projet'!$B$11,Paramètres!$A$1:$I$89,3,0)*0.475*44/12</f>
        <v>2.773726406906587E-7</v>
      </c>
      <c r="BS186" s="22">
        <f t="shared" si="169"/>
        <v>60.288621383260981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212.00000000000009</v>
      </c>
      <c r="BZ186" s="13">
        <f>BY186*VLOOKUP('Données projet'!$B$12,Paramètres!$A$1:$I$89,3,0)*VLOOKUP('Données projet'!$B$12,Paramètres!$A$1:$I$89,5,0)</f>
        <v>185.20320000000009</v>
      </c>
      <c r="CA186" s="13">
        <f t="shared" si="170"/>
        <v>46.477875402099386</v>
      </c>
      <c r="CB186" s="20">
        <f t="shared" si="171"/>
        <v>403.5112063253232</v>
      </c>
      <c r="CC186" s="59">
        <f t="shared" si="119"/>
        <v>696.84453965865646</v>
      </c>
      <c r="CD186" s="59">
        <f ca="1">AVERAGE(OFFSET($CC$3,0,0,'Données projet'!$E$12+1,1))-AVERAGE(OFFSET($H$3,0,0,'Données projet'!$E$12+1,1))</f>
        <v>216.10252108537389</v>
      </c>
      <c r="CE186" s="59">
        <f t="shared" si="148"/>
        <v>196.91968622092054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2.8861637736077674</v>
      </c>
      <c r="CL186" s="21">
        <f>EXP(-LN(2)/25)*CL185+(1-EXP(-LN(2)/25))/(LN(2)/25)*Calculateur!CG186*Calculateur!CI186*VLOOKUP('Données projet'!$B$12,Paramètres!$A$1:$I$89,3,0)*0.475*44/12</f>
        <v>1.4005829790723492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4.2867467526801164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>
        <f>VLOOKUP(A186,'Données projet'!$A$139:$I$159,2,0)</f>
        <v>129.32692307692307</v>
      </c>
      <c r="CR186" s="12">
        <f>VLOOKUP(A186,'Données projet'!$A$139:$I$159,9,0)</f>
        <v>1.5384615384615377</v>
      </c>
      <c r="CS186" s="12">
        <f t="array" ref="CS186">INDEX(CR:CR,MIN(IF(ISNUMBER(CR186:CR382),ROW(CR186:CR382),"")))</f>
        <v>1.5384615384615377</v>
      </c>
      <c r="CT186" s="12">
        <f>IF('Données projet'!$A$140&gt;35,CT185+CS186-DB185,IF(A186&lt;'Données projet'!$A$140,$CQ$205^A186,IF(A186='Données projet'!$A$140,'Données projet'!$B$140,CT185+CS186-DB185)))</f>
        <v>129.32692307692253</v>
      </c>
      <c r="CU186" s="17">
        <f>CT186*VLOOKUP('Données projet'!$B$13,Paramètres!$A$1:$I$89,3,0)*VLOOKUP('Données projet'!$B$13,Paramètres!$A$1:$I$89,5,0)</f>
        <v>117.0149999999995</v>
      </c>
      <c r="CV186" s="13">
        <f t="shared" si="173"/>
        <v>30.977779699248124</v>
      </c>
      <c r="CW186" s="20">
        <f t="shared" si="174"/>
        <v>257.75409130952295</v>
      </c>
      <c r="CX186" s="59">
        <f t="shared" si="122"/>
        <v>551.08742464285626</v>
      </c>
      <c r="CY186" s="59">
        <f ca="1">AVERAGE(OFFSET($CX$3,0,0,'Données projet'!$E$13+1,1))-AVERAGE(OFFSET($H$3,0,0,'Données projet'!$E$13+1,1))</f>
        <v>318.01858325056168</v>
      </c>
      <c r="CZ186" s="59">
        <f t="shared" si="150"/>
        <v>119.46953274700951</v>
      </c>
      <c r="DA186" s="15">
        <f>IF(ISNA(VLOOKUP(A186,'Données projet'!$A$139:$I$159,3,0)),0,VLOOKUP(A186,'Données projet'!$A$139:$I$159,3,0))</f>
        <v>18</v>
      </c>
      <c r="DB186" s="15">
        <f>IF(ISNA(VLOOKUP(A186,'Données projet'!$A$139:$I$159,4,0)),0,VLOOKUP(A186,'Données projet'!$A$139:$I$159,4,0))</f>
        <v>129.32692307692307</v>
      </c>
      <c r="DC186" s="16">
        <f>IF(ISNA(VLOOKUP(A186,'Données projet'!$A$139:$I$159,5,0)),0%,VLOOKUP(A186,'Données projet'!$A$139:$I$159,5,0)*VLOOKUP('Données projet'!$B$13,Paramètres!$A$1:$I$89,7,0))</f>
        <v>0.38700000000000001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201.62637624931091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201.62637624931091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86.112000000000407</v>
      </c>
      <c r="D187" s="11">
        <f t="shared" si="140"/>
        <v>23.625136642852389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847.09368636588124</v>
      </c>
      <c r="H187" s="67">
        <f t="shared" si="110"/>
        <v>484.4588463196352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200.15574321350221</v>
      </c>
      <c r="T187" s="59">
        <f t="shared" si="142"/>
        <v>200.70728852570426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11.130314952392133</v>
      </c>
      <c r="AA187" s="21">
        <f>EXP(-LN(2)/25)*AA186+(1-EXP(-LN(2)/25))/(LN(2)/25)*Calculateur!V187*Calculateur!X187*VLOOKUP('Données projet'!$B$9,Paramètres!$A$1:$I$89,3,0)*0.475*44/12</f>
        <v>1.1610676758503247</v>
      </c>
      <c r="AB187" s="21">
        <f>EXP(-LN(2)/2)*AB186+(1-EXP(-LN(2)/2))/(LN(2)/2)*V187*Y187*VLOOKUP('Données projet'!$B$9,Paramètres!$A$1:$I$89,3,0)*0.475*44/12</f>
        <v>6.9308379543319394E-18</v>
      </c>
      <c r="AC187" s="22">
        <f t="shared" si="163"/>
        <v>12.291382628242458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45.407317338461951</v>
      </c>
      <c r="AO187" s="59">
        <f t="shared" si="144"/>
        <v>149.88701606165358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1.3941001981324324</v>
      </c>
      <c r="AV187" s="21">
        <f>EXP(-LN(2)/25)*AV186+(1-EXP(-LN(2)/25))/(LN(2)/25)*Calculateur!AQ187*Calculateur!AS187*VLOOKUP('Données projet'!$B$10,Paramètres!$A$1:$I$89,3,0)*0.475*44/12</f>
        <v>8.1162913666561878E-2</v>
      </c>
      <c r="AW187" s="21">
        <f>EXP(-LN(2)/2)*AW186+(1-EXP(-LN(2)/2))/(LN(2)/2)*AQ187*AT187*VLOOKUP('Données projet'!$B$10,Paramètres!$A$1:$I$89,3,0)*0.475*44/12</f>
        <v>2.2616429704694105E-24</v>
      </c>
      <c r="AX187" s="21">
        <f t="shared" si="166"/>
        <v>1.4752631117989943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1.1368683772161603E-12</v>
      </c>
      <c r="BE187" s="13">
        <f>BD187*VLOOKUP('Données projet'!$B$11,Paramètres!$A$1:$I$89,3,0)*VLOOKUP('Données projet'!$B$11,Paramètres!$A$1:$I$89,5,0)</f>
        <v>5.3205440053716299E-13</v>
      </c>
      <c r="BF187" s="13">
        <f t="shared" si="167"/>
        <v>6.579711042921201E-12</v>
      </c>
      <c r="BG187" s="20">
        <f t="shared" si="168"/>
        <v>1.2386324814023317E-11</v>
      </c>
      <c r="BH187" s="59">
        <f t="shared" si="116"/>
        <v>293.33333333334571</v>
      </c>
      <c r="BI187" s="59">
        <f ca="1">AVERAGE(OFFSET($BH$3,0,0,'Données projet'!$E$11+1,1))-AVERAGE(OFFSET($H$3,0,0,'Données projet'!$E$11+1,1))</f>
        <v>183.67580045784649</v>
      </c>
      <c r="BJ187" s="59">
        <f t="shared" si="146"/>
        <v>121.08269345608767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51.033871237915967</v>
      </c>
      <c r="BQ187" s="21">
        <f>EXP(-LN(2)/25)*BQ186+(1-EXP(-LN(2)/25))/(LN(2)/25)*Calculateur!BL187*Calculateur!BN187*VLOOKUP('Données projet'!$B$11,Paramètres!$A$1:$I$89,3,0)*0.475*44/12</f>
        <v>8.0088314102348104</v>
      </c>
      <c r="BR187" s="21">
        <f>EXP(-LN(2)/2)*BR186+(1-EXP(-LN(2)/2))/(LN(2)/2)*BL187*BO187*VLOOKUP('Données projet'!$B$11,Paramètres!$A$1:$I$89,3,0)*0.475*44/12</f>
        <v>1.9613207514798447E-7</v>
      </c>
      <c r="BS187" s="22">
        <f t="shared" si="169"/>
        <v>59.042702844282857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212.00000000000009</v>
      </c>
      <c r="BZ187" s="13">
        <f>BY187*VLOOKUP('Données projet'!$B$12,Paramètres!$A$1:$I$89,3,0)*VLOOKUP('Données projet'!$B$12,Paramètres!$A$1:$I$89,5,0)</f>
        <v>185.20320000000009</v>
      </c>
      <c r="CA187" s="13">
        <f t="shared" si="170"/>
        <v>46.477875402099386</v>
      </c>
      <c r="CB187" s="20">
        <f t="shared" si="171"/>
        <v>403.5112063253232</v>
      </c>
      <c r="CC187" s="59">
        <f t="shared" si="119"/>
        <v>696.84453965865646</v>
      </c>
      <c r="CD187" s="59">
        <f ca="1">AVERAGE(OFFSET($CC$3,0,0,'Données projet'!$E$12+1,1))-AVERAGE(OFFSET($H$3,0,0,'Données projet'!$E$12+1,1))</f>
        <v>216.10252108537389</v>
      </c>
      <c r="CE187" s="59">
        <f t="shared" si="148"/>
        <v>196.91968622092054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2.8295678623933975</v>
      </c>
      <c r="CL187" s="21">
        <f>EXP(-LN(2)/25)*CL186+(1-EXP(-LN(2)/25))/(LN(2)/25)*Calculateur!CG187*Calculateur!CI187*VLOOKUP('Données projet'!$B$12,Paramètres!$A$1:$I$89,3,0)*0.475*44/12</f>
        <v>1.3622839638561579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4.1918518262495557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-5.4001247917767614E-13</v>
      </c>
      <c r="CU187" s="17">
        <f>CT187*VLOOKUP('Données projet'!$B$13,Paramètres!$A$1:$I$89,3,0)*VLOOKUP('Données projet'!$B$13,Paramètres!$A$1:$I$89,5,0)</f>
        <v>-4.8860329115996133E-13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318.01858325056168</v>
      </c>
      <c r="CZ187" s="59">
        <f t="shared" si="150"/>
        <v>119.46953274700951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197.67260599100817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197.67260599100817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86.58000000000041</v>
      </c>
      <c r="D188" s="11">
        <f t="shared" si="140"/>
        <v>23.73855284473407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851.58181143303818</v>
      </c>
      <c r="H188" s="67">
        <f t="shared" si="110"/>
        <v>485.4714795379125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200.15574321350221</v>
      </c>
      <c r="T188" s="59">
        <f t="shared" si="142"/>
        <v>200.70728852570426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10.912056264997505</v>
      </c>
      <c r="AA188" s="21">
        <f>EXP(-LN(2)/25)*AA187+(1-EXP(-LN(2)/25))/(LN(2)/25)*Calculateur!V188*Calculateur!X188*VLOOKUP('Données projet'!$B$9,Paramètres!$A$1:$I$89,3,0)*0.475*44/12</f>
        <v>1.129318219196302</v>
      </c>
      <c r="AB188" s="21">
        <f>EXP(-LN(2)/2)*AB187+(1-EXP(-LN(2)/2))/(LN(2)/2)*V188*Y188*VLOOKUP('Données projet'!$B$9,Paramètres!$A$1:$I$89,3,0)*0.475*44/12</f>
        <v>4.9008425168132138E-18</v>
      </c>
      <c r="AC188" s="22">
        <f t="shared" si="163"/>
        <v>12.041374484193806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45.407317338461951</v>
      </c>
      <c r="AO188" s="59">
        <f t="shared" si="144"/>
        <v>149.88701606165358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1.3667627435642145</v>
      </c>
      <c r="AV188" s="21">
        <f>EXP(-LN(2)/25)*AV187+(1-EXP(-LN(2)/25))/(LN(2)/25)*Calculateur!AQ188*Calculateur!AS188*VLOOKUP('Données projet'!$B$10,Paramètres!$A$1:$I$89,3,0)*0.475*44/12</f>
        <v>7.8943509524177613E-2</v>
      </c>
      <c r="AW188" s="21">
        <f>EXP(-LN(2)/2)*AW187+(1-EXP(-LN(2)/2))/(LN(2)/2)*AQ188*AT188*VLOOKUP('Données projet'!$B$10,Paramètres!$A$1:$I$89,3,0)*0.475*44/12</f>
        <v>1.5992230810418068E-24</v>
      </c>
      <c r="AX188" s="21">
        <f t="shared" si="166"/>
        <v>1.445706253088392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1.1368683772161603E-12</v>
      </c>
      <c r="BE188" s="13">
        <f>BD188*VLOOKUP('Données projet'!$B$11,Paramètres!$A$1:$I$89,3,0)*VLOOKUP('Données projet'!$B$11,Paramètres!$A$1:$I$89,5,0)</f>
        <v>5.3205440053716299E-13</v>
      </c>
      <c r="BF188" s="13">
        <f t="shared" si="167"/>
        <v>6.579711042921201E-12</v>
      </c>
      <c r="BG188" s="20">
        <f t="shared" si="168"/>
        <v>1.2386324814023317E-11</v>
      </c>
      <c r="BH188" s="59">
        <f t="shared" si="116"/>
        <v>293.33333333334571</v>
      </c>
      <c r="BI188" s="59">
        <f ca="1">AVERAGE(OFFSET($BH$3,0,0,'Données projet'!$E$11+1,1))-AVERAGE(OFFSET($H$3,0,0,'Données projet'!$E$11+1,1))</f>
        <v>183.67580045784649</v>
      </c>
      <c r="BJ188" s="59">
        <f t="shared" si="146"/>
        <v>121.08269345608767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50.033128150528299</v>
      </c>
      <c r="BQ188" s="21">
        <f>EXP(-LN(2)/25)*BQ187+(1-EXP(-LN(2)/25))/(LN(2)/25)*Calculateur!BL188*Calculateur!BN188*VLOOKUP('Données projet'!$B$11,Paramètres!$A$1:$I$89,3,0)*0.475*44/12</f>
        <v>7.7898294941557999</v>
      </c>
      <c r="BR188" s="21">
        <f>EXP(-LN(2)/2)*BR187+(1-EXP(-LN(2)/2))/(LN(2)/2)*BL188*BO188*VLOOKUP('Données projet'!$B$11,Paramètres!$A$1:$I$89,3,0)*0.475*44/12</f>
        <v>1.3868632034532935E-7</v>
      </c>
      <c r="BS188" s="22">
        <f t="shared" si="169"/>
        <v>57.822957783370413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212.00000000000009</v>
      </c>
      <c r="BZ188" s="13">
        <f>BY188*VLOOKUP('Données projet'!$B$12,Paramètres!$A$1:$I$89,3,0)*VLOOKUP('Données projet'!$B$12,Paramètres!$A$1:$I$89,5,0)</f>
        <v>185.20320000000009</v>
      </c>
      <c r="CA188" s="13">
        <f t="shared" si="170"/>
        <v>46.477875402099386</v>
      </c>
      <c r="CB188" s="20">
        <f t="shared" si="171"/>
        <v>403.5112063253232</v>
      </c>
      <c r="CC188" s="59">
        <f t="shared" si="119"/>
        <v>696.84453965865646</v>
      </c>
      <c r="CD188" s="59">
        <f ca="1">AVERAGE(OFFSET($CC$3,0,0,'Données projet'!$E$12+1,1))-AVERAGE(OFFSET($H$3,0,0,'Données projet'!$E$12+1,1))</f>
        <v>216.10252108537389</v>
      </c>
      <c r="CE188" s="59">
        <f t="shared" si="148"/>
        <v>196.91968622092054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2.7740817624778438</v>
      </c>
      <c r="CL188" s="21">
        <f>EXP(-LN(2)/25)*CL187+(1-EXP(-LN(2)/25))/(LN(2)/25)*Calculateur!CG188*Calculateur!CI188*VLOOKUP('Données projet'!$B$12,Paramètres!$A$1:$I$89,3,0)*0.475*44/12</f>
        <v>1.3250322372251111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4.0991139997029551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-5.4001247917767614E-13</v>
      </c>
      <c r="CU188" s="17">
        <f>CT188*VLOOKUP('Données projet'!$B$13,Paramètres!$A$1:$I$89,3,0)*VLOOKUP('Données projet'!$B$13,Paramètres!$A$1:$I$89,5,0)</f>
        <v>-4.8860329115996133E-13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318.01858325056168</v>
      </c>
      <c r="CZ188" s="59">
        <f t="shared" si="150"/>
        <v>119.46953274700951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193.79636675590902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193.79636675590902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87.048000000000414</v>
      </c>
      <c r="D189" s="11">
        <f t="shared" si="140"/>
        <v>23.851897708444977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856.06938581957854</v>
      </c>
      <c r="H189" s="67">
        <f t="shared" si="110"/>
        <v>486.48398850887571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200.15574321350221</v>
      </c>
      <c r="T189" s="59">
        <f t="shared" si="142"/>
        <v>200.70728852570426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10.69807749733803</v>
      </c>
      <c r="AA189" s="21">
        <f>EXP(-LN(2)/25)*AA188+(1-EXP(-LN(2)/25))/(LN(2)/25)*Calculateur!V189*Calculateur!X189*VLOOKUP('Données projet'!$B$9,Paramètres!$A$1:$I$89,3,0)*0.475*44/12</f>
        <v>1.0984369531041152</v>
      </c>
      <c r="AB189" s="21">
        <f>EXP(-LN(2)/2)*AB188+(1-EXP(-LN(2)/2))/(LN(2)/2)*V189*Y189*VLOOKUP('Données projet'!$B$9,Paramètres!$A$1:$I$89,3,0)*0.475*44/12</f>
        <v>3.4654189771659701E-18</v>
      </c>
      <c r="AC189" s="22">
        <f t="shared" si="163"/>
        <v>11.796514450442146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45.407317338461951</v>
      </c>
      <c r="AO189" s="59">
        <f t="shared" si="144"/>
        <v>149.88701606165358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1.3399613598058784</v>
      </c>
      <c r="AV189" s="21">
        <f>EXP(-LN(2)/25)*AV188+(1-EXP(-LN(2)/25))/(LN(2)/25)*Calculateur!AQ189*Calculateur!AS189*VLOOKUP('Données projet'!$B$10,Paramètres!$A$1:$I$89,3,0)*0.475*44/12</f>
        <v>7.6784795104780243E-2</v>
      </c>
      <c r="AW189" s="21">
        <f>EXP(-LN(2)/2)*AW188+(1-EXP(-LN(2)/2))/(LN(2)/2)*AQ189*AT189*VLOOKUP('Données projet'!$B$10,Paramètres!$A$1:$I$89,3,0)*0.475*44/12</f>
        <v>1.1308214852347052E-24</v>
      </c>
      <c r="AX189" s="21">
        <f t="shared" si="166"/>
        <v>1.4167461549106586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1.1368683772161603E-12</v>
      </c>
      <c r="BE189" s="13">
        <f>BD189*VLOOKUP('Données projet'!$B$11,Paramètres!$A$1:$I$89,3,0)*VLOOKUP('Données projet'!$B$11,Paramètres!$A$1:$I$89,5,0)</f>
        <v>5.3205440053716299E-13</v>
      </c>
      <c r="BF189" s="13">
        <f t="shared" si="167"/>
        <v>6.579711042921201E-12</v>
      </c>
      <c r="BG189" s="20">
        <f t="shared" si="168"/>
        <v>1.2386324814023317E-11</v>
      </c>
      <c r="BH189" s="59">
        <f t="shared" si="116"/>
        <v>293.33333333334571</v>
      </c>
      <c r="BI189" s="59">
        <f ca="1">AVERAGE(OFFSET($BH$3,0,0,'Données projet'!$E$11+1,1))-AVERAGE(OFFSET($H$3,0,0,'Données projet'!$E$11+1,1))</f>
        <v>183.67580045784649</v>
      </c>
      <c r="BJ189" s="59">
        <f t="shared" si="146"/>
        <v>121.08269345608767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49.052009024691287</v>
      </c>
      <c r="BQ189" s="21">
        <f>EXP(-LN(2)/25)*BQ188+(1-EXP(-LN(2)/25))/(LN(2)/25)*Calculateur!BL189*Calculateur!BN189*VLOOKUP('Données projet'!$B$11,Paramètres!$A$1:$I$89,3,0)*0.475*44/12</f>
        <v>7.5768161969887808</v>
      </c>
      <c r="BR189" s="21">
        <f>EXP(-LN(2)/2)*BR188+(1-EXP(-LN(2)/2))/(LN(2)/2)*BL189*BO189*VLOOKUP('Données projet'!$B$11,Paramètres!$A$1:$I$89,3,0)*0.475*44/12</f>
        <v>9.8066037573992235E-8</v>
      </c>
      <c r="BS189" s="22">
        <f t="shared" si="169"/>
        <v>56.628825319746106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212.00000000000009</v>
      </c>
      <c r="BZ189" s="13">
        <f>BY189*VLOOKUP('Données projet'!$B$12,Paramètres!$A$1:$I$89,3,0)*VLOOKUP('Données projet'!$B$12,Paramètres!$A$1:$I$89,5,0)</f>
        <v>185.20320000000009</v>
      </c>
      <c r="CA189" s="13">
        <f t="shared" si="170"/>
        <v>46.477875402099386</v>
      </c>
      <c r="CB189" s="20">
        <f t="shared" si="171"/>
        <v>403.5112063253232</v>
      </c>
      <c r="CC189" s="59">
        <f t="shared" si="119"/>
        <v>696.84453965865646</v>
      </c>
      <c r="CD189" s="59">
        <f ca="1">AVERAGE(OFFSET($CC$3,0,0,'Données projet'!$E$12+1,1))-AVERAGE(OFFSET($H$3,0,0,'Données projet'!$E$12+1,1))</f>
        <v>216.10252108537389</v>
      </c>
      <c r="CE189" s="59">
        <f t="shared" si="148"/>
        <v>196.91968622092054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2.7196837111384551</v>
      </c>
      <c r="CL189" s="21">
        <f>EXP(-LN(2)/25)*CL188+(1-EXP(-LN(2)/25))/(LN(2)/25)*Calculateur!CG189*Calculateur!CI189*VLOOKUP('Données projet'!$B$12,Paramètres!$A$1:$I$89,3,0)*0.475*44/12</f>
        <v>1.2887991610177736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4.0084828721562289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-5.4001247917767614E-13</v>
      </c>
      <c r="CU189" s="17">
        <f>CT189*VLOOKUP('Données projet'!$B$13,Paramètres!$A$1:$I$89,3,0)*VLOOKUP('Données projet'!$B$13,Paramètres!$A$1:$I$89,5,0)</f>
        <v>-4.8860329115996133E-13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318.01858325056168</v>
      </c>
      <c r="CZ189" s="59">
        <f t="shared" si="150"/>
        <v>119.46953274700951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189.99613820793769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189.99613820793769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87.516000000000417</v>
      </c>
      <c r="D190" s="11">
        <f t="shared" si="140"/>
        <v>23.96517166203774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860.55641282976819</v>
      </c>
      <c r="H190" s="67">
        <f t="shared" si="110"/>
        <v>487.49637397804975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200.15574321350221</v>
      </c>
      <c r="T190" s="59">
        <f t="shared" si="142"/>
        <v>200.70728852570426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10.488294722798196</v>
      </c>
      <c r="AA190" s="21">
        <f>EXP(-LN(2)/25)*AA189+(1-EXP(-LN(2)/25))/(LN(2)/25)*Calculateur!V190*Calculateur!X190*VLOOKUP('Données projet'!$B$9,Paramètres!$A$1:$I$89,3,0)*0.475*44/12</f>
        <v>1.0684001368571943</v>
      </c>
      <c r="AB190" s="21">
        <f>EXP(-LN(2)/2)*AB189+(1-EXP(-LN(2)/2))/(LN(2)/2)*V190*Y190*VLOOKUP('Données projet'!$B$9,Paramètres!$A$1:$I$89,3,0)*0.475*44/12</f>
        <v>2.4504212584066073E-18</v>
      </c>
      <c r="AC190" s="22">
        <f t="shared" si="163"/>
        <v>11.556694859655391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45.407317338461951</v>
      </c>
      <c r="AO190" s="59">
        <f t="shared" si="144"/>
        <v>149.88701606165358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1.3136855348358134</v>
      </c>
      <c r="AV190" s="21">
        <f>EXP(-LN(2)/25)*AV189+(1-EXP(-LN(2)/25))/(LN(2)/25)*Calculateur!AQ190*Calculateur!AS190*VLOOKUP('Données projet'!$B$10,Paramètres!$A$1:$I$89,3,0)*0.475*44/12</f>
        <v>7.468511084470314E-2</v>
      </c>
      <c r="AW190" s="21">
        <f>EXP(-LN(2)/2)*AW189+(1-EXP(-LN(2)/2))/(LN(2)/2)*AQ190*AT190*VLOOKUP('Données projet'!$B$10,Paramètres!$A$1:$I$89,3,0)*0.475*44/12</f>
        <v>7.996115405209034E-25</v>
      </c>
      <c r="AX190" s="21">
        <f t="shared" si="166"/>
        <v>1.3883706456805165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1.1368683772161603E-12</v>
      </c>
      <c r="BE190" s="13">
        <f>BD190*VLOOKUP('Données projet'!$B$11,Paramètres!$A$1:$I$89,3,0)*VLOOKUP('Données projet'!$B$11,Paramètres!$A$1:$I$89,5,0)</f>
        <v>5.3205440053716299E-13</v>
      </c>
      <c r="BF190" s="13">
        <f t="shared" si="167"/>
        <v>6.579711042921201E-12</v>
      </c>
      <c r="BG190" s="20">
        <f t="shared" si="168"/>
        <v>1.2386324814023317E-11</v>
      </c>
      <c r="BH190" s="59">
        <f t="shared" si="116"/>
        <v>293.33333333334571</v>
      </c>
      <c r="BI190" s="59">
        <f ca="1">AVERAGE(OFFSET($BH$3,0,0,'Données projet'!$E$11+1,1))-AVERAGE(OFFSET($H$3,0,0,'Données projet'!$E$11+1,1))</f>
        <v>183.67580045784649</v>
      </c>
      <c r="BJ190" s="59">
        <f t="shared" si="146"/>
        <v>121.08269345608767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48.090129046488364</v>
      </c>
      <c r="BQ190" s="21">
        <f>EXP(-LN(2)/25)*BQ189+(1-EXP(-LN(2)/25))/(LN(2)/25)*Calculateur!BL190*Calculateur!BN190*VLOOKUP('Données projet'!$B$11,Paramètres!$A$1:$I$89,3,0)*0.475*44/12</f>
        <v>7.3696277596346755</v>
      </c>
      <c r="BR190" s="21">
        <f>EXP(-LN(2)/2)*BR189+(1-EXP(-LN(2)/2))/(LN(2)/2)*BL190*BO190*VLOOKUP('Données projet'!$B$11,Paramètres!$A$1:$I$89,3,0)*0.475*44/12</f>
        <v>6.9343160172664674E-8</v>
      </c>
      <c r="BS190" s="22">
        <f t="shared" si="169"/>
        <v>55.459756875466198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212.00000000000009</v>
      </c>
      <c r="BZ190" s="13">
        <f>BY190*VLOOKUP('Données projet'!$B$12,Paramètres!$A$1:$I$89,3,0)*VLOOKUP('Données projet'!$B$12,Paramètres!$A$1:$I$89,5,0)</f>
        <v>185.20320000000009</v>
      </c>
      <c r="CA190" s="13">
        <f t="shared" si="170"/>
        <v>46.477875402099386</v>
      </c>
      <c r="CB190" s="20">
        <f t="shared" si="171"/>
        <v>403.5112063253232</v>
      </c>
      <c r="CC190" s="59">
        <f t="shared" si="119"/>
        <v>696.84453965865646</v>
      </c>
      <c r="CD190" s="59">
        <f ca="1">AVERAGE(OFFSET($CC$3,0,0,'Données projet'!$E$12+1,1))-AVERAGE(OFFSET($H$3,0,0,'Données projet'!$E$12+1,1))</f>
        <v>216.10252108537389</v>
      </c>
      <c r="CE190" s="59">
        <f t="shared" si="148"/>
        <v>196.91968622092054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2.6663523724062967</v>
      </c>
      <c r="CL190" s="21">
        <f>EXP(-LN(2)/25)*CL189+(1-EXP(-LN(2)/25))/(LN(2)/25)*Calculateur!CG190*Calculateur!CI190*VLOOKUP('Données projet'!$B$12,Paramètres!$A$1:$I$89,3,0)*0.475*44/12</f>
        <v>1.2535568801847403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3.9199092525910371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-5.4001247917767614E-13</v>
      </c>
      <c r="CU190" s="17">
        <f>CT190*VLOOKUP('Données projet'!$B$13,Paramètres!$A$1:$I$89,3,0)*VLOOKUP('Données projet'!$B$13,Paramètres!$A$1:$I$89,5,0)</f>
        <v>-4.8860329115996133E-13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318.01858325056168</v>
      </c>
      <c r="CZ190" s="59">
        <f t="shared" si="150"/>
        <v>119.46953274700951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186.27042982388153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186.27042982388153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87.984000000000421</v>
      </c>
      <c r="D191" s="11">
        <f t="shared" si="140"/>
        <v>24.078375128721891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865.042895730488</v>
      </c>
      <c r="H191" s="67">
        <f t="shared" si="110"/>
        <v>488.50863668252464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200.15574321350221</v>
      </c>
      <c r="T191" s="59">
        <f t="shared" si="142"/>
        <v>200.70728852570426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10.282625660512231</v>
      </c>
      <c r="AA191" s="21">
        <f>EXP(-LN(2)/25)*AA190+(1-EXP(-LN(2)/25))/(LN(2)/25)*Calculateur!V191*Calculateur!X191*VLOOKUP('Données projet'!$B$9,Paramètres!$A$1:$I$89,3,0)*0.475*44/12</f>
        <v>1.0391846789301129</v>
      </c>
      <c r="AB191" s="21">
        <f>EXP(-LN(2)/2)*AB190+(1-EXP(-LN(2)/2))/(LN(2)/2)*V191*Y191*VLOOKUP('Données projet'!$B$9,Paramètres!$A$1:$I$89,3,0)*0.475*44/12</f>
        <v>1.7327094885829854E-18</v>
      </c>
      <c r="AC191" s="22">
        <f t="shared" si="163"/>
        <v>11.321810339442344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45.407317338461951</v>
      </c>
      <c r="AO191" s="59">
        <f t="shared" si="144"/>
        <v>149.88701606165358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1.2879249627667406</v>
      </c>
      <c r="AV191" s="21">
        <f>EXP(-LN(2)/25)*AV190+(1-EXP(-LN(2)/25))/(LN(2)/25)*Calculateur!AQ191*Calculateur!AS191*VLOOKUP('Données projet'!$B$10,Paramètres!$A$1:$I$89,3,0)*0.475*44/12</f>
        <v>7.2642842561135443E-2</v>
      </c>
      <c r="AW191" s="21">
        <f>EXP(-LN(2)/2)*AW190+(1-EXP(-LN(2)/2))/(LN(2)/2)*AQ191*AT191*VLOOKUP('Données projet'!$B$10,Paramètres!$A$1:$I$89,3,0)*0.475*44/12</f>
        <v>5.6541074261735262E-25</v>
      </c>
      <c r="AX191" s="21">
        <f t="shared" si="166"/>
        <v>1.360567805327876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1.1368683772161603E-12</v>
      </c>
      <c r="BE191" s="13">
        <f>BD191*VLOOKUP('Données projet'!$B$11,Paramètres!$A$1:$I$89,3,0)*VLOOKUP('Données projet'!$B$11,Paramètres!$A$1:$I$89,5,0)</f>
        <v>5.3205440053716299E-13</v>
      </c>
      <c r="BF191" s="13">
        <f t="shared" si="167"/>
        <v>6.579711042921201E-12</v>
      </c>
      <c r="BG191" s="20">
        <f t="shared" si="168"/>
        <v>1.2386324814023317E-11</v>
      </c>
      <c r="BH191" s="59">
        <f t="shared" si="116"/>
        <v>293.33333333334571</v>
      </c>
      <c r="BI191" s="59">
        <f ca="1">AVERAGE(OFFSET($BH$3,0,0,'Données projet'!$E$11+1,1))-AVERAGE(OFFSET($H$3,0,0,'Données projet'!$E$11+1,1))</f>
        <v>183.67580045784649</v>
      </c>
      <c r="BJ191" s="59">
        <f t="shared" si="146"/>
        <v>121.08269345608767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47.147110947969146</v>
      </c>
      <c r="BQ191" s="21">
        <f>EXP(-LN(2)/25)*BQ190+(1-EXP(-LN(2)/25))/(LN(2)/25)*Calculateur!BL191*Calculateur!BN191*VLOOKUP('Données projet'!$B$11,Paramètres!$A$1:$I$89,3,0)*0.475*44/12</f>
        <v>7.1681049009955853</v>
      </c>
      <c r="BR191" s="21">
        <f>EXP(-LN(2)/2)*BR190+(1-EXP(-LN(2)/2))/(LN(2)/2)*BL191*BO191*VLOOKUP('Données projet'!$B$11,Paramètres!$A$1:$I$89,3,0)*0.475*44/12</f>
        <v>4.9033018786996118E-8</v>
      </c>
      <c r="BS191" s="22">
        <f t="shared" si="169"/>
        <v>54.315215897997753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212.00000000000009</v>
      </c>
      <c r="BZ191" s="13">
        <f>BY191*VLOOKUP('Données projet'!$B$12,Paramètres!$A$1:$I$89,3,0)*VLOOKUP('Données projet'!$B$12,Paramètres!$A$1:$I$89,5,0)</f>
        <v>185.20320000000009</v>
      </c>
      <c r="CA191" s="13">
        <f t="shared" si="170"/>
        <v>46.477875402099386</v>
      </c>
      <c r="CB191" s="20">
        <f t="shared" si="171"/>
        <v>403.5112063253232</v>
      </c>
      <c r="CC191" s="59">
        <f t="shared" si="119"/>
        <v>696.84453965865646</v>
      </c>
      <c r="CD191" s="59">
        <f ca="1">AVERAGE(OFFSET($CC$3,0,0,'Données projet'!$E$12+1,1))-AVERAGE(OFFSET($H$3,0,0,'Données projet'!$E$12+1,1))</f>
        <v>216.10252108537389</v>
      </c>
      <c r="CE191" s="59">
        <f t="shared" si="148"/>
        <v>196.91968622092054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2.6140668286977711</v>
      </c>
      <c r="CL191" s="21">
        <f>EXP(-LN(2)/25)*CL190+(1-EXP(-LN(2)/25))/(LN(2)/25)*Calculateur!CG191*Calculateur!CI191*VLOOKUP('Données projet'!$B$12,Paramètres!$A$1:$I$89,3,0)*0.475*44/12</f>
        <v>1.2192783013743973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3.8333451300721686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-5.4001247917767614E-13</v>
      </c>
      <c r="CU191" s="17">
        <f>CT191*VLOOKUP('Données projet'!$B$13,Paramètres!$A$1:$I$89,3,0)*VLOOKUP('Données projet'!$B$13,Paramètres!$A$1:$I$89,5,0)</f>
        <v>-4.8860329115996133E-13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318.01858325056168</v>
      </c>
      <c r="CZ191" s="59">
        <f t="shared" si="150"/>
        <v>119.46953274700951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182.61778030877898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182.61778030877898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88.452000000000425</v>
      </c>
      <c r="D192" s="11">
        <f t="shared" si="140"/>
        <v>24.191508526944062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869.52883775185228</v>
      </c>
      <c r="H192" s="67">
        <f t="shared" si="110"/>
        <v>489.52077735109492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200.15574321350221</v>
      </c>
      <c r="T192" s="59">
        <f t="shared" si="142"/>
        <v>200.70728852570426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10.080989643091952</v>
      </c>
      <c r="AA192" s="21">
        <f>EXP(-LN(2)/25)*AA191+(1-EXP(-LN(2)/25))/(LN(2)/25)*Calculateur!V192*Calculateur!X192*VLOOKUP('Données projet'!$B$9,Paramètres!$A$1:$I$89,3,0)*0.475*44/12</f>
        <v>1.0107681192364217</v>
      </c>
      <c r="AB192" s="21">
        <f>EXP(-LN(2)/2)*AB191+(1-EXP(-LN(2)/2))/(LN(2)/2)*V192*Y192*VLOOKUP('Données projet'!$B$9,Paramètres!$A$1:$I$89,3,0)*0.475*44/12</f>
        <v>1.2252106292033038E-18</v>
      </c>
      <c r="AC192" s="22">
        <f t="shared" si="163"/>
        <v>11.091757762328374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45.407317338461951</v>
      </c>
      <c r="AO192" s="59">
        <f t="shared" si="144"/>
        <v>149.88701606165358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1.2626695398035448</v>
      </c>
      <c r="AV192" s="21">
        <f>EXP(-LN(2)/25)*AV191+(1-EXP(-LN(2)/25))/(LN(2)/25)*Calculateur!AQ192*Calculateur!AS192*VLOOKUP('Données projet'!$B$10,Paramètres!$A$1:$I$89,3,0)*0.475*44/12</f>
        <v>7.0656420211180127E-2</v>
      </c>
      <c r="AW192" s="21">
        <f>EXP(-LN(2)/2)*AW191+(1-EXP(-LN(2)/2))/(LN(2)/2)*AQ192*AT192*VLOOKUP('Données projet'!$B$10,Paramètres!$A$1:$I$89,3,0)*0.475*44/12</f>
        <v>3.998057702604517E-25</v>
      </c>
      <c r="AX192" s="21">
        <f t="shared" si="166"/>
        <v>1.3333259600147249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1.1368683772161603E-12</v>
      </c>
      <c r="BE192" s="13">
        <f>BD192*VLOOKUP('Données projet'!$B$11,Paramètres!$A$1:$I$89,3,0)*VLOOKUP('Données projet'!$B$11,Paramètres!$A$1:$I$89,5,0)</f>
        <v>5.3205440053716299E-13</v>
      </c>
      <c r="BF192" s="13">
        <f t="shared" si="167"/>
        <v>6.579711042921201E-12</v>
      </c>
      <c r="BG192" s="20">
        <f t="shared" si="168"/>
        <v>1.2386324814023317E-11</v>
      </c>
      <c r="BH192" s="59">
        <f t="shared" si="116"/>
        <v>293.33333333334571</v>
      </c>
      <c r="BI192" s="59">
        <f ca="1">AVERAGE(OFFSET($BH$3,0,0,'Données projet'!$E$11+1,1))-AVERAGE(OFFSET($H$3,0,0,'Données projet'!$E$11+1,1))</f>
        <v>183.67580045784649</v>
      </c>
      <c r="BJ192" s="59">
        <f t="shared" si="146"/>
        <v>121.08269345608767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46.222584859177644</v>
      </c>
      <c r="BQ192" s="21">
        <f>EXP(-LN(2)/25)*BQ191+(1-EXP(-LN(2)/25))/(LN(2)/25)*Calculateur!BL192*Calculateur!BN192*VLOOKUP('Données projet'!$B$11,Paramètres!$A$1:$I$89,3,0)*0.475*44/12</f>
        <v>6.9720926955236076</v>
      </c>
      <c r="BR192" s="21">
        <f>EXP(-LN(2)/2)*BR191+(1-EXP(-LN(2)/2))/(LN(2)/2)*BL192*BO192*VLOOKUP('Données projet'!$B$11,Paramètres!$A$1:$I$89,3,0)*0.475*44/12</f>
        <v>3.4671580086332337E-8</v>
      </c>
      <c r="BS192" s="22">
        <f t="shared" si="169"/>
        <v>53.19467758937283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212.00000000000009</v>
      </c>
      <c r="BZ192" s="13">
        <f>BY192*VLOOKUP('Données projet'!$B$12,Paramètres!$A$1:$I$89,3,0)*VLOOKUP('Données projet'!$B$12,Paramètres!$A$1:$I$89,5,0)</f>
        <v>185.20320000000009</v>
      </c>
      <c r="CA192" s="13">
        <f t="shared" si="170"/>
        <v>46.477875402099386</v>
      </c>
      <c r="CB192" s="20">
        <f t="shared" si="171"/>
        <v>403.5112063253232</v>
      </c>
      <c r="CC192" s="59">
        <f t="shared" si="119"/>
        <v>696.84453965865646</v>
      </c>
      <c r="CD192" s="59">
        <f ca="1">AVERAGE(OFFSET($CC$3,0,0,'Données projet'!$E$12+1,1))-AVERAGE(OFFSET($H$3,0,0,'Données projet'!$E$12+1,1))</f>
        <v>216.10252108537389</v>
      </c>
      <c r="CE192" s="59">
        <f t="shared" si="148"/>
        <v>196.91968622092054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2.5628065726103371</v>
      </c>
      <c r="CL192" s="21">
        <f>EXP(-LN(2)/25)*CL191+(1-EXP(-LN(2)/25))/(LN(2)/25)*Calculateur!CG192*Calculateur!CI192*VLOOKUP('Données projet'!$B$12,Paramètres!$A$1:$I$89,3,0)*0.475*44/12</f>
        <v>1.1859370721042553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3.7487436447145921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-5.4001247917767614E-13</v>
      </c>
      <c r="CU192" s="17">
        <f>CT192*VLOOKUP('Données projet'!$B$13,Paramètres!$A$1:$I$89,3,0)*VLOOKUP('Données projet'!$B$13,Paramètres!$A$1:$I$89,5,0)</f>
        <v>-4.8860329115996133E-13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318.01858325056168</v>
      </c>
      <c r="CZ192" s="59">
        <f t="shared" si="150"/>
        <v>119.46953274700951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179.03675702277138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179.03675702277138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88.920000000000428</v>
      </c>
      <c r="D193" s="11">
        <f t="shared" si="140"/>
        <v>24.304572270466586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874.01424208781555</v>
      </c>
      <c r="H193" s="67">
        <f t="shared" si="110"/>
        <v>490.53279670439667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200.15574321350221</v>
      </c>
      <c r="T193" s="59">
        <f t="shared" si="142"/>
        <v>200.70728852570426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9.8833075849874579</v>
      </c>
      <c r="AA193" s="21">
        <f>EXP(-LN(2)/25)*AA192+(1-EXP(-LN(2)/25))/(LN(2)/25)*Calculateur!V193*Calculateur!X193*VLOOKUP('Données projet'!$B$9,Paramètres!$A$1:$I$89,3,0)*0.475*44/12</f>
        <v>0.98312861186191658</v>
      </c>
      <c r="AB193" s="21">
        <f>EXP(-LN(2)/2)*AB192+(1-EXP(-LN(2)/2))/(LN(2)/2)*V193*Y193*VLOOKUP('Données projet'!$B$9,Paramètres!$A$1:$I$89,3,0)*0.475*44/12</f>
        <v>8.6635474429149281E-19</v>
      </c>
      <c r="AC193" s="22">
        <f t="shared" si="163"/>
        <v>10.866436196849374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45.407317338461951</v>
      </c>
      <c r="AO193" s="59">
        <f t="shared" si="144"/>
        <v>149.88701606165358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1.2379093602803704</v>
      </c>
      <c r="AV193" s="21">
        <f>EXP(-LN(2)/25)*AV192+(1-EXP(-LN(2)/25))/(LN(2)/25)*Calculateur!AQ193*Calculateur!AS193*VLOOKUP('Données projet'!$B$10,Paramètres!$A$1:$I$89,3,0)*0.475*44/12</f>
        <v>6.8724316684845757E-2</v>
      </c>
      <c r="AW193" s="21">
        <f>EXP(-LN(2)/2)*AW192+(1-EXP(-LN(2)/2))/(LN(2)/2)*AQ193*AT193*VLOOKUP('Données projet'!$B$10,Paramètres!$A$1:$I$89,3,0)*0.475*44/12</f>
        <v>2.8270537130867631E-25</v>
      </c>
      <c r="AX193" s="21">
        <f t="shared" si="166"/>
        <v>1.306633676965216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1.1368683772161603E-12</v>
      </c>
      <c r="BE193" s="13">
        <f>BD193*VLOOKUP('Données projet'!$B$11,Paramètres!$A$1:$I$89,3,0)*VLOOKUP('Données projet'!$B$11,Paramètres!$A$1:$I$89,5,0)</f>
        <v>5.3205440053716299E-13</v>
      </c>
      <c r="BF193" s="13">
        <f t="shared" si="167"/>
        <v>6.579711042921201E-12</v>
      </c>
      <c r="BG193" s="20">
        <f t="shared" si="168"/>
        <v>1.2386324814023317E-11</v>
      </c>
      <c r="BH193" s="59">
        <f t="shared" si="116"/>
        <v>293.33333333334571</v>
      </c>
      <c r="BI193" s="59">
        <f ca="1">AVERAGE(OFFSET($BH$3,0,0,'Données projet'!$E$11+1,1))-AVERAGE(OFFSET($H$3,0,0,'Données projet'!$E$11+1,1))</f>
        <v>183.67580045784649</v>
      </c>
      <c r="BJ193" s="59">
        <f t="shared" si="146"/>
        <v>121.08269345608767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45.31618816308211</v>
      </c>
      <c r="BQ193" s="21">
        <f>EXP(-LN(2)/25)*BQ192+(1-EXP(-LN(2)/25))/(LN(2)/25)*Calculateur!BL193*Calculateur!BN193*VLOOKUP('Données projet'!$B$11,Paramètres!$A$1:$I$89,3,0)*0.475*44/12</f>
        <v>6.7814404541180942</v>
      </c>
      <c r="BR193" s="21">
        <f>EXP(-LN(2)/2)*BR192+(1-EXP(-LN(2)/2))/(LN(2)/2)*BL193*BO193*VLOOKUP('Données projet'!$B$11,Paramètres!$A$1:$I$89,3,0)*0.475*44/12</f>
        <v>2.4516509393498059E-8</v>
      </c>
      <c r="BS193" s="22">
        <f t="shared" si="169"/>
        <v>52.09762864171671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212.00000000000009</v>
      </c>
      <c r="BZ193" s="13">
        <f>BY193*VLOOKUP('Données projet'!$B$12,Paramètres!$A$1:$I$89,3,0)*VLOOKUP('Données projet'!$B$12,Paramètres!$A$1:$I$89,5,0)</f>
        <v>185.20320000000009</v>
      </c>
      <c r="CA193" s="13">
        <f t="shared" si="170"/>
        <v>46.477875402099386</v>
      </c>
      <c r="CB193" s="20">
        <f t="shared" si="171"/>
        <v>403.5112063253232</v>
      </c>
      <c r="CC193" s="59">
        <f t="shared" si="119"/>
        <v>696.84453965865646</v>
      </c>
      <c r="CD193" s="59">
        <f ca="1">AVERAGE(OFFSET($CC$3,0,0,'Données projet'!$E$12+1,1))-AVERAGE(OFFSET($H$3,0,0,'Données projet'!$E$12+1,1))</f>
        <v>216.10252108537389</v>
      </c>
      <c r="CE193" s="59">
        <f t="shared" si="148"/>
        <v>196.91968622092054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2.5125514988791084</v>
      </c>
      <c r="CL193" s="21">
        <f>EXP(-LN(2)/25)*CL192+(1-EXP(-LN(2)/25))/(LN(2)/25)*Calculateur!CG193*Calculateur!CI193*VLOOKUP('Données projet'!$B$12,Paramètres!$A$1:$I$89,3,0)*0.475*44/12</f>
        <v>1.1535075605018443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3.6660590593809528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-5.4001247917767614E-13</v>
      </c>
      <c r="CU193" s="17">
        <f>CT193*VLOOKUP('Données projet'!$B$13,Paramètres!$A$1:$I$89,3,0)*VLOOKUP('Données projet'!$B$13,Paramètres!$A$1:$I$89,5,0)</f>
        <v>-4.8860329115996133E-13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318.01858325056168</v>
      </c>
      <c r="CZ193" s="59">
        <f t="shared" si="150"/>
        <v>119.46953274700951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175.52595541919385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175.52595541919385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89.388000000000432</v>
      </c>
      <c r="D194" s="11">
        <f t="shared" si="140"/>
        <v>24.417566768444267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878.49911189676607</v>
      </c>
      <c r="H194" s="67">
        <f t="shared" si="110"/>
        <v>491.54469545504116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200.15574321350221</v>
      </c>
      <c r="T194" s="59">
        <f t="shared" si="142"/>
        <v>200.70728852570426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9.6895019514682428</v>
      </c>
      <c r="AA194" s="21">
        <f>EXP(-LN(2)/25)*AA193+(1-EXP(-LN(2)/25))/(LN(2)/25)*Calculateur!V194*Calculateur!X194*VLOOKUP('Données projet'!$B$9,Paramètres!$A$1:$I$89,3,0)*0.475*44/12</f>
        <v>0.9562449082700657</v>
      </c>
      <c r="AB194" s="21">
        <f>EXP(-LN(2)/2)*AB193+(1-EXP(-LN(2)/2))/(LN(2)/2)*V194*Y194*VLOOKUP('Données projet'!$B$9,Paramètres!$A$1:$I$89,3,0)*0.475*44/12</f>
        <v>6.1260531460165201E-19</v>
      </c>
      <c r="AC194" s="22">
        <f t="shared" si="163"/>
        <v>10.645746859738308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45.407317338461951</v>
      </c>
      <c r="AO194" s="59">
        <f t="shared" si="144"/>
        <v>149.88701606165358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1.213634712775427</v>
      </c>
      <c r="AV194" s="21">
        <f>EXP(-LN(2)/25)*AV193+(1-EXP(-LN(2)/25))/(LN(2)/25)*Calculateur!AQ194*Calculateur!AS194*VLOOKUP('Données projet'!$B$10,Paramètres!$A$1:$I$89,3,0)*0.475*44/12</f>
        <v>6.6845046631043903E-2</v>
      </c>
      <c r="AW194" s="21">
        <f>EXP(-LN(2)/2)*AW193+(1-EXP(-LN(2)/2))/(LN(2)/2)*AQ194*AT194*VLOOKUP('Données projet'!$B$10,Paramètres!$A$1:$I$89,3,0)*0.475*44/12</f>
        <v>1.9990288513022585E-25</v>
      </c>
      <c r="AX194" s="21">
        <f t="shared" si="166"/>
        <v>1.280479759406471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1.1368683772161603E-12</v>
      </c>
      <c r="BE194" s="13">
        <f>BD194*VLOOKUP('Données projet'!$B$11,Paramètres!$A$1:$I$89,3,0)*VLOOKUP('Données projet'!$B$11,Paramètres!$A$1:$I$89,5,0)</f>
        <v>5.3205440053716299E-13</v>
      </c>
      <c r="BF194" s="13">
        <f t="shared" si="167"/>
        <v>6.579711042921201E-12</v>
      </c>
      <c r="BG194" s="20">
        <f t="shared" si="168"/>
        <v>1.2386324814023317E-11</v>
      </c>
      <c r="BH194" s="59">
        <f t="shared" si="116"/>
        <v>293.33333333334571</v>
      </c>
      <c r="BI194" s="59">
        <f ca="1">AVERAGE(OFFSET($BH$3,0,0,'Données projet'!$E$11+1,1))-AVERAGE(OFFSET($H$3,0,0,'Données projet'!$E$11+1,1))</f>
        <v>183.67580045784649</v>
      </c>
      <c r="BJ194" s="59">
        <f t="shared" si="146"/>
        <v>121.08269345608767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44.427565353349614</v>
      </c>
      <c r="BQ194" s="21">
        <f>EXP(-LN(2)/25)*BQ193+(1-EXP(-LN(2)/25))/(LN(2)/25)*Calculateur!BL194*Calculateur!BN194*VLOOKUP('Données projet'!$B$11,Paramètres!$A$1:$I$89,3,0)*0.475*44/12</f>
        <v>6.5960016082797805</v>
      </c>
      <c r="BR194" s="21">
        <f>EXP(-LN(2)/2)*BR193+(1-EXP(-LN(2)/2))/(LN(2)/2)*BL194*BO194*VLOOKUP('Données projet'!$B$11,Paramètres!$A$1:$I$89,3,0)*0.475*44/12</f>
        <v>1.7335790043166169E-8</v>
      </c>
      <c r="BS194" s="22">
        <f t="shared" si="169"/>
        <v>51.023566978965185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212.00000000000009</v>
      </c>
      <c r="BZ194" s="13">
        <f>BY194*VLOOKUP('Données projet'!$B$12,Paramètres!$A$1:$I$89,3,0)*VLOOKUP('Données projet'!$B$12,Paramètres!$A$1:$I$89,5,0)</f>
        <v>185.20320000000009</v>
      </c>
      <c r="CA194" s="13">
        <f t="shared" si="170"/>
        <v>46.477875402099386</v>
      </c>
      <c r="CB194" s="20">
        <f t="shared" si="171"/>
        <v>403.5112063253232</v>
      </c>
      <c r="CC194" s="59">
        <f t="shared" si="119"/>
        <v>696.84453965865646</v>
      </c>
      <c r="CD194" s="59">
        <f ca="1">AVERAGE(OFFSET($CC$3,0,0,'Données projet'!$E$12+1,1))-AVERAGE(OFFSET($H$3,0,0,'Données projet'!$E$12+1,1))</f>
        <v>216.10252108537389</v>
      </c>
      <c r="CE194" s="59">
        <f t="shared" si="148"/>
        <v>196.91968622092054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2.4632818964911811</v>
      </c>
      <c r="CL194" s="21">
        <f>EXP(-LN(2)/25)*CL193+(1-EXP(-LN(2)/25))/(LN(2)/25)*Calculateur!CG194*Calculateur!CI194*VLOOKUP('Données projet'!$B$12,Paramètres!$A$1:$I$89,3,0)*0.475*44/12</f>
        <v>1.1219648355995953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3.5852467320907762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-5.4001247917767614E-13</v>
      </c>
      <c r="CU194" s="17">
        <f>CT194*VLOOKUP('Données projet'!$B$13,Paramètres!$A$1:$I$89,3,0)*VLOOKUP('Données projet'!$B$13,Paramètres!$A$1:$I$89,5,0)</f>
        <v>-4.8860329115996133E-13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318.01858325056168</v>
      </c>
      <c r="CZ194" s="59">
        <f t="shared" si="150"/>
        <v>119.46953274700951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172.08399849368493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172.08399849368493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89.856000000000435</v>
      </c>
      <c r="D195" s="11">
        <f t="shared" si="140"/>
        <v>24.530492425499521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882.98345030210487</v>
      </c>
      <c r="H195" s="67">
        <f t="shared" si="110"/>
        <v>492.5564743077457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200.15574321350221</v>
      </c>
      <c r="T195" s="59">
        <f t="shared" si="142"/>
        <v>200.70728852570426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9.4994967282125753</v>
      </c>
      <c r="AA195" s="21">
        <f>EXP(-LN(2)/25)*AA194+(1-EXP(-LN(2)/25))/(LN(2)/25)*Calculateur!V195*Calculateur!X195*VLOOKUP('Données projet'!$B$9,Paramètres!$A$1:$I$89,3,0)*0.475*44/12</f>
        <v>0.93009634096668659</v>
      </c>
      <c r="AB195" s="21">
        <f>EXP(-LN(2)/2)*AB194+(1-EXP(-LN(2)/2))/(LN(2)/2)*V195*Y195*VLOOKUP('Données projet'!$B$9,Paramètres!$A$1:$I$89,3,0)*0.475*44/12</f>
        <v>4.331773721457465E-19</v>
      </c>
      <c r="AC195" s="22">
        <f t="shared" si="163"/>
        <v>10.429593069179262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45.407317338461951</v>
      </c>
      <c r="AO195" s="59">
        <f t="shared" si="144"/>
        <v>149.88701606165358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1.1898360763019826</v>
      </c>
      <c r="AV195" s="21">
        <f>EXP(-LN(2)/25)*AV194+(1-EXP(-LN(2)/25))/(LN(2)/25)*Calculateur!AQ195*Calculateur!AS195*VLOOKUP('Données projet'!$B$10,Paramètres!$A$1:$I$89,3,0)*0.475*44/12</f>
        <v>6.5017165315689782E-2</v>
      </c>
      <c r="AW195" s="21">
        <f>EXP(-LN(2)/2)*AW194+(1-EXP(-LN(2)/2))/(LN(2)/2)*AQ195*AT195*VLOOKUP('Données projet'!$B$10,Paramètres!$A$1:$I$89,3,0)*0.475*44/12</f>
        <v>1.4135268565433815E-25</v>
      </c>
      <c r="AX195" s="21">
        <f t="shared" si="166"/>
        <v>1.2548532416176723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1.1368683772161603E-12</v>
      </c>
      <c r="BE195" s="13">
        <f>BD195*VLOOKUP('Données projet'!$B$11,Paramètres!$A$1:$I$89,3,0)*VLOOKUP('Données projet'!$B$11,Paramètres!$A$1:$I$89,5,0)</f>
        <v>5.3205440053716299E-13</v>
      </c>
      <c r="BF195" s="13">
        <f t="shared" si="167"/>
        <v>6.579711042921201E-12</v>
      </c>
      <c r="BG195" s="20">
        <f t="shared" si="168"/>
        <v>1.2386324814023317E-11</v>
      </c>
      <c r="BH195" s="59">
        <f t="shared" si="116"/>
        <v>293.33333333334571</v>
      </c>
      <c r="BI195" s="59">
        <f ca="1">AVERAGE(OFFSET($BH$3,0,0,'Données projet'!$E$11+1,1))-AVERAGE(OFFSET($H$3,0,0,'Données projet'!$E$11+1,1))</f>
        <v>183.67580045784649</v>
      </c>
      <c r="BJ195" s="59">
        <f t="shared" si="146"/>
        <v>121.08269345608767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43.556367894909577</v>
      </c>
      <c r="BQ195" s="21">
        <f>EXP(-LN(2)/25)*BQ194+(1-EXP(-LN(2)/25))/(LN(2)/25)*Calculateur!BL195*Calculateur!BN195*VLOOKUP('Données projet'!$B$11,Paramètres!$A$1:$I$89,3,0)*0.475*44/12</f>
        <v>6.4156335974327208</v>
      </c>
      <c r="BR195" s="21">
        <f>EXP(-LN(2)/2)*BR194+(1-EXP(-LN(2)/2))/(LN(2)/2)*BL195*BO195*VLOOKUP('Données projet'!$B$11,Paramètres!$A$1:$I$89,3,0)*0.475*44/12</f>
        <v>1.2258254696749029E-8</v>
      </c>
      <c r="BS195" s="22">
        <f t="shared" si="169"/>
        <v>49.972001504600556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212.00000000000009</v>
      </c>
      <c r="BZ195" s="13">
        <f>BY195*VLOOKUP('Données projet'!$B$12,Paramètres!$A$1:$I$89,3,0)*VLOOKUP('Données projet'!$B$12,Paramètres!$A$1:$I$89,5,0)</f>
        <v>185.20320000000009</v>
      </c>
      <c r="CA195" s="13">
        <f t="shared" si="170"/>
        <v>46.477875402099386</v>
      </c>
      <c r="CB195" s="20">
        <f t="shared" si="171"/>
        <v>403.5112063253232</v>
      </c>
      <c r="CC195" s="59">
        <f t="shared" si="119"/>
        <v>696.84453965865646</v>
      </c>
      <c r="CD195" s="59">
        <f ca="1">AVERAGE(OFFSET($CC$3,0,0,'Données projet'!$E$12+1,1))-AVERAGE(OFFSET($H$3,0,0,'Données projet'!$E$12+1,1))</f>
        <v>216.10252108537389</v>
      </c>
      <c r="CE195" s="59">
        <f t="shared" si="148"/>
        <v>196.91968622092054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2.4149784409545911</v>
      </c>
      <c r="CL195" s="21">
        <f>EXP(-LN(2)/25)*CL194+(1-EXP(-LN(2)/25))/(LN(2)/25)*Calculateur!CG195*Calculateur!CI195*VLOOKUP('Données projet'!$B$12,Paramètres!$A$1:$I$89,3,0)*0.475*44/12</f>
        <v>1.0912846481685579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3.506263089123149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-5.4001247917767614E-13</v>
      </c>
      <c r="CU195" s="17">
        <f>CT195*VLOOKUP('Données projet'!$B$13,Paramètres!$A$1:$I$89,3,0)*VLOOKUP('Données projet'!$B$13,Paramètres!$A$1:$I$89,5,0)</f>
        <v>-4.8860329115996133E-13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318.01858325056168</v>
      </c>
      <c r="CZ195" s="59">
        <f t="shared" si="150"/>
        <v>119.46953274700951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168.70953624409881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168.70953624409881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90.324000000000439</v>
      </c>
      <c r="D196" s="11">
        <f t="shared" si="140"/>
        <v>24.643349641795954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887.4672603928143</v>
      </c>
      <c r="H196" s="67">
        <f t="shared" ref="H196:H203" si="192">(B196+E196+F196)*44/12+(C196+D196)*0.475*44/12</f>
        <v>493.56813395946199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200.15574321350221</v>
      </c>
      <c r="T196" s="59">
        <f t="shared" si="142"/>
        <v>200.70728852570426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9.3132173914932093</v>
      </c>
      <c r="AA196" s="21">
        <f>EXP(-LN(2)/25)*AA195+(1-EXP(-LN(2)/25))/(LN(2)/25)*Calculateur!V196*Calculateur!X196*VLOOKUP('Données projet'!$B$9,Paramètres!$A$1:$I$89,3,0)*0.475*44/12</f>
        <v>0.90466280761131168</v>
      </c>
      <c r="AB196" s="21">
        <f>EXP(-LN(2)/2)*AB195+(1-EXP(-LN(2)/2))/(LN(2)/2)*V196*Y196*VLOOKUP('Données projet'!$B$9,Paramètres!$A$1:$I$89,3,0)*0.475*44/12</f>
        <v>3.0630265730082605E-19</v>
      </c>
      <c r="AC196" s="22">
        <f t="shared" si="163"/>
        <v>10.21788019910452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45.407317338461951</v>
      </c>
      <c r="AO196" s="59">
        <f t="shared" si="144"/>
        <v>149.88701606165358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1.1665041165740475</v>
      </c>
      <c r="AV196" s="21">
        <f>EXP(-LN(2)/25)*AV195+(1-EXP(-LN(2)/25))/(LN(2)/25)*Calculateur!AQ196*Calculateur!AS196*VLOOKUP('Données projet'!$B$10,Paramètres!$A$1:$I$89,3,0)*0.475*44/12</f>
        <v>6.3239267511028124E-2</v>
      </c>
      <c r="AW196" s="21">
        <f>EXP(-LN(2)/2)*AW195+(1-EXP(-LN(2)/2))/(LN(2)/2)*AQ196*AT196*VLOOKUP('Données projet'!$B$10,Paramètres!$A$1:$I$89,3,0)*0.475*44/12</f>
        <v>9.9951442565112925E-26</v>
      </c>
      <c r="AX196" s="21">
        <f t="shared" si="166"/>
        <v>1.2297433840850756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1.1368683772161603E-12</v>
      </c>
      <c r="BE196" s="13">
        <f>BD196*VLOOKUP('Données projet'!$B$11,Paramètres!$A$1:$I$89,3,0)*VLOOKUP('Données projet'!$B$11,Paramètres!$A$1:$I$89,5,0)</f>
        <v>5.3205440053716299E-13</v>
      </c>
      <c r="BF196" s="13">
        <f t="shared" si="167"/>
        <v>6.579711042921201E-12</v>
      </c>
      <c r="BG196" s="20">
        <f t="shared" si="168"/>
        <v>1.2386324814023317E-11</v>
      </c>
      <c r="BH196" s="59">
        <f t="shared" ref="BH196:BH203" si="194">BG196+(AY196+AZ196)*44/12</f>
        <v>293.33333333334571</v>
      </c>
      <c r="BI196" s="59">
        <f ca="1">AVERAGE(OFFSET($BH$3,0,0,'Données projet'!$E$11+1,1))-AVERAGE(OFFSET($H$3,0,0,'Données projet'!$E$11+1,1))</f>
        <v>183.67580045784649</v>
      </c>
      <c r="BJ196" s="59">
        <f t="shared" si="146"/>
        <v>121.08269345608767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42.702254087251568</v>
      </c>
      <c r="BQ196" s="21">
        <f>EXP(-LN(2)/25)*BQ195+(1-EXP(-LN(2)/25))/(LN(2)/25)*Calculateur!BL196*Calculateur!BN196*VLOOKUP('Données projet'!$B$11,Paramètres!$A$1:$I$89,3,0)*0.475*44/12</f>
        <v>6.2401977593274154</v>
      </c>
      <c r="BR196" s="21">
        <f>EXP(-LN(2)/2)*BR195+(1-EXP(-LN(2)/2))/(LN(2)/2)*BL196*BO196*VLOOKUP('Données projet'!$B$11,Paramètres!$A$1:$I$89,3,0)*0.475*44/12</f>
        <v>8.6678950215830843E-9</v>
      </c>
      <c r="BS196" s="22">
        <f t="shared" si="169"/>
        <v>48.94245185524688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212.00000000000009</v>
      </c>
      <c r="BZ196" s="13">
        <f>BY196*VLOOKUP('Données projet'!$B$12,Paramètres!$A$1:$I$89,3,0)*VLOOKUP('Données projet'!$B$12,Paramètres!$A$1:$I$89,5,0)</f>
        <v>185.20320000000009</v>
      </c>
      <c r="CA196" s="13">
        <f t="shared" si="170"/>
        <v>46.477875402099386</v>
      </c>
      <c r="CB196" s="20">
        <f t="shared" si="171"/>
        <v>403.5112063253232</v>
      </c>
      <c r="CC196" s="59">
        <f t="shared" ref="CC196:CC203" si="195">CB196+(BT196+BU196)*44/12</f>
        <v>696.84453965865646</v>
      </c>
      <c r="CD196" s="59">
        <f ca="1">AVERAGE(OFFSET($CC$3,0,0,'Données projet'!$E$12+1,1))-AVERAGE(OFFSET($H$3,0,0,'Données projet'!$E$12+1,1))</f>
        <v>216.10252108537389</v>
      </c>
      <c r="CE196" s="59">
        <f t="shared" si="148"/>
        <v>196.91968622092054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2.3676221867188749</v>
      </c>
      <c r="CL196" s="21">
        <f>EXP(-LN(2)/25)*CL195+(1-EXP(-LN(2)/25))/(LN(2)/25)*Calculateur!CG196*Calculateur!CI196*VLOOKUP('Données projet'!$B$12,Paramètres!$A$1:$I$89,3,0)*0.475*44/12</f>
        <v>1.0614434120762231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3.429065598795098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-5.4001247917767614E-13</v>
      </c>
      <c r="CU196" s="17">
        <f>CT196*VLOOKUP('Données projet'!$B$13,Paramètres!$A$1:$I$89,3,0)*VLOOKUP('Données projet'!$B$13,Paramètres!$A$1:$I$89,5,0)</f>
        <v>-4.8860329115996133E-13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318.01858325056168</v>
      </c>
      <c r="CZ196" s="59">
        <f t="shared" si="150"/>
        <v>119.46953274700951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165.40124514100836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165.40124514100836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90.792000000000442</v>
      </c>
      <c r="D197" s="11">
        <f t="shared" ref="D197:D203" si="202">IFERROR(EXP(-1.0587+0.8836*LN(C197)+0.284),0)</f>
        <v>24.756138813110294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891.95054522401279</v>
      </c>
      <c r="H197" s="67">
        <f t="shared" si="192"/>
        <v>494.57967509950117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200.15574321350221</v>
      </c>
      <c r="T197" s="59">
        <f t="shared" ref="T197:T203" si="204">$T$3</f>
        <v>200.70728852570426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9.1305908789477339</v>
      </c>
      <c r="AA197" s="21">
        <f>EXP(-LN(2)/25)*AA196+(1-EXP(-LN(2)/25))/(LN(2)/25)*Calculateur!V197*Calculateur!X197*VLOOKUP('Données projet'!$B$9,Paramètres!$A$1:$I$89,3,0)*0.475*44/12</f>
        <v>0.87992475556303096</v>
      </c>
      <c r="AB197" s="21">
        <f>EXP(-LN(2)/2)*AB196+(1-EXP(-LN(2)/2))/(LN(2)/2)*V197*Y197*VLOOKUP('Données projet'!$B$9,Paramètres!$A$1:$I$89,3,0)*0.475*44/12</f>
        <v>2.1658868607287327E-19</v>
      </c>
      <c r="AC197" s="22">
        <f t="shared" si="163"/>
        <v>10.010515634510766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45.407317338461951</v>
      </c>
      <c r="AO197" s="59">
        <f t="shared" ref="AO197:AO203" si="205">$AO$3</f>
        <v>149.88701606165358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1.1436296823452869</v>
      </c>
      <c r="AV197" s="21">
        <f>EXP(-LN(2)/25)*AV196+(1-EXP(-LN(2)/25))/(LN(2)/25)*Calculateur!AQ197*Calculateur!AS197*VLOOKUP('Données projet'!$B$10,Paramètres!$A$1:$I$89,3,0)*0.475*44/12</f>
        <v>6.1509986415330516E-2</v>
      </c>
      <c r="AW197" s="21">
        <f>EXP(-LN(2)/2)*AW196+(1-EXP(-LN(2)/2))/(LN(2)/2)*AQ197*AT197*VLOOKUP('Données projet'!$B$10,Paramètres!$A$1:$I$89,3,0)*0.475*44/12</f>
        <v>7.0676342827169077E-26</v>
      </c>
      <c r="AX197" s="21">
        <f t="shared" si="166"/>
        <v>1.2051396687606175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1.1368683772161603E-12</v>
      </c>
      <c r="BE197" s="13">
        <f>BD197*VLOOKUP('Données projet'!$B$11,Paramètres!$A$1:$I$89,3,0)*VLOOKUP('Données projet'!$B$11,Paramètres!$A$1:$I$89,5,0)</f>
        <v>5.3205440053716299E-13</v>
      </c>
      <c r="BF197" s="13">
        <f t="shared" si="167"/>
        <v>6.579711042921201E-12</v>
      </c>
      <c r="BG197" s="20">
        <f t="shared" si="168"/>
        <v>1.2386324814023317E-11</v>
      </c>
      <c r="BH197" s="59">
        <f t="shared" si="194"/>
        <v>293.33333333334571</v>
      </c>
      <c r="BI197" s="59">
        <f ca="1">AVERAGE(OFFSET($BH$3,0,0,'Données projet'!$E$11+1,1))-AVERAGE(OFFSET($H$3,0,0,'Données projet'!$E$11+1,1))</f>
        <v>183.67580045784649</v>
      </c>
      <c r="BJ197" s="59">
        <f t="shared" ref="BJ197:BJ203" si="206">$BJ$3</f>
        <v>121.08269345608767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41.864888930403751</v>
      </c>
      <c r="BQ197" s="21">
        <f>EXP(-LN(2)/25)*BQ196+(1-EXP(-LN(2)/25))/(LN(2)/25)*Calculateur!BL197*Calculateur!BN197*VLOOKUP('Données projet'!$B$11,Paramètres!$A$1:$I$89,3,0)*0.475*44/12</f>
        <v>6.0695592234408693</v>
      </c>
      <c r="BR197" s="21">
        <f>EXP(-LN(2)/2)*BR196+(1-EXP(-LN(2)/2))/(LN(2)/2)*BL197*BO197*VLOOKUP('Données projet'!$B$11,Paramètres!$A$1:$I$89,3,0)*0.475*44/12</f>
        <v>6.1291273483745147E-9</v>
      </c>
      <c r="BS197" s="22">
        <f t="shared" si="169"/>
        <v>47.934448159973748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212.00000000000009</v>
      </c>
      <c r="BZ197" s="13">
        <f>BY197*VLOOKUP('Données projet'!$B$12,Paramètres!$A$1:$I$89,3,0)*VLOOKUP('Données projet'!$B$12,Paramètres!$A$1:$I$89,5,0)</f>
        <v>185.20320000000009</v>
      </c>
      <c r="CA197" s="13">
        <f t="shared" si="170"/>
        <v>46.477875402099386</v>
      </c>
      <c r="CB197" s="20">
        <f t="shared" si="171"/>
        <v>403.5112063253232</v>
      </c>
      <c r="CC197" s="59">
        <f t="shared" si="195"/>
        <v>696.84453965865646</v>
      </c>
      <c r="CD197" s="59">
        <f ca="1">AVERAGE(OFFSET($CC$3,0,0,'Données projet'!$E$12+1,1))-AVERAGE(OFFSET($H$3,0,0,'Données projet'!$E$12+1,1))</f>
        <v>216.10252108537389</v>
      </c>
      <c r="CE197" s="59">
        <f t="shared" ref="CE197:CE203" si="207">$CE$3</f>
        <v>196.91968622092054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2.3211945597442578</v>
      </c>
      <c r="CL197" s="21">
        <f>EXP(-LN(2)/25)*CL196+(1-EXP(-LN(2)/25))/(LN(2)/25)*Calculateur!CG197*Calculateur!CI197*VLOOKUP('Données projet'!$B$12,Paramètres!$A$1:$I$89,3,0)*0.475*44/12</f>
        <v>1.0324181861541157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3.3536127458983733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-5.4001247917767614E-13</v>
      </c>
      <c r="CU197" s="17">
        <f>CT197*VLOOKUP('Données projet'!$B$13,Paramètres!$A$1:$I$89,3,0)*VLOOKUP('Données projet'!$B$13,Paramètres!$A$1:$I$89,5,0)</f>
        <v>-4.8860329115996133E-13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318.01858325056168</v>
      </c>
      <c r="CZ197" s="59">
        <f t="shared" ref="CZ197:CZ203" si="208">$CZ$3</f>
        <v>119.46953274700951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162.15782760859116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162.15782760859116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91.260000000000446</v>
      </c>
      <c r="D198" s="11">
        <f t="shared" si="202"/>
        <v>24.868860330902901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896.43330781749955</v>
      </c>
      <c r="H198" s="67">
        <f t="shared" si="192"/>
        <v>495.59109840965664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200.15574321350221</v>
      </c>
      <c r="T198" s="59">
        <f t="shared" si="204"/>
        <v>200.70728852570426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8.9515455609221011</v>
      </c>
      <c r="AA198" s="21">
        <f>EXP(-LN(2)/25)*AA197+(1-EXP(-LN(2)/25))/(LN(2)/25)*Calculateur!V198*Calculateur!X198*VLOOKUP('Données projet'!$B$9,Paramètres!$A$1:$I$89,3,0)*0.475*44/12</f>
        <v>0.85586316684892805</v>
      </c>
      <c r="AB198" s="21">
        <f>EXP(-LN(2)/2)*AB197+(1-EXP(-LN(2)/2))/(LN(2)/2)*V198*Y198*VLOOKUP('Données projet'!$B$9,Paramètres!$A$1:$I$89,3,0)*0.475*44/12</f>
        <v>1.5315132865041305E-19</v>
      </c>
      <c r="AC198" s="22">
        <f t="shared" si="163"/>
        <v>9.8074087277710298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45.407317338461951</v>
      </c>
      <c r="AO198" s="59">
        <f t="shared" si="205"/>
        <v>149.88701606165358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1.1212038018197252</v>
      </c>
      <c r="AV198" s="21">
        <f>EXP(-LN(2)/25)*AV197+(1-EXP(-LN(2)/25))/(LN(2)/25)*Calculateur!AQ198*Calculateur!AS198*VLOOKUP('Données projet'!$B$10,Paramètres!$A$1:$I$89,3,0)*0.475*44/12</f>
        <v>5.9827992602133701E-2</v>
      </c>
      <c r="AW198" s="21">
        <f>EXP(-LN(2)/2)*AW197+(1-EXP(-LN(2)/2))/(LN(2)/2)*AQ198*AT198*VLOOKUP('Données projet'!$B$10,Paramètres!$A$1:$I$89,3,0)*0.475*44/12</f>
        <v>4.9975721282556463E-26</v>
      </c>
      <c r="AX198" s="21">
        <f t="shared" si="166"/>
        <v>1.1810317944218589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1.1368683772161603E-12</v>
      </c>
      <c r="BE198" s="13">
        <f>BD198*VLOOKUP('Données projet'!$B$11,Paramètres!$A$1:$I$89,3,0)*VLOOKUP('Données projet'!$B$11,Paramètres!$A$1:$I$89,5,0)</f>
        <v>5.3205440053716299E-13</v>
      </c>
      <c r="BF198" s="13">
        <f t="shared" si="167"/>
        <v>6.579711042921201E-12</v>
      </c>
      <c r="BG198" s="20">
        <f t="shared" si="168"/>
        <v>1.2386324814023317E-11</v>
      </c>
      <c r="BH198" s="59">
        <f t="shared" si="194"/>
        <v>293.33333333334571</v>
      </c>
      <c r="BI198" s="59">
        <f ca="1">AVERAGE(OFFSET($BH$3,0,0,'Données projet'!$E$11+1,1))-AVERAGE(OFFSET($H$3,0,0,'Données projet'!$E$11+1,1))</f>
        <v>183.67580045784649</v>
      </c>
      <c r="BJ198" s="59">
        <f t="shared" si="206"/>
        <v>121.08269345608767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41.043943993539401</v>
      </c>
      <c r="BQ198" s="21">
        <f>EXP(-LN(2)/25)*BQ197+(1-EXP(-LN(2)/25))/(LN(2)/25)*Calculateur!BL198*Calculateur!BN198*VLOOKUP('Données projet'!$B$11,Paramètres!$A$1:$I$89,3,0)*0.475*44/12</f>
        <v>5.9035868072916315</v>
      </c>
      <c r="BR198" s="21">
        <f>EXP(-LN(2)/2)*BR197+(1-EXP(-LN(2)/2))/(LN(2)/2)*BL198*BO198*VLOOKUP('Données projet'!$B$11,Paramètres!$A$1:$I$89,3,0)*0.475*44/12</f>
        <v>4.3339475107915421E-9</v>
      </c>
      <c r="BS198" s="22">
        <f t="shared" si="169"/>
        <v>46.94753080516498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212.00000000000009</v>
      </c>
      <c r="BZ198" s="13">
        <f>BY198*VLOOKUP('Données projet'!$B$12,Paramètres!$A$1:$I$89,3,0)*VLOOKUP('Données projet'!$B$12,Paramètres!$A$1:$I$89,5,0)</f>
        <v>185.20320000000009</v>
      </c>
      <c r="CA198" s="13">
        <f t="shared" si="170"/>
        <v>46.477875402099386</v>
      </c>
      <c r="CB198" s="20">
        <f t="shared" si="171"/>
        <v>403.5112063253232</v>
      </c>
      <c r="CC198" s="59">
        <f t="shared" si="195"/>
        <v>696.84453965865646</v>
      </c>
      <c r="CD198" s="59">
        <f ca="1">AVERAGE(OFFSET($CC$3,0,0,'Données projet'!$E$12+1,1))-AVERAGE(OFFSET($H$3,0,0,'Données projet'!$E$12+1,1))</f>
        <v>216.10252108537389</v>
      </c>
      <c r="CE198" s="59">
        <f t="shared" si="207"/>
        <v>196.91968622092054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2.275677350216557</v>
      </c>
      <c r="CL198" s="21">
        <f>EXP(-LN(2)/25)*CL197+(1-EXP(-LN(2)/25))/(LN(2)/25)*Calculateur!CG198*Calculateur!CI198*VLOOKUP('Données projet'!$B$12,Paramètres!$A$1:$I$89,3,0)*0.475*44/12</f>
        <v>1.0041866565612187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3.2798640067777756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-5.4001247917767614E-13</v>
      </c>
      <c r="CU198" s="17">
        <f>CT198*VLOOKUP('Données projet'!$B$13,Paramètres!$A$1:$I$89,3,0)*VLOOKUP('Données projet'!$B$13,Paramètres!$A$1:$I$89,5,0)</f>
        <v>-4.8860329115996133E-13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318.01858325056168</v>
      </c>
      <c r="CZ198" s="59">
        <f t="shared" si="208"/>
        <v>119.46953274700951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158.97801151569533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158.97801151569533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91.728000000000449</v>
      </c>
      <c r="D199" s="11">
        <f t="shared" si="202"/>
        <v>24.981514582386662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900.91555116228653</v>
      </c>
      <c r="H199" s="67">
        <f t="shared" si="192"/>
        <v>496.60240456432416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200.15574321350221</v>
      </c>
      <c r="T199" s="59">
        <f t="shared" si="204"/>
        <v>200.70728852570426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8.7760112123760905</v>
      </c>
      <c r="AA199" s="21">
        <f>EXP(-LN(2)/25)*AA198+(1-EXP(-LN(2)/25))/(LN(2)/25)*Calculateur!V199*Calculateur!X199*VLOOKUP('Données projet'!$B$9,Paramètres!$A$1:$I$89,3,0)*0.475*44/12</f>
        <v>0.83245954354355622</v>
      </c>
      <c r="AB199" s="21">
        <f>EXP(-LN(2)/2)*AB198+(1-EXP(-LN(2)/2))/(LN(2)/2)*V199*Y199*VLOOKUP('Données projet'!$B$9,Paramètres!$A$1:$I$89,3,0)*0.475*44/12</f>
        <v>1.0829434303643665E-19</v>
      </c>
      <c r="AC199" s="22">
        <f t="shared" si="163"/>
        <v>9.6084707559196474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45.407317338461951</v>
      </c>
      <c r="AO199" s="59">
        <f t="shared" si="205"/>
        <v>149.88701606165358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1.0992176791328332</v>
      </c>
      <c r="AV199" s="21">
        <f>EXP(-LN(2)/25)*AV198+(1-EXP(-LN(2)/25))/(LN(2)/25)*Calculateur!AQ199*Calculateur!AS199*VLOOKUP('Données projet'!$B$10,Paramètres!$A$1:$I$89,3,0)*0.475*44/12</f>
        <v>5.8191992998210963E-2</v>
      </c>
      <c r="AW199" s="21">
        <f>EXP(-LN(2)/2)*AW198+(1-EXP(-LN(2)/2))/(LN(2)/2)*AQ199*AT199*VLOOKUP('Données projet'!$B$10,Paramètres!$A$1:$I$89,3,0)*0.475*44/12</f>
        <v>3.5338171413584538E-26</v>
      </c>
      <c r="AX199" s="21">
        <f t="shared" si="166"/>
        <v>1.1574096721310441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1.1368683772161603E-12</v>
      </c>
      <c r="BE199" s="13">
        <f>BD199*VLOOKUP('Données projet'!$B$11,Paramètres!$A$1:$I$89,3,0)*VLOOKUP('Données projet'!$B$11,Paramètres!$A$1:$I$89,5,0)</f>
        <v>5.3205440053716299E-13</v>
      </c>
      <c r="BF199" s="13">
        <f t="shared" si="167"/>
        <v>6.579711042921201E-12</v>
      </c>
      <c r="BG199" s="20">
        <f t="shared" si="168"/>
        <v>1.2386324814023317E-11</v>
      </c>
      <c r="BH199" s="59">
        <f t="shared" si="194"/>
        <v>293.33333333334571</v>
      </c>
      <c r="BI199" s="59">
        <f ca="1">AVERAGE(OFFSET($BH$3,0,0,'Données projet'!$E$11+1,1))-AVERAGE(OFFSET($H$3,0,0,'Données projet'!$E$11+1,1))</f>
        <v>183.67580045784649</v>
      </c>
      <c r="BJ199" s="59">
        <f t="shared" si="206"/>
        <v>121.08269345608767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40.239097286159996</v>
      </c>
      <c r="BQ199" s="21">
        <f>EXP(-LN(2)/25)*BQ198+(1-EXP(-LN(2)/25))/(LN(2)/25)*Calculateur!BL199*Calculateur!BN199*VLOOKUP('Données projet'!$B$11,Paramètres!$A$1:$I$89,3,0)*0.475*44/12</f>
        <v>5.7421529155901041</v>
      </c>
      <c r="BR199" s="21">
        <f>EXP(-LN(2)/2)*BR198+(1-EXP(-LN(2)/2))/(LN(2)/2)*BL199*BO199*VLOOKUP('Données projet'!$B$11,Paramètres!$A$1:$I$89,3,0)*0.475*44/12</f>
        <v>3.0645636741872574E-9</v>
      </c>
      <c r="BS199" s="22">
        <f t="shared" si="169"/>
        <v>45.981250204814664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212.00000000000009</v>
      </c>
      <c r="BZ199" s="13">
        <f>BY199*VLOOKUP('Données projet'!$B$12,Paramètres!$A$1:$I$89,3,0)*VLOOKUP('Données projet'!$B$12,Paramètres!$A$1:$I$89,5,0)</f>
        <v>185.20320000000009</v>
      </c>
      <c r="CA199" s="13">
        <f t="shared" si="170"/>
        <v>46.477875402099386</v>
      </c>
      <c r="CB199" s="20">
        <f t="shared" si="171"/>
        <v>403.5112063253232</v>
      </c>
      <c r="CC199" s="59">
        <f t="shared" si="195"/>
        <v>696.84453965865646</v>
      </c>
      <c r="CD199" s="59">
        <f ca="1">AVERAGE(OFFSET($CC$3,0,0,'Données projet'!$E$12+1,1))-AVERAGE(OFFSET($H$3,0,0,'Données projet'!$E$12+1,1))</f>
        <v>216.10252108537389</v>
      </c>
      <c r="CE199" s="59">
        <f t="shared" si="207"/>
        <v>196.91968622092054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2.2310527054049376</v>
      </c>
      <c r="CL199" s="21">
        <f>EXP(-LN(2)/25)*CL198+(1-EXP(-LN(2)/25))/(LN(2)/25)*Calculateur!CG199*Calculateur!CI199*VLOOKUP('Données projet'!$B$12,Paramètres!$A$1:$I$89,3,0)*0.475*44/12</f>
        <v>0.97672711962967107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3.2077798250346086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-5.4001247917767614E-13</v>
      </c>
      <c r="CU199" s="17">
        <f>CT199*VLOOKUP('Données projet'!$B$13,Paramètres!$A$1:$I$89,3,0)*VLOOKUP('Données projet'!$B$13,Paramètres!$A$1:$I$89,5,0)</f>
        <v>-4.8860329115996133E-13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318.01858325056168</v>
      </c>
      <c r="CZ199" s="59">
        <f t="shared" si="208"/>
        <v>119.46953274700951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155.86054967688486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155.86054967688486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92.196000000000453</v>
      </c>
      <c r="D200" s="11">
        <f t="shared" si="202"/>
        <v>25.094101950594609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905.39727821511985</v>
      </c>
      <c r="H200" s="67">
        <f t="shared" si="192"/>
        <v>497.6135942306197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200.15574321350221</v>
      </c>
      <c r="T200" s="59">
        <f t="shared" si="204"/>
        <v>200.70728852570426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8.6039189853396856</v>
      </c>
      <c r="AA200" s="21">
        <f>EXP(-LN(2)/25)*AA199+(1-EXP(-LN(2)/25))/(LN(2)/25)*Calculateur!V200*Calculateur!X200*VLOOKUP('Données projet'!$B$9,Paramètres!$A$1:$I$89,3,0)*0.475*44/12</f>
        <v>0.80969589354821292</v>
      </c>
      <c r="AB200" s="21">
        <f>EXP(-LN(2)/2)*AB199+(1-EXP(-LN(2)/2))/(LN(2)/2)*V200*Y200*VLOOKUP('Données projet'!$B$9,Paramètres!$A$1:$I$89,3,0)*0.475*44/12</f>
        <v>7.6575664325206537E-20</v>
      </c>
      <c r="AC200" s="22">
        <f t="shared" si="163"/>
        <v>9.4136148788878984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45.407317338461951</v>
      </c>
      <c r="AO200" s="59">
        <f t="shared" si="205"/>
        <v>149.88701606165358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1.0776626909016205</v>
      </c>
      <c r="AV200" s="21">
        <f>EXP(-LN(2)/25)*AV199+(1-EXP(-LN(2)/25))/(LN(2)/25)*Calculateur!AQ200*Calculateur!AS200*VLOOKUP('Données projet'!$B$10,Paramètres!$A$1:$I$89,3,0)*0.475*44/12</f>
        <v>5.6600729889490969E-2</v>
      </c>
      <c r="AW200" s="21">
        <f>EXP(-LN(2)/2)*AW199+(1-EXP(-LN(2)/2))/(LN(2)/2)*AQ200*AT200*VLOOKUP('Données projet'!$B$10,Paramètres!$A$1:$I$89,3,0)*0.475*44/12</f>
        <v>2.4987860641278231E-26</v>
      </c>
      <c r="AX200" s="21">
        <f t="shared" si="166"/>
        <v>1.1342634207911115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1.1368683772161603E-12</v>
      </c>
      <c r="BE200" s="13">
        <f>BD200*VLOOKUP('Données projet'!$B$11,Paramètres!$A$1:$I$89,3,0)*VLOOKUP('Données projet'!$B$11,Paramètres!$A$1:$I$89,5,0)</f>
        <v>5.3205440053716299E-13</v>
      </c>
      <c r="BF200" s="13">
        <f t="shared" si="167"/>
        <v>6.579711042921201E-12</v>
      </c>
      <c r="BG200" s="20">
        <f t="shared" si="168"/>
        <v>1.2386324814023317E-11</v>
      </c>
      <c r="BH200" s="59">
        <f t="shared" si="194"/>
        <v>293.33333333334571</v>
      </c>
      <c r="BI200" s="59">
        <f ca="1">AVERAGE(OFFSET($BH$3,0,0,'Données projet'!$E$11+1,1))-AVERAGE(OFFSET($H$3,0,0,'Données projet'!$E$11+1,1))</f>
        <v>183.67580045784649</v>
      </c>
      <c r="BJ200" s="59">
        <f t="shared" si="206"/>
        <v>121.08269345608767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39.450033131804283</v>
      </c>
      <c r="BQ200" s="21">
        <f>EXP(-LN(2)/25)*BQ199+(1-EXP(-LN(2)/25))/(LN(2)/25)*Calculateur!BL200*Calculateur!BN200*VLOOKUP('Données projet'!$B$11,Paramètres!$A$1:$I$89,3,0)*0.475*44/12</f>
        <v>5.5851334421465948</v>
      </c>
      <c r="BR200" s="21">
        <f>EXP(-LN(2)/2)*BR199+(1-EXP(-LN(2)/2))/(LN(2)/2)*BL200*BO200*VLOOKUP('Données projet'!$B$11,Paramètres!$A$1:$I$89,3,0)*0.475*44/12</f>
        <v>2.1669737553957711E-9</v>
      </c>
      <c r="BS200" s="22">
        <f t="shared" si="169"/>
        <v>45.035166576117845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212.00000000000009</v>
      </c>
      <c r="BZ200" s="13">
        <f>BY200*VLOOKUP('Données projet'!$B$12,Paramètres!$A$1:$I$89,3,0)*VLOOKUP('Données projet'!$B$12,Paramètres!$A$1:$I$89,5,0)</f>
        <v>185.20320000000009</v>
      </c>
      <c r="CA200" s="13">
        <f t="shared" si="170"/>
        <v>46.477875402099386</v>
      </c>
      <c r="CB200" s="20">
        <f t="shared" si="171"/>
        <v>403.5112063253232</v>
      </c>
      <c r="CC200" s="59">
        <f t="shared" si="195"/>
        <v>696.84453965865646</v>
      </c>
      <c r="CD200" s="59">
        <f ca="1">AVERAGE(OFFSET($CC$3,0,0,'Données projet'!$E$12+1,1))-AVERAGE(OFFSET($H$3,0,0,'Données projet'!$E$12+1,1))</f>
        <v>216.10252108537389</v>
      </c>
      <c r="CE200" s="59">
        <f t="shared" si="207"/>
        <v>196.91968622092054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2.1873031226597286</v>
      </c>
      <c r="CL200" s="21">
        <f>EXP(-LN(2)/25)*CL199+(1-EXP(-LN(2)/25))/(LN(2)/25)*Calculateur!CG200*Calculateur!CI200*VLOOKUP('Données projet'!$B$12,Paramètres!$A$1:$I$89,3,0)*0.475*44/12</f>
        <v>0.9500184651795508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3.1373215878392795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-5.4001247917767614E-13</v>
      </c>
      <c r="CU200" s="17">
        <f>CT200*VLOOKUP('Données projet'!$B$13,Paramètres!$A$1:$I$89,3,0)*VLOOKUP('Données projet'!$B$13,Paramètres!$A$1:$I$89,5,0)</f>
        <v>-4.8860329115996133E-13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318.01858325056168</v>
      </c>
      <c r="CZ200" s="59">
        <f t="shared" si="208"/>
        <v>119.46953274700951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152.80421936326951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152.80421936326951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92.664000000000456</v>
      </c>
      <c r="D201" s="11">
        <f t="shared" si="202"/>
        <v>25.206622814445883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909.87849190098939</v>
      </c>
      <c r="H201" s="67">
        <f t="shared" si="192"/>
        <v>498.62466806849403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200.15574321350221</v>
      </c>
      <c r="T201" s="59">
        <f t="shared" si="204"/>
        <v>200.70728852570426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8.4352013819095717</v>
      </c>
      <c r="AA201" s="21">
        <f>EXP(-LN(2)/25)*AA200+(1-EXP(-LN(2)/25))/(LN(2)/25)*Calculateur!V201*Calculateur!X201*VLOOKUP('Données projet'!$B$9,Paramètres!$A$1:$I$89,3,0)*0.475*44/12</f>
        <v>0.78755471675908062</v>
      </c>
      <c r="AB201" s="21">
        <f>EXP(-LN(2)/2)*AB200+(1-EXP(-LN(2)/2))/(LN(2)/2)*V201*Y201*VLOOKUP('Données projet'!$B$9,Paramètres!$A$1:$I$89,3,0)*0.475*44/12</f>
        <v>5.4147171518218337E-20</v>
      </c>
      <c r="AC201" s="22">
        <f t="shared" si="163"/>
        <v>9.2227560986686523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45.407317338461951</v>
      </c>
      <c r="AO201" s="59">
        <f t="shared" si="205"/>
        <v>149.88701606165358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1.0565303828423773</v>
      </c>
      <c r="AV201" s="21">
        <f>EXP(-LN(2)/25)*AV200+(1-EXP(-LN(2)/25))/(LN(2)/25)*Calculateur!AQ201*Calculateur!AS201*VLOOKUP('Données projet'!$B$10,Paramètres!$A$1:$I$89,3,0)*0.475*44/12</f>
        <v>5.5052979954159816E-2</v>
      </c>
      <c r="AW201" s="21">
        <f>EXP(-LN(2)/2)*AW200+(1-EXP(-LN(2)/2))/(LN(2)/2)*AQ201*AT201*VLOOKUP('Données projet'!$B$10,Paramètres!$A$1:$I$89,3,0)*0.475*44/12</f>
        <v>1.7669085706792269E-26</v>
      </c>
      <c r="AX201" s="21">
        <f t="shared" si="166"/>
        <v>1.1115833627965372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1.1368683772161603E-12</v>
      </c>
      <c r="BE201" s="13">
        <f>BD201*VLOOKUP('Données projet'!$B$11,Paramètres!$A$1:$I$89,3,0)*VLOOKUP('Données projet'!$B$11,Paramètres!$A$1:$I$89,5,0)</f>
        <v>5.3205440053716299E-13</v>
      </c>
      <c r="BF201" s="13">
        <f t="shared" si="167"/>
        <v>6.579711042921201E-12</v>
      </c>
      <c r="BG201" s="20">
        <f t="shared" si="168"/>
        <v>1.2386324814023317E-11</v>
      </c>
      <c r="BH201" s="59">
        <f t="shared" si="194"/>
        <v>293.33333333334571</v>
      </c>
      <c r="BI201" s="59">
        <f ca="1">AVERAGE(OFFSET($BH$3,0,0,'Données projet'!$E$11+1,1))-AVERAGE(OFFSET($H$3,0,0,'Données projet'!$E$11+1,1))</f>
        <v>183.67580045784649</v>
      </c>
      <c r="BJ201" s="59">
        <f t="shared" si="206"/>
        <v>121.08269345608767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38.676442044233873</v>
      </c>
      <c r="BQ201" s="21">
        <f>EXP(-LN(2)/25)*BQ200+(1-EXP(-LN(2)/25))/(LN(2)/25)*Calculateur!BL201*Calculateur!BN201*VLOOKUP('Données projet'!$B$11,Paramètres!$A$1:$I$89,3,0)*0.475*44/12</f>
        <v>5.4324076744616931</v>
      </c>
      <c r="BR201" s="21">
        <f>EXP(-LN(2)/2)*BR200+(1-EXP(-LN(2)/2))/(LN(2)/2)*BL201*BO201*VLOOKUP('Données projet'!$B$11,Paramètres!$A$1:$I$89,3,0)*0.475*44/12</f>
        <v>1.5322818370936287E-9</v>
      </c>
      <c r="BS201" s="22">
        <f t="shared" si="169"/>
        <v>44.108849720227845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212.00000000000009</v>
      </c>
      <c r="BZ201" s="13">
        <f>BY201*VLOOKUP('Données projet'!$B$12,Paramètres!$A$1:$I$89,3,0)*VLOOKUP('Données projet'!$B$12,Paramètres!$A$1:$I$89,5,0)</f>
        <v>185.20320000000009</v>
      </c>
      <c r="CA201" s="13">
        <f t="shared" si="170"/>
        <v>46.477875402099386</v>
      </c>
      <c r="CB201" s="20">
        <f t="shared" si="171"/>
        <v>403.5112063253232</v>
      </c>
      <c r="CC201" s="59">
        <f t="shared" si="195"/>
        <v>696.84453965865646</v>
      </c>
      <c r="CD201" s="59">
        <f ca="1">AVERAGE(OFFSET($CC$3,0,0,'Données projet'!$E$12+1,1))-AVERAGE(OFFSET($H$3,0,0,'Données projet'!$E$12+1,1))</f>
        <v>216.10252108537389</v>
      </c>
      <c r="CE201" s="59">
        <f t="shared" si="207"/>
        <v>196.91968622092054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2.1444114425475425</v>
      </c>
      <c r="CL201" s="21">
        <f>EXP(-LN(2)/25)*CL200+(1-EXP(-LN(2)/25))/(LN(2)/25)*Calculateur!CG201*Calculateur!CI201*VLOOKUP('Données projet'!$B$12,Paramètres!$A$1:$I$89,3,0)*0.475*44/12</f>
        <v>0.9240401602899162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3.0684516028374587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-5.4001247917767614E-13</v>
      </c>
      <c r="CU201" s="17">
        <f>CT201*VLOOKUP('Données projet'!$B$13,Paramètres!$A$1:$I$89,3,0)*VLOOKUP('Données projet'!$B$13,Paramètres!$A$1:$I$89,5,0)</f>
        <v>-4.8860329115996133E-13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318.01858325056168</v>
      </c>
      <c r="CZ201" s="59">
        <f t="shared" si="208"/>
        <v>119.46953274700951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149.80782182292674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149.80782182292674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93.13200000000046</v>
      </c>
      <c r="D202" s="11">
        <f t="shared" si="202"/>
        <v>25.319077548810565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914.35919511362908</v>
      </c>
      <c r="H202" s="67">
        <f t="shared" si="192"/>
        <v>499.63562673084584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200.15574321350221</v>
      </c>
      <c r="T202" s="59">
        <f t="shared" si="204"/>
        <v>200.70728852570426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8.2697922277751452</v>
      </c>
      <c r="AA202" s="21">
        <f>EXP(-LN(2)/25)*AA201+(1-EXP(-LN(2)/25))/(LN(2)/25)*Calculateur!V202*Calculateur!X202*VLOOKUP('Données projet'!$B$9,Paramètres!$A$1:$I$89,3,0)*0.475*44/12</f>
        <v>0.76601899161360099</v>
      </c>
      <c r="AB202" s="21">
        <f>EXP(-LN(2)/2)*AB201+(1-EXP(-LN(2)/2))/(LN(2)/2)*V202*Y202*VLOOKUP('Données projet'!$B$9,Paramètres!$A$1:$I$89,3,0)*0.475*44/12</f>
        <v>3.8287832162603275E-20</v>
      </c>
      <c r="AC202" s="22">
        <f t="shared" si="163"/>
        <v>9.0358112193887461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45.407317338461951</v>
      </c>
      <c r="AO202" s="59">
        <f t="shared" si="205"/>
        <v>149.88701606165358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1.0358124664547406</v>
      </c>
      <c r="AV202" s="21">
        <f>EXP(-LN(2)/25)*AV201+(1-EXP(-LN(2)/25))/(LN(2)/25)*Calculateur!AQ202*Calculateur!AS202*VLOOKUP('Données projet'!$B$10,Paramètres!$A$1:$I$89,3,0)*0.475*44/12</f>
        <v>5.3547553322202922E-2</v>
      </c>
      <c r="AW202" s="21">
        <f>EXP(-LN(2)/2)*AW201+(1-EXP(-LN(2)/2))/(LN(2)/2)*AQ202*AT202*VLOOKUP('Données projet'!$B$10,Paramètres!$A$1:$I$89,3,0)*0.475*44/12</f>
        <v>1.2493930320639116E-26</v>
      </c>
      <c r="AX202" s="21">
        <f t="shared" si="166"/>
        <v>1.0893600197769435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1.1368683772161603E-12</v>
      </c>
      <c r="BE202" s="13">
        <f>BD202*VLOOKUP('Données projet'!$B$11,Paramètres!$A$1:$I$89,3,0)*VLOOKUP('Données projet'!$B$11,Paramètres!$A$1:$I$89,5,0)</f>
        <v>5.3205440053716299E-13</v>
      </c>
      <c r="BF202" s="13">
        <f t="shared" si="167"/>
        <v>6.579711042921201E-12</v>
      </c>
      <c r="BG202" s="20">
        <f t="shared" si="168"/>
        <v>1.2386324814023317E-11</v>
      </c>
      <c r="BH202" s="59">
        <f t="shared" si="194"/>
        <v>293.33333333334571</v>
      </c>
      <c r="BI202" s="59">
        <f ca="1">AVERAGE(OFFSET($BH$3,0,0,'Données projet'!$E$11+1,1))-AVERAGE(OFFSET($H$3,0,0,'Données projet'!$E$11+1,1))</f>
        <v>183.67580045784649</v>
      </c>
      <c r="BJ202" s="59">
        <f t="shared" si="206"/>
        <v>121.08269345608767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37.918020606046746</v>
      </c>
      <c r="BQ202" s="21">
        <f>EXP(-LN(2)/25)*BQ201+(1-EXP(-LN(2)/25))/(LN(2)/25)*Calculateur!BL202*Calculateur!BN202*VLOOKUP('Données projet'!$B$11,Paramètres!$A$1:$I$89,3,0)*0.475*44/12</f>
        <v>5.2838582009256347</v>
      </c>
      <c r="BR202" s="21">
        <f>EXP(-LN(2)/2)*BR201+(1-EXP(-LN(2)/2))/(LN(2)/2)*BL202*BO202*VLOOKUP('Données projet'!$B$11,Paramètres!$A$1:$I$89,3,0)*0.475*44/12</f>
        <v>1.0834868776978855E-9</v>
      </c>
      <c r="BS202" s="22">
        <f t="shared" si="169"/>
        <v>43.201878808055866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212.00000000000009</v>
      </c>
      <c r="BZ202" s="13">
        <f>BY202*VLOOKUP('Données projet'!$B$12,Paramètres!$A$1:$I$89,3,0)*VLOOKUP('Données projet'!$B$12,Paramètres!$A$1:$I$89,5,0)</f>
        <v>185.20320000000009</v>
      </c>
      <c r="CA202" s="13">
        <f t="shared" si="170"/>
        <v>46.477875402099386</v>
      </c>
      <c r="CB202" s="20">
        <f t="shared" si="171"/>
        <v>403.5112063253232</v>
      </c>
      <c r="CC202" s="59">
        <f t="shared" si="195"/>
        <v>696.84453965865646</v>
      </c>
      <c r="CD202" s="59">
        <f ca="1">AVERAGE(OFFSET($CC$3,0,0,'Données projet'!$E$12+1,1))-AVERAGE(OFFSET($H$3,0,0,'Données projet'!$E$12+1,1))</f>
        <v>216.10252108537389</v>
      </c>
      <c r="CE202" s="59">
        <f t="shared" si="207"/>
        <v>196.91968622092054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2.1023608421210147</v>
      </c>
      <c r="CL202" s="21">
        <f>EXP(-LN(2)/25)*CL201+(1-EXP(-LN(2)/25))/(LN(2)/25)*Calculateur!CG202*Calculateur!CI202*VLOOKUP('Données projet'!$B$12,Paramètres!$A$1:$I$89,3,0)*0.475*44/12</f>
        <v>0.89877223351362834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3.0011330756346428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-5.4001247917767614E-13</v>
      </c>
      <c r="CU202" s="17">
        <f>CT202*VLOOKUP('Données projet'!$B$13,Paramètres!$A$1:$I$89,3,0)*VLOOKUP('Données projet'!$B$13,Paramètres!$A$1:$I$89,5,0)</f>
        <v>-4.8860329115996133E-13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318.01858325056168</v>
      </c>
      <c r="CZ202" s="59">
        <f t="shared" si="208"/>
        <v>119.46953274700951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146.87018181072804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146.87018181072804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93.600000000000463</v>
      </c>
      <c r="D203" s="11">
        <f t="shared" si="202"/>
        <v>25.43146652457305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918.83939071600616</v>
      </c>
      <c r="H203" s="67">
        <f t="shared" si="192"/>
        <v>500.6464708636322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200.15574321350221</v>
      </c>
      <c r="T203" s="59">
        <f t="shared" si="204"/>
        <v>200.70728852570426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8.1076266462636717</v>
      </c>
      <c r="AA203" s="21">
        <f>EXP(-LN(2)/25)*AA202+(1-EXP(-LN(2)/25))/(LN(2)/25)*Calculateur!V203*Calculateur!X203*VLOOKUP('Données projet'!$B$9,Paramètres!$A$1:$I$89,3,0)*0.475*44/12</f>
        <v>0.74507216200473902</v>
      </c>
      <c r="AB203" s="21">
        <f>EXP(-LN(2)/2)*AB202+(1-EXP(-LN(2)/2))/(LN(2)/2)*V203*Y203*VLOOKUP('Données projet'!$B$9,Paramètres!$A$1:$I$89,3,0)*0.475*44/12</f>
        <v>2.7073585759109171E-20</v>
      </c>
      <c r="AC203" s="22">
        <f t="shared" si="163"/>
        <v>8.8526988082684106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45.407317338461951</v>
      </c>
      <c r="AO203" s="59">
        <f t="shared" si="205"/>
        <v>149.88701606165358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1.0155008157707843</v>
      </c>
      <c r="AV203" s="21">
        <f>EXP(-LN(2)/25)*AV202+(1-EXP(-LN(2)/25))/(LN(2)/25)*Calculateur!AQ203*Calculateur!AS203*VLOOKUP('Données projet'!$B$10,Paramètres!$A$1:$I$89,3,0)*0.475*44/12</f>
        <v>5.2083292660663839E-2</v>
      </c>
      <c r="AW203" s="21">
        <f>EXP(-LN(2)/2)*AW202+(1-EXP(-LN(2)/2))/(LN(2)/2)*AQ203*AT203*VLOOKUP('Données projet'!$B$10,Paramètres!$A$1:$I$89,3,0)*0.475*44/12</f>
        <v>8.8345428533961346E-27</v>
      </c>
      <c r="AX203" s="21">
        <f t="shared" si="166"/>
        <v>1.0675841084314481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1.1368683772161603E-12</v>
      </c>
      <c r="BE203" s="13">
        <f>BD203*VLOOKUP('Données projet'!$B$11,Paramètres!$A$1:$I$89,3,0)*VLOOKUP('Données projet'!$B$11,Paramètres!$A$1:$I$89,5,0)</f>
        <v>5.3205440053716299E-13</v>
      </c>
      <c r="BF203" s="13">
        <f t="shared" si="167"/>
        <v>6.579711042921201E-12</v>
      </c>
      <c r="BG203" s="20">
        <f t="shared" si="168"/>
        <v>1.2386324814023317E-11</v>
      </c>
      <c r="BH203" s="59">
        <f t="shared" si="194"/>
        <v>293.33333333334571</v>
      </c>
      <c r="BI203" s="59">
        <f ca="1">AVERAGE(OFFSET($BH$3,0,0,'Données projet'!$E$11+1,1))-AVERAGE(OFFSET($H$3,0,0,'Données projet'!$E$11+1,1))</f>
        <v>183.67580045784649</v>
      </c>
      <c r="BJ203" s="59">
        <f t="shared" si="206"/>
        <v>121.08269345608767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37.174471349671066</v>
      </c>
      <c r="BQ203" s="21">
        <f>EXP(-LN(2)/25)*BQ202+(1-EXP(-LN(2)/25))/(LN(2)/25)*Calculateur!BL203*Calculateur!BN203*VLOOKUP('Données projet'!$B$11,Paramètres!$A$1:$I$89,3,0)*0.475*44/12</f>
        <v>5.139370820555297</v>
      </c>
      <c r="BR203" s="21">
        <f>EXP(-LN(2)/2)*BR202+(1-EXP(-LN(2)/2))/(LN(2)/2)*BL203*BO203*VLOOKUP('Données projet'!$B$11,Paramètres!$A$1:$I$89,3,0)*0.475*44/12</f>
        <v>7.6614091854681434E-10</v>
      </c>
      <c r="BS203" s="22">
        <f t="shared" si="169"/>
        <v>42.313842170992508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212.00000000000009</v>
      </c>
      <c r="BZ203" s="13">
        <f>BY203*VLOOKUP('Données projet'!$B$12,Paramètres!$A$1:$I$89,3,0)*VLOOKUP('Données projet'!$B$12,Paramètres!$A$1:$I$89,5,0)</f>
        <v>185.20320000000009</v>
      </c>
      <c r="CA203" s="13">
        <f t="shared" si="170"/>
        <v>46.477875402099386</v>
      </c>
      <c r="CB203" s="20">
        <f t="shared" si="171"/>
        <v>403.5112063253232</v>
      </c>
      <c r="CC203" s="59">
        <f t="shared" si="195"/>
        <v>696.84453965865646</v>
      </c>
      <c r="CD203" s="59">
        <f ca="1">AVERAGE(OFFSET($CC$3,0,0,'Données projet'!$E$12+1,1))-AVERAGE(OFFSET($H$3,0,0,'Données projet'!$E$12+1,1))</f>
        <v>216.10252108537389</v>
      </c>
      <c r="CE203" s="59">
        <f t="shared" si="207"/>
        <v>196.91968622092054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2.0611348283205175</v>
      </c>
      <c r="CL203" s="21">
        <f>EXP(-LN(2)/25)*CL202+(1-EXP(-LN(2)/25))/(LN(2)/25)*Calculateur!CG203*Calculateur!CI203*VLOOKUP('Données projet'!$B$12,Paramètres!$A$1:$I$89,3,0)*0.475*44/12</f>
        <v>0.8741952595238206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2.935330087844338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-5.4001247917767614E-13</v>
      </c>
      <c r="CU203" s="17">
        <f>CT203*VLOOKUP('Données projet'!$B$13,Paramètres!$A$1:$I$89,3,0)*VLOOKUP('Données projet'!$B$13,Paramètres!$A$1:$I$89,5,0)</f>
        <v>-4.8860329115996133E-13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318.01858325056168</v>
      </c>
      <c r="CZ203" s="59">
        <f t="shared" si="208"/>
        <v>119.46953274700951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143.99014712738509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143.99014712738509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115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115</v>
      </c>
      <c r="BA204" s="81" t="s">
        <v>115</v>
      </c>
      <c r="BV204" s="81" t="s">
        <v>115</v>
      </c>
      <c r="CQ204" s="81" t="s">
        <v>115</v>
      </c>
      <c r="DL204" s="81" t="s">
        <v>115</v>
      </c>
      <c r="EG204" s="81" t="s">
        <v>115</v>
      </c>
      <c r="FB204" s="81" t="s">
        <v>115</v>
      </c>
      <c r="FW204" s="81" t="s">
        <v>115</v>
      </c>
      <c r="GR204" s="81" t="s">
        <v>115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1.3292852468636394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0.85717695908485014</v>
      </c>
      <c r="BA205" s="82">
        <f>EXP(LN('Données projet'!B88)/'Données projet'!A88)</f>
        <v>1.1810516433311786</v>
      </c>
      <c r="BV205" s="82">
        <f>EXP(LN('Données projet'!B114)/'Données projet'!A114)</f>
        <v>1.335141362540313</v>
      </c>
      <c r="CQ205" s="82">
        <f>EXP(LN('Données projet'!B140)/'Données projet'!A140)</f>
        <v>1.1549646791274306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116</v>
      </c>
      <c r="B1" s="112" t="s">
        <v>117</v>
      </c>
      <c r="C1" s="113" t="s">
        <v>118</v>
      </c>
      <c r="D1" s="112" t="s">
        <v>119</v>
      </c>
      <c r="E1" s="113" t="s">
        <v>120</v>
      </c>
      <c r="F1" s="113" t="s">
        <v>119</v>
      </c>
      <c r="G1" s="113" t="s">
        <v>121</v>
      </c>
      <c r="H1" s="113" t="s">
        <v>119</v>
      </c>
      <c r="I1" s="114" t="s">
        <v>122</v>
      </c>
      <c r="J1" s="78"/>
      <c r="K1" s="78"/>
      <c r="L1" s="78"/>
      <c r="M1" s="78"/>
      <c r="N1" s="78"/>
    </row>
    <row r="2" spans="1:16" x14ac:dyDescent="0.35">
      <c r="A2" s="115" t="s">
        <v>123</v>
      </c>
      <c r="B2" s="116" t="s">
        <v>124</v>
      </c>
      <c r="C2" s="117">
        <v>0.62</v>
      </c>
      <c r="D2" s="117" t="s">
        <v>125</v>
      </c>
      <c r="E2" s="117">
        <v>1.56</v>
      </c>
      <c r="F2" s="117" t="s">
        <v>126</v>
      </c>
      <c r="G2" s="118">
        <v>0.43</v>
      </c>
      <c r="H2" s="119" t="s">
        <v>127</v>
      </c>
      <c r="I2" s="120">
        <v>0.25</v>
      </c>
      <c r="J2" s="78"/>
      <c r="K2" s="78"/>
      <c r="L2" s="78"/>
      <c r="M2" s="78"/>
      <c r="N2" s="78"/>
      <c r="O2" s="281" t="s">
        <v>128</v>
      </c>
      <c r="P2" s="121">
        <v>0</v>
      </c>
    </row>
    <row r="3" spans="1:16" ht="15" thickBot="1" x14ac:dyDescent="0.4">
      <c r="A3" s="122" t="s">
        <v>129</v>
      </c>
      <c r="B3" s="123" t="s">
        <v>130</v>
      </c>
      <c r="C3" s="124">
        <v>0.64</v>
      </c>
      <c r="D3" s="124" t="s">
        <v>125</v>
      </c>
      <c r="E3" s="124">
        <v>1.56</v>
      </c>
      <c r="F3" s="125" t="s">
        <v>126</v>
      </c>
      <c r="G3" s="126">
        <v>0.43</v>
      </c>
      <c r="H3" s="124" t="s">
        <v>127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131</v>
      </c>
      <c r="B4" s="123" t="s">
        <v>132</v>
      </c>
      <c r="C4" s="124">
        <v>0.42</v>
      </c>
      <c r="D4" s="124" t="s">
        <v>125</v>
      </c>
      <c r="E4" s="124">
        <v>1.56</v>
      </c>
      <c r="F4" s="125" t="s">
        <v>126</v>
      </c>
      <c r="G4" s="126">
        <v>0.43</v>
      </c>
      <c r="H4" s="124" t="s">
        <v>127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133</v>
      </c>
      <c r="B5" s="123" t="s">
        <v>134</v>
      </c>
      <c r="C5" s="124">
        <v>0.42</v>
      </c>
      <c r="D5" s="124" t="s">
        <v>125</v>
      </c>
      <c r="E5" s="124">
        <v>1.56</v>
      </c>
      <c r="F5" s="125" t="s">
        <v>126</v>
      </c>
      <c r="G5" s="126">
        <v>0.43</v>
      </c>
      <c r="H5" s="124" t="s">
        <v>127</v>
      </c>
      <c r="I5" s="127">
        <v>0.25</v>
      </c>
      <c r="J5" s="78"/>
      <c r="K5" s="78"/>
      <c r="L5" s="78"/>
      <c r="M5" s="78"/>
      <c r="N5" s="78"/>
      <c r="O5" s="281" t="s">
        <v>135</v>
      </c>
      <c r="P5" s="121">
        <v>0</v>
      </c>
    </row>
    <row r="6" spans="1:16" x14ac:dyDescent="0.35">
      <c r="A6" s="122" t="s">
        <v>136</v>
      </c>
      <c r="B6" s="123" t="s">
        <v>137</v>
      </c>
      <c r="C6" s="124">
        <v>0.42</v>
      </c>
      <c r="D6" s="124" t="s">
        <v>125</v>
      </c>
      <c r="E6" s="124">
        <v>1.56</v>
      </c>
      <c r="F6" s="125" t="s">
        <v>126</v>
      </c>
      <c r="G6" s="126">
        <v>0.43</v>
      </c>
      <c r="H6" s="124" t="s">
        <v>127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138</v>
      </c>
      <c r="B7" s="123" t="s">
        <v>139</v>
      </c>
      <c r="C7" s="124">
        <v>0.52</v>
      </c>
      <c r="D7" s="124" t="s">
        <v>125</v>
      </c>
      <c r="E7" s="124">
        <v>1.56</v>
      </c>
      <c r="F7" s="125" t="s">
        <v>126</v>
      </c>
      <c r="G7" s="126">
        <v>0.43</v>
      </c>
      <c r="H7" s="124" t="s">
        <v>127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21</v>
      </c>
      <c r="B8" s="123" t="s">
        <v>140</v>
      </c>
      <c r="C8" s="124">
        <v>0.36</v>
      </c>
      <c r="D8" s="124" t="s">
        <v>125</v>
      </c>
      <c r="E8" s="124">
        <v>1.3</v>
      </c>
      <c r="F8" s="125" t="s">
        <v>126</v>
      </c>
      <c r="G8" s="126">
        <v>0.55000000000000004</v>
      </c>
      <c r="H8" s="124" t="s">
        <v>141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142</v>
      </c>
      <c r="B9" s="123" t="s">
        <v>143</v>
      </c>
      <c r="C9" s="124">
        <v>0.61</v>
      </c>
      <c r="D9" s="124" t="s">
        <v>125</v>
      </c>
      <c r="E9" s="124">
        <v>1.56</v>
      </c>
      <c r="F9" s="125" t="s">
        <v>126</v>
      </c>
      <c r="G9" s="126">
        <v>0.43</v>
      </c>
      <c r="H9" s="124" t="s">
        <v>127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144</v>
      </c>
      <c r="B10" s="123" t="s">
        <v>145</v>
      </c>
      <c r="C10" s="124">
        <v>0.66</v>
      </c>
      <c r="D10" s="124" t="s">
        <v>125</v>
      </c>
      <c r="E10" s="124">
        <v>1.56</v>
      </c>
      <c r="F10" s="125" t="s">
        <v>126</v>
      </c>
      <c r="G10" s="126">
        <v>0.43</v>
      </c>
      <c r="H10" s="124" t="s">
        <v>127</v>
      </c>
      <c r="I10" s="127">
        <v>0.25</v>
      </c>
      <c r="J10" s="78"/>
      <c r="K10" s="78"/>
      <c r="L10" s="78"/>
      <c r="M10" s="78"/>
      <c r="N10" s="78"/>
      <c r="O10" s="281" t="s">
        <v>146</v>
      </c>
      <c r="P10" s="121">
        <v>0</v>
      </c>
    </row>
    <row r="11" spans="1:16" ht="15" thickBot="1" x14ac:dyDescent="0.4">
      <c r="A11" s="122" t="s">
        <v>147</v>
      </c>
      <c r="B11" s="123" t="s">
        <v>148</v>
      </c>
      <c r="C11" s="124">
        <v>0.47</v>
      </c>
      <c r="D11" s="124" t="s">
        <v>125</v>
      </c>
      <c r="E11" s="124">
        <v>1.56</v>
      </c>
      <c r="F11" s="125" t="s">
        <v>126</v>
      </c>
      <c r="G11" s="126">
        <v>0.43</v>
      </c>
      <c r="H11" s="124" t="s">
        <v>127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149</v>
      </c>
      <c r="B12" s="123" t="s">
        <v>150</v>
      </c>
      <c r="C12" s="124">
        <v>0.67</v>
      </c>
      <c r="D12" s="124" t="s">
        <v>125</v>
      </c>
      <c r="E12" s="124">
        <v>1.56</v>
      </c>
      <c r="F12" s="125" t="s">
        <v>126</v>
      </c>
      <c r="G12" s="126">
        <v>0.43</v>
      </c>
      <c r="H12" s="124" t="s">
        <v>151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152</v>
      </c>
      <c r="B13" s="123" t="s">
        <v>153</v>
      </c>
      <c r="C13" s="124">
        <v>0.7</v>
      </c>
      <c r="D13" s="124" t="s">
        <v>125</v>
      </c>
      <c r="E13" s="124">
        <v>1.56</v>
      </c>
      <c r="F13" s="125" t="s">
        <v>126</v>
      </c>
      <c r="G13" s="126">
        <v>0.43</v>
      </c>
      <c r="H13" s="124" t="s">
        <v>151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154</v>
      </c>
      <c r="B14" s="123" t="s">
        <v>155</v>
      </c>
      <c r="C14" s="124">
        <v>0.54</v>
      </c>
      <c r="D14" s="124" t="s">
        <v>125</v>
      </c>
      <c r="E14" s="124">
        <v>1.56</v>
      </c>
      <c r="F14" s="125" t="s">
        <v>126</v>
      </c>
      <c r="G14" s="126">
        <v>0.43</v>
      </c>
      <c r="H14" s="124" t="s">
        <v>151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156</v>
      </c>
      <c r="B15" s="123" t="s">
        <v>157</v>
      </c>
      <c r="C15" s="124">
        <v>0.65</v>
      </c>
      <c r="D15" s="124" t="s">
        <v>125</v>
      </c>
      <c r="E15" s="124">
        <v>1.56</v>
      </c>
      <c r="F15" s="125" t="s">
        <v>126</v>
      </c>
      <c r="G15" s="126">
        <v>0.43</v>
      </c>
      <c r="H15" s="124" t="s">
        <v>151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23</v>
      </c>
      <c r="B16" s="123" t="s">
        <v>158</v>
      </c>
      <c r="C16" s="124">
        <v>0.56000000000000005</v>
      </c>
      <c r="D16" s="124" t="s">
        <v>125</v>
      </c>
      <c r="E16" s="124">
        <v>1.56</v>
      </c>
      <c r="F16" s="125" t="s">
        <v>126</v>
      </c>
      <c r="G16" s="126">
        <v>0.43</v>
      </c>
      <c r="H16" s="124" t="s">
        <v>151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25</v>
      </c>
      <c r="B17" s="123" t="s">
        <v>159</v>
      </c>
      <c r="C17" s="124">
        <v>0.57999999999999996</v>
      </c>
      <c r="D17" s="124" t="s">
        <v>125</v>
      </c>
      <c r="E17" s="124">
        <v>1.56</v>
      </c>
      <c r="F17" s="125" t="s">
        <v>126</v>
      </c>
      <c r="G17" s="126">
        <v>0.43</v>
      </c>
      <c r="H17" s="124" t="s">
        <v>151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160</v>
      </c>
      <c r="B18" s="123" t="s">
        <v>161</v>
      </c>
      <c r="C18" s="124">
        <v>0.64</v>
      </c>
      <c r="D18" s="124" t="s">
        <v>125</v>
      </c>
      <c r="E18" s="124">
        <v>1.56</v>
      </c>
      <c r="F18" s="125" t="s">
        <v>126</v>
      </c>
      <c r="G18" s="126">
        <v>0.43</v>
      </c>
      <c r="H18" s="124" t="s">
        <v>151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162</v>
      </c>
      <c r="B19" s="123" t="s">
        <v>163</v>
      </c>
      <c r="C19" s="124">
        <v>0.73</v>
      </c>
      <c r="D19" s="124" t="s">
        <v>125</v>
      </c>
      <c r="E19" s="124">
        <v>1.56</v>
      </c>
      <c r="F19" s="125" t="s">
        <v>126</v>
      </c>
      <c r="G19" s="126">
        <v>0.43</v>
      </c>
      <c r="H19" s="124" t="s">
        <v>151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164</v>
      </c>
      <c r="B20" s="123" t="s">
        <v>165</v>
      </c>
      <c r="C20" s="124">
        <v>0.69</v>
      </c>
      <c r="D20" s="124" t="s">
        <v>166</v>
      </c>
      <c r="E20" s="124">
        <v>1.56</v>
      </c>
      <c r="F20" s="125" t="s">
        <v>126</v>
      </c>
      <c r="G20" s="126">
        <v>0.43</v>
      </c>
      <c r="H20" s="124" t="s">
        <v>167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168</v>
      </c>
      <c r="B21" s="123" t="s">
        <v>169</v>
      </c>
      <c r="C21" s="124">
        <v>0.36</v>
      </c>
      <c r="D21" s="124" t="s">
        <v>125</v>
      </c>
      <c r="E21" s="124">
        <v>1.3</v>
      </c>
      <c r="F21" s="125" t="s">
        <v>126</v>
      </c>
      <c r="G21" s="126">
        <v>0.55000000000000004</v>
      </c>
      <c r="H21" s="124" t="s">
        <v>141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170</v>
      </c>
      <c r="B22" s="123" t="s">
        <v>171</v>
      </c>
      <c r="C22" s="124">
        <v>0.4</v>
      </c>
      <c r="D22" s="124" t="s">
        <v>125</v>
      </c>
      <c r="E22" s="124">
        <v>1.3</v>
      </c>
      <c r="F22" s="125" t="s">
        <v>126</v>
      </c>
      <c r="G22" s="126">
        <v>0.55000000000000004</v>
      </c>
      <c r="H22" s="124" t="s">
        <v>141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172</v>
      </c>
      <c r="B23" s="123" t="s">
        <v>173</v>
      </c>
      <c r="C23" s="124">
        <v>0.43</v>
      </c>
      <c r="D23" s="124" t="s">
        <v>125</v>
      </c>
      <c r="E23" s="124">
        <v>1.3</v>
      </c>
      <c r="F23" s="125" t="s">
        <v>126</v>
      </c>
      <c r="G23" s="126">
        <v>0.55000000000000004</v>
      </c>
      <c r="H23" s="124" t="s">
        <v>141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174</v>
      </c>
      <c r="B24" s="123" t="s">
        <v>175</v>
      </c>
      <c r="C24" s="124">
        <v>0.37</v>
      </c>
      <c r="D24" s="124" t="s">
        <v>125</v>
      </c>
      <c r="E24" s="124">
        <v>1.3</v>
      </c>
      <c r="F24" s="125" t="s">
        <v>126</v>
      </c>
      <c r="G24" s="126">
        <v>0.55000000000000004</v>
      </c>
      <c r="H24" s="124" t="s">
        <v>151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85</v>
      </c>
      <c r="B25" s="123" t="s">
        <v>176</v>
      </c>
      <c r="C25" s="124">
        <v>0.36</v>
      </c>
      <c r="D25" s="124" t="s">
        <v>125</v>
      </c>
      <c r="E25" s="124">
        <v>1.3</v>
      </c>
      <c r="F25" s="125" t="s">
        <v>126</v>
      </c>
      <c r="G25" s="126">
        <v>0.55000000000000004</v>
      </c>
      <c r="H25" s="124" t="s">
        <v>151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177</v>
      </c>
      <c r="B26" s="123" t="s">
        <v>178</v>
      </c>
      <c r="C26" s="124">
        <v>0.56000000000000005</v>
      </c>
      <c r="D26" s="124" t="s">
        <v>125</v>
      </c>
      <c r="E26" s="124">
        <v>1.56</v>
      </c>
      <c r="F26" s="125" t="s">
        <v>126</v>
      </c>
      <c r="G26" s="126">
        <v>0.53</v>
      </c>
      <c r="H26" s="124" t="s">
        <v>179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180</v>
      </c>
      <c r="B27" s="123" t="s">
        <v>181</v>
      </c>
      <c r="C27" s="124">
        <v>0.51</v>
      </c>
      <c r="D27" s="124" t="s">
        <v>125</v>
      </c>
      <c r="E27" s="124">
        <v>1.56</v>
      </c>
      <c r="F27" s="125" t="s">
        <v>126</v>
      </c>
      <c r="G27" s="126">
        <v>0.53</v>
      </c>
      <c r="H27" s="124" t="s">
        <v>179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182</v>
      </c>
      <c r="B28" s="123" t="s">
        <v>183</v>
      </c>
      <c r="C28" s="124">
        <v>0.51</v>
      </c>
      <c r="D28" s="124" t="s">
        <v>125</v>
      </c>
      <c r="E28" s="124">
        <v>1.56</v>
      </c>
      <c r="F28" s="125" t="s">
        <v>126</v>
      </c>
      <c r="G28" s="126">
        <v>0.53</v>
      </c>
      <c r="H28" s="124" t="s">
        <v>179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184</v>
      </c>
      <c r="B29" s="123" t="s">
        <v>184</v>
      </c>
      <c r="C29" s="124">
        <v>0.56000000000000005</v>
      </c>
      <c r="D29" s="124" t="s">
        <v>125</v>
      </c>
      <c r="E29" s="124">
        <v>1.56</v>
      </c>
      <c r="F29" s="125" t="s">
        <v>126</v>
      </c>
      <c r="G29" s="126">
        <v>0.53</v>
      </c>
      <c r="H29" s="124" t="s">
        <v>179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185</v>
      </c>
      <c r="B30" s="123" t="s">
        <v>186</v>
      </c>
      <c r="C30" s="124">
        <v>0.55000000000000004</v>
      </c>
      <c r="D30" s="124" t="s">
        <v>125</v>
      </c>
      <c r="E30" s="124">
        <v>1.56</v>
      </c>
      <c r="F30" s="125" t="s">
        <v>126</v>
      </c>
      <c r="G30" s="126">
        <v>0.53</v>
      </c>
      <c r="H30" s="124" t="s">
        <v>151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187</v>
      </c>
      <c r="B31" s="123" t="s">
        <v>188</v>
      </c>
      <c r="C31" s="124">
        <v>0.56000000000000005</v>
      </c>
      <c r="D31" s="124" t="s">
        <v>125</v>
      </c>
      <c r="E31" s="124">
        <v>1.56</v>
      </c>
      <c r="F31" s="125" t="s">
        <v>126</v>
      </c>
      <c r="G31" s="126">
        <v>0.43</v>
      </c>
      <c r="H31" s="124" t="s">
        <v>127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189</v>
      </c>
      <c r="B32" s="123" t="s">
        <v>190</v>
      </c>
      <c r="C32" s="124">
        <v>0.48</v>
      </c>
      <c r="D32" s="124" t="s">
        <v>125</v>
      </c>
      <c r="E32" s="124">
        <v>1.3</v>
      </c>
      <c r="F32" s="125" t="s">
        <v>126</v>
      </c>
      <c r="G32" s="126">
        <v>0.6</v>
      </c>
      <c r="H32" s="124" t="s">
        <v>191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192</v>
      </c>
      <c r="B33" s="123" t="s">
        <v>193</v>
      </c>
      <c r="C33" s="124">
        <v>0.42</v>
      </c>
      <c r="D33" s="124" t="s">
        <v>125</v>
      </c>
      <c r="E33" s="124">
        <v>1.3</v>
      </c>
      <c r="F33" s="125" t="s">
        <v>126</v>
      </c>
      <c r="G33" s="126">
        <v>0.6</v>
      </c>
      <c r="H33" s="124" t="s">
        <v>191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194</v>
      </c>
      <c r="B34" s="123" t="s">
        <v>195</v>
      </c>
      <c r="C34" s="124">
        <v>0.42</v>
      </c>
      <c r="D34" s="124" t="s">
        <v>196</v>
      </c>
      <c r="E34" s="124">
        <v>1.3</v>
      </c>
      <c r="F34" s="125" t="s">
        <v>126</v>
      </c>
      <c r="G34" s="126">
        <v>0.6</v>
      </c>
      <c r="H34" s="123" t="s">
        <v>197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198</v>
      </c>
      <c r="B35" s="123" t="s">
        <v>199</v>
      </c>
      <c r="C35" s="124">
        <v>0.5</v>
      </c>
      <c r="D35" s="124" t="s">
        <v>125</v>
      </c>
      <c r="E35" s="124">
        <v>1.56</v>
      </c>
      <c r="F35" s="125" t="s">
        <v>126</v>
      </c>
      <c r="G35" s="126">
        <v>0.43</v>
      </c>
      <c r="H35" s="124" t="s">
        <v>127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200</v>
      </c>
      <c r="B36" s="123" t="s">
        <v>201</v>
      </c>
      <c r="C36" s="124">
        <v>0.55000000000000004</v>
      </c>
      <c r="D36" s="124" t="s">
        <v>125</v>
      </c>
      <c r="E36" s="124">
        <v>1.56</v>
      </c>
      <c r="F36" s="125" t="s">
        <v>126</v>
      </c>
      <c r="G36" s="126">
        <v>0.53</v>
      </c>
      <c r="H36" s="124" t="s">
        <v>179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202</v>
      </c>
      <c r="B37" s="123" t="s">
        <v>203</v>
      </c>
      <c r="C37" s="124">
        <v>0.52</v>
      </c>
      <c r="D37" s="124" t="s">
        <v>125</v>
      </c>
      <c r="E37" s="124">
        <v>1.56</v>
      </c>
      <c r="F37" s="125" t="s">
        <v>126</v>
      </c>
      <c r="G37" s="126">
        <v>0.53</v>
      </c>
      <c r="H37" s="124" t="s">
        <v>179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204</v>
      </c>
      <c r="B38" s="123" t="s">
        <v>205</v>
      </c>
      <c r="C38" s="124">
        <v>0.52</v>
      </c>
      <c r="D38" s="124" t="s">
        <v>125</v>
      </c>
      <c r="E38" s="124">
        <v>1.56</v>
      </c>
      <c r="F38" s="125" t="s">
        <v>126</v>
      </c>
      <c r="G38" s="126">
        <v>0.43</v>
      </c>
      <c r="H38" s="124" t="s">
        <v>127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206</v>
      </c>
      <c r="B39" s="123" t="s">
        <v>207</v>
      </c>
      <c r="C39" s="124">
        <v>0.313</v>
      </c>
      <c r="D39" s="124" t="s">
        <v>208</v>
      </c>
      <c r="E39" s="124">
        <v>1.56</v>
      </c>
      <c r="F39" s="125" t="s">
        <v>126</v>
      </c>
      <c r="G39" s="126">
        <v>0.6</v>
      </c>
      <c r="H39" s="124" t="s">
        <v>209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210</v>
      </c>
      <c r="B40" s="123" t="s">
        <v>207</v>
      </c>
      <c r="C40" s="124">
        <v>0.35199999999999998</v>
      </c>
      <c r="D40" s="124" t="s">
        <v>208</v>
      </c>
      <c r="E40" s="124">
        <v>1.56</v>
      </c>
      <c r="F40" s="125" t="s">
        <v>126</v>
      </c>
      <c r="G40" s="126">
        <v>0.6</v>
      </c>
      <c r="H40" s="124" t="s">
        <v>209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211</v>
      </c>
      <c r="B41" s="123" t="s">
        <v>207</v>
      </c>
      <c r="C41" s="124">
        <v>0.32200000000000001</v>
      </c>
      <c r="D41" s="124" t="s">
        <v>208</v>
      </c>
      <c r="E41" s="124">
        <v>1.56</v>
      </c>
      <c r="F41" s="125" t="s">
        <v>126</v>
      </c>
      <c r="G41" s="126">
        <v>0.6</v>
      </c>
      <c r="H41" s="124" t="s">
        <v>209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212</v>
      </c>
      <c r="B42" s="123" t="s">
        <v>207</v>
      </c>
      <c r="C42" s="124">
        <v>0.311</v>
      </c>
      <c r="D42" s="124" t="s">
        <v>208</v>
      </c>
      <c r="E42" s="124">
        <v>1.56</v>
      </c>
      <c r="F42" s="125" t="s">
        <v>126</v>
      </c>
      <c r="G42" s="126">
        <v>0.6</v>
      </c>
      <c r="H42" s="124" t="s">
        <v>209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213</v>
      </c>
      <c r="B43" s="123" t="s">
        <v>207</v>
      </c>
      <c r="C43" s="124">
        <v>0.33900000000000002</v>
      </c>
      <c r="D43" s="124" t="s">
        <v>208</v>
      </c>
      <c r="E43" s="124">
        <v>1.56</v>
      </c>
      <c r="F43" s="125" t="s">
        <v>126</v>
      </c>
      <c r="G43" s="126">
        <v>0.6</v>
      </c>
      <c r="H43" s="124" t="s">
        <v>209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214</v>
      </c>
      <c r="B44" s="123" t="s">
        <v>207</v>
      </c>
      <c r="C44" s="124">
        <v>0.33600000000000002</v>
      </c>
      <c r="D44" s="124" t="s">
        <v>208</v>
      </c>
      <c r="E44" s="124">
        <v>1.56</v>
      </c>
      <c r="F44" s="125" t="s">
        <v>126</v>
      </c>
      <c r="G44" s="126">
        <v>0.6</v>
      </c>
      <c r="H44" s="124" t="s">
        <v>209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215</v>
      </c>
      <c r="B45" s="123" t="s">
        <v>207</v>
      </c>
      <c r="C45" s="124">
        <v>0.32900000000000001</v>
      </c>
      <c r="D45" s="124" t="s">
        <v>208</v>
      </c>
      <c r="E45" s="124">
        <v>1.56</v>
      </c>
      <c r="F45" s="125" t="s">
        <v>126</v>
      </c>
      <c r="G45" s="126">
        <v>0.6</v>
      </c>
      <c r="H45" s="124" t="s">
        <v>209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216</v>
      </c>
      <c r="B46" s="123" t="s">
        <v>207</v>
      </c>
      <c r="C46" s="124">
        <v>0.34300000000000003</v>
      </c>
      <c r="D46" s="124" t="s">
        <v>208</v>
      </c>
      <c r="E46" s="124">
        <v>1.56</v>
      </c>
      <c r="F46" s="125" t="s">
        <v>126</v>
      </c>
      <c r="G46" s="126">
        <v>0.6</v>
      </c>
      <c r="H46" s="124" t="s">
        <v>209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217</v>
      </c>
      <c r="B47" s="123" t="s">
        <v>207</v>
      </c>
      <c r="C47" s="124">
        <v>0.32500000000000001</v>
      </c>
      <c r="D47" s="124" t="s">
        <v>208</v>
      </c>
      <c r="E47" s="124">
        <v>1.56</v>
      </c>
      <c r="F47" s="125" t="s">
        <v>126</v>
      </c>
      <c r="G47" s="126">
        <v>0.6</v>
      </c>
      <c r="H47" s="124" t="s">
        <v>209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218</v>
      </c>
      <c r="B48" s="123" t="s">
        <v>207</v>
      </c>
      <c r="C48" s="124">
        <v>0.32</v>
      </c>
      <c r="D48" s="124" t="s">
        <v>208</v>
      </c>
      <c r="E48" s="124">
        <v>1.56</v>
      </c>
      <c r="F48" s="125" t="s">
        <v>126</v>
      </c>
      <c r="G48" s="126">
        <v>0.6</v>
      </c>
      <c r="H48" s="124" t="s">
        <v>209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219</v>
      </c>
      <c r="B49" s="123" t="s">
        <v>207</v>
      </c>
      <c r="C49" s="124">
        <v>0.28199999999999997</v>
      </c>
      <c r="D49" s="124" t="s">
        <v>208</v>
      </c>
      <c r="E49" s="124">
        <v>1.56</v>
      </c>
      <c r="F49" s="125" t="s">
        <v>126</v>
      </c>
      <c r="G49" s="126">
        <v>0.6</v>
      </c>
      <c r="H49" s="124" t="s">
        <v>209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220</v>
      </c>
      <c r="B50" s="123" t="s">
        <v>207</v>
      </c>
      <c r="C50" s="124">
        <v>0.32800000000000001</v>
      </c>
      <c r="D50" s="124" t="s">
        <v>208</v>
      </c>
      <c r="E50" s="124">
        <v>1.56</v>
      </c>
      <c r="F50" s="125" t="s">
        <v>126</v>
      </c>
      <c r="G50" s="126">
        <v>0.6</v>
      </c>
      <c r="H50" s="124" t="s">
        <v>209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19</v>
      </c>
      <c r="B51" s="123" t="s">
        <v>207</v>
      </c>
      <c r="C51" s="124">
        <v>0.32600000000000001</v>
      </c>
      <c r="D51" s="124" t="s">
        <v>208</v>
      </c>
      <c r="E51" s="124">
        <v>1.56</v>
      </c>
      <c r="F51" s="125" t="s">
        <v>126</v>
      </c>
      <c r="G51" s="126">
        <v>0.6</v>
      </c>
      <c r="H51" s="124" t="s">
        <v>209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221</v>
      </c>
      <c r="B52" s="123" t="s">
        <v>207</v>
      </c>
      <c r="C52" s="124">
        <v>0.35899999999999999</v>
      </c>
      <c r="D52" s="124" t="s">
        <v>208</v>
      </c>
      <c r="E52" s="124">
        <v>1.56</v>
      </c>
      <c r="F52" s="125" t="s">
        <v>126</v>
      </c>
      <c r="G52" s="126">
        <v>0.6</v>
      </c>
      <c r="H52" s="124" t="s">
        <v>209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222</v>
      </c>
      <c r="B53" s="123" t="s">
        <v>207</v>
      </c>
      <c r="C53" s="124">
        <v>0.34599999999999997</v>
      </c>
      <c r="D53" s="124" t="s">
        <v>208</v>
      </c>
      <c r="E53" s="124">
        <v>1.56</v>
      </c>
      <c r="F53" s="125" t="s">
        <v>126</v>
      </c>
      <c r="G53" s="126">
        <v>0.6</v>
      </c>
      <c r="H53" s="124" t="s">
        <v>209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223</v>
      </c>
      <c r="B54" s="123" t="s">
        <v>207</v>
      </c>
      <c r="C54" s="124">
        <v>0.32600000000000001</v>
      </c>
      <c r="D54" s="124" t="s">
        <v>208</v>
      </c>
      <c r="E54" s="124">
        <v>1.56</v>
      </c>
      <c r="F54" s="125" t="s">
        <v>126</v>
      </c>
      <c r="G54" s="126">
        <v>0.6</v>
      </c>
      <c r="H54" s="124" t="s">
        <v>209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224</v>
      </c>
      <c r="B55" s="123" t="s">
        <v>207</v>
      </c>
      <c r="C55" s="124">
        <v>0.30499999999999999</v>
      </c>
      <c r="D55" s="124" t="s">
        <v>208</v>
      </c>
      <c r="E55" s="124">
        <v>1.56</v>
      </c>
      <c r="F55" s="125" t="s">
        <v>126</v>
      </c>
      <c r="G55" s="126">
        <v>0.6</v>
      </c>
      <c r="H55" s="124" t="s">
        <v>209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225</v>
      </c>
      <c r="B56" s="123" t="s">
        <v>207</v>
      </c>
      <c r="C56" s="124">
        <v>0.32300000000000001</v>
      </c>
      <c r="D56" s="124" t="s">
        <v>208</v>
      </c>
      <c r="E56" s="124">
        <v>1.56</v>
      </c>
      <c r="F56" s="125" t="s">
        <v>126</v>
      </c>
      <c r="G56" s="126">
        <v>0.6</v>
      </c>
      <c r="H56" s="124" t="s">
        <v>209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226</v>
      </c>
      <c r="B57" s="123" t="s">
        <v>207</v>
      </c>
      <c r="C57" s="124">
        <v>0.36699999999999999</v>
      </c>
      <c r="D57" s="124" t="s">
        <v>208</v>
      </c>
      <c r="E57" s="124">
        <v>1.56</v>
      </c>
      <c r="F57" s="125" t="s">
        <v>126</v>
      </c>
      <c r="G57" s="126">
        <v>0.6</v>
      </c>
      <c r="H57" s="124" t="s">
        <v>209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227</v>
      </c>
      <c r="B58" s="123" t="s">
        <v>207</v>
      </c>
      <c r="C58" s="124">
        <v>0.36</v>
      </c>
      <c r="D58" s="124" t="s">
        <v>208</v>
      </c>
      <c r="E58" s="124">
        <v>1.56</v>
      </c>
      <c r="F58" s="125" t="s">
        <v>126</v>
      </c>
      <c r="G58" s="126">
        <v>0.6</v>
      </c>
      <c r="H58" s="124" t="s">
        <v>209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228</v>
      </c>
      <c r="B59" s="123" t="s">
        <v>207</v>
      </c>
      <c r="C59" s="124">
        <v>0.36799999999999999</v>
      </c>
      <c r="D59" s="124" t="s">
        <v>208</v>
      </c>
      <c r="E59" s="124">
        <v>1.56</v>
      </c>
      <c r="F59" s="125" t="s">
        <v>126</v>
      </c>
      <c r="G59" s="126">
        <v>0.6</v>
      </c>
      <c r="H59" s="124" t="s">
        <v>209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229</v>
      </c>
      <c r="B60" s="123" t="s">
        <v>207</v>
      </c>
      <c r="C60" s="124">
        <v>0.30599999999999999</v>
      </c>
      <c r="D60" s="124" t="s">
        <v>208</v>
      </c>
      <c r="E60" s="124">
        <v>1.56</v>
      </c>
      <c r="F60" s="125" t="s">
        <v>126</v>
      </c>
      <c r="G60" s="126">
        <v>0.6</v>
      </c>
      <c r="H60" s="124" t="s">
        <v>209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230</v>
      </c>
      <c r="B61" s="123" t="s">
        <v>207</v>
      </c>
      <c r="C61" s="124">
        <v>0.313</v>
      </c>
      <c r="D61" s="124" t="s">
        <v>208</v>
      </c>
      <c r="E61" s="124">
        <v>1.56</v>
      </c>
      <c r="F61" s="125" t="s">
        <v>126</v>
      </c>
      <c r="G61" s="126">
        <v>0.6</v>
      </c>
      <c r="H61" s="124" t="s">
        <v>209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231</v>
      </c>
      <c r="B62" s="123" t="s">
        <v>232</v>
      </c>
      <c r="C62" s="124">
        <v>0.37</v>
      </c>
      <c r="D62" s="124" t="s">
        <v>125</v>
      </c>
      <c r="E62" s="124">
        <v>1.56</v>
      </c>
      <c r="F62" s="125" t="s">
        <v>126</v>
      </c>
      <c r="G62" s="126">
        <v>0.6</v>
      </c>
      <c r="H62" s="124" t="s">
        <v>209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233</v>
      </c>
      <c r="B63" s="123" t="s">
        <v>234</v>
      </c>
      <c r="C63" s="124">
        <v>0.45</v>
      </c>
      <c r="D63" s="124" t="s">
        <v>125</v>
      </c>
      <c r="E63" s="124">
        <v>1.3</v>
      </c>
      <c r="F63" s="125" t="s">
        <v>126</v>
      </c>
      <c r="G63" s="126">
        <v>0.45</v>
      </c>
      <c r="H63" s="124" t="s">
        <v>235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236</v>
      </c>
      <c r="B64" s="123" t="s">
        <v>237</v>
      </c>
      <c r="C64" s="124">
        <v>0.39</v>
      </c>
      <c r="D64" s="124" t="s">
        <v>125</v>
      </c>
      <c r="E64" s="124">
        <v>1.3</v>
      </c>
      <c r="F64" s="125" t="s">
        <v>126</v>
      </c>
      <c r="G64" s="126">
        <v>0.45</v>
      </c>
      <c r="H64" s="124" t="s">
        <v>235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238</v>
      </c>
      <c r="B65" s="123" t="s">
        <v>239</v>
      </c>
      <c r="C65" s="124">
        <v>0.44</v>
      </c>
      <c r="D65" s="124" t="s">
        <v>125</v>
      </c>
      <c r="E65" s="124">
        <v>1.3</v>
      </c>
      <c r="F65" s="125" t="s">
        <v>126</v>
      </c>
      <c r="G65" s="126">
        <v>0.45</v>
      </c>
      <c r="H65" s="124" t="s">
        <v>235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240</v>
      </c>
      <c r="B66" s="123" t="s">
        <v>241</v>
      </c>
      <c r="C66" s="124">
        <v>0.46</v>
      </c>
      <c r="D66" s="124" t="s">
        <v>125</v>
      </c>
      <c r="E66" s="124">
        <v>1.3</v>
      </c>
      <c r="F66" s="125" t="s">
        <v>126</v>
      </c>
      <c r="G66" s="126">
        <v>0.45</v>
      </c>
      <c r="H66" s="124" t="s">
        <v>235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16</v>
      </c>
      <c r="B67" s="123" t="s">
        <v>242</v>
      </c>
      <c r="C67" s="124">
        <v>0.46</v>
      </c>
      <c r="D67" s="124" t="s">
        <v>125</v>
      </c>
      <c r="E67" s="124">
        <v>1.3</v>
      </c>
      <c r="F67" s="125" t="s">
        <v>126</v>
      </c>
      <c r="G67" s="126">
        <v>0.45</v>
      </c>
      <c r="H67" s="124" t="s">
        <v>151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243</v>
      </c>
      <c r="B68" s="123" t="s">
        <v>244</v>
      </c>
      <c r="C68" s="124">
        <v>0.44</v>
      </c>
      <c r="D68" s="124" t="s">
        <v>125</v>
      </c>
      <c r="E68" s="124">
        <v>1.3</v>
      </c>
      <c r="F68" s="125" t="s">
        <v>126</v>
      </c>
      <c r="G68" s="126">
        <v>0.45</v>
      </c>
      <c r="H68" s="124" t="s">
        <v>235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245</v>
      </c>
      <c r="B69" s="123" t="s">
        <v>246</v>
      </c>
      <c r="C69" s="124">
        <v>0.46</v>
      </c>
      <c r="D69" s="124" t="s">
        <v>125</v>
      </c>
      <c r="E69" s="124">
        <v>1.3</v>
      </c>
      <c r="F69" s="125" t="s">
        <v>126</v>
      </c>
      <c r="G69" s="126">
        <v>0.45</v>
      </c>
      <c r="H69" s="124" t="s">
        <v>235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247</v>
      </c>
      <c r="B70" s="123" t="s">
        <v>248</v>
      </c>
      <c r="C70" s="124">
        <v>0.48</v>
      </c>
      <c r="D70" s="124" t="s">
        <v>125</v>
      </c>
      <c r="E70" s="124">
        <v>2.4</v>
      </c>
      <c r="F70" s="124" t="s">
        <v>249</v>
      </c>
      <c r="G70" s="126">
        <v>0.45</v>
      </c>
      <c r="H70" s="124" t="s">
        <v>235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250</v>
      </c>
      <c r="B71" s="123" t="s">
        <v>251</v>
      </c>
      <c r="C71" s="124">
        <v>0.46</v>
      </c>
      <c r="D71" s="124" t="s">
        <v>252</v>
      </c>
      <c r="E71" s="124">
        <v>1.3</v>
      </c>
      <c r="F71" s="125" t="s">
        <v>126</v>
      </c>
      <c r="G71" s="126">
        <v>0.45</v>
      </c>
      <c r="H71" s="124" t="s">
        <v>235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253</v>
      </c>
      <c r="B72" s="123" t="s">
        <v>254</v>
      </c>
      <c r="C72" s="124">
        <v>0.44</v>
      </c>
      <c r="D72" s="124" t="s">
        <v>125</v>
      </c>
      <c r="E72" s="124">
        <v>1.3</v>
      </c>
      <c r="F72" s="125" t="s">
        <v>126</v>
      </c>
      <c r="G72" s="126">
        <v>0.45</v>
      </c>
      <c r="H72" s="124" t="s">
        <v>235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255</v>
      </c>
      <c r="B73" s="123" t="s">
        <v>256</v>
      </c>
      <c r="C73" s="124">
        <v>0.46</v>
      </c>
      <c r="D73" s="124" t="s">
        <v>257</v>
      </c>
      <c r="E73" s="124">
        <v>1.3</v>
      </c>
      <c r="F73" s="125" t="s">
        <v>126</v>
      </c>
      <c r="G73" s="126">
        <v>0.45</v>
      </c>
      <c r="H73" s="124" t="s">
        <v>235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258</v>
      </c>
      <c r="B74" s="123" t="s">
        <v>259</v>
      </c>
      <c r="C74" s="124">
        <v>0.34</v>
      </c>
      <c r="D74" s="124" t="s">
        <v>125</v>
      </c>
      <c r="E74" s="124">
        <v>1.3</v>
      </c>
      <c r="F74" s="125" t="s">
        <v>126</v>
      </c>
      <c r="G74" s="126">
        <v>0.45</v>
      </c>
      <c r="H74" s="124" t="s">
        <v>235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260</v>
      </c>
      <c r="B75" s="123" t="s">
        <v>261</v>
      </c>
      <c r="C75" s="124">
        <v>0.5</v>
      </c>
      <c r="D75" s="124" t="s">
        <v>125</v>
      </c>
      <c r="E75" s="124">
        <v>1.56</v>
      </c>
      <c r="F75" s="125" t="s">
        <v>126</v>
      </c>
      <c r="G75" s="126">
        <v>0.53</v>
      </c>
      <c r="H75" s="124" t="s">
        <v>179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262</v>
      </c>
      <c r="B76" s="123" t="s">
        <v>263</v>
      </c>
      <c r="C76" s="124">
        <v>0.57999999999999996</v>
      </c>
      <c r="D76" s="124" t="s">
        <v>125</v>
      </c>
      <c r="E76" s="124">
        <v>1.56</v>
      </c>
      <c r="F76" s="125" t="s">
        <v>126</v>
      </c>
      <c r="G76" s="126">
        <v>0.3</v>
      </c>
      <c r="H76" s="124" t="s">
        <v>264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265</v>
      </c>
      <c r="B77" s="123" t="s">
        <v>266</v>
      </c>
      <c r="C77" s="124">
        <v>0.37</v>
      </c>
      <c r="D77" s="124" t="s">
        <v>125</v>
      </c>
      <c r="E77" s="124">
        <v>1.3</v>
      </c>
      <c r="F77" s="125" t="s">
        <v>126</v>
      </c>
      <c r="G77" s="126">
        <v>0.55000000000000004</v>
      </c>
      <c r="H77" s="124" t="s">
        <v>151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267</v>
      </c>
      <c r="B78" s="123" t="s">
        <v>268</v>
      </c>
      <c r="C78" s="124">
        <v>0.37</v>
      </c>
      <c r="D78" s="124" t="s">
        <v>125</v>
      </c>
      <c r="E78" s="124">
        <v>1.3</v>
      </c>
      <c r="F78" s="125" t="s">
        <v>126</v>
      </c>
      <c r="G78" s="126">
        <v>0.55000000000000004</v>
      </c>
      <c r="H78" s="124" t="s">
        <v>151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269</v>
      </c>
      <c r="B79" s="123" t="s">
        <v>270</v>
      </c>
      <c r="C79" s="124">
        <v>0.38</v>
      </c>
      <c r="D79" s="124" t="s">
        <v>125</v>
      </c>
      <c r="E79" s="124">
        <v>1.3</v>
      </c>
      <c r="F79" s="125" t="s">
        <v>126</v>
      </c>
      <c r="G79" s="126">
        <v>0.55000000000000004</v>
      </c>
      <c r="H79" s="124" t="s">
        <v>141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271</v>
      </c>
      <c r="B80" s="123" t="s">
        <v>272</v>
      </c>
      <c r="C80" s="124">
        <v>0.36</v>
      </c>
      <c r="D80" s="124" t="s">
        <v>125</v>
      </c>
      <c r="E80" s="124">
        <v>1.3</v>
      </c>
      <c r="F80" s="125" t="s">
        <v>126</v>
      </c>
      <c r="G80" s="126">
        <v>0.55000000000000004</v>
      </c>
      <c r="H80" s="124" t="s">
        <v>141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273</v>
      </c>
      <c r="B81" s="123" t="s">
        <v>274</v>
      </c>
      <c r="C81" s="124">
        <v>0.37</v>
      </c>
      <c r="D81" s="124" t="s">
        <v>125</v>
      </c>
      <c r="E81" s="124">
        <v>1.56</v>
      </c>
      <c r="F81" s="125" t="s">
        <v>126</v>
      </c>
      <c r="G81" s="126">
        <v>0.43</v>
      </c>
      <c r="H81" s="124" t="s">
        <v>127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275</v>
      </c>
      <c r="B82" s="123" t="s">
        <v>276</v>
      </c>
      <c r="C82" s="124">
        <v>0.35</v>
      </c>
      <c r="D82" s="124" t="s">
        <v>277</v>
      </c>
      <c r="E82" s="124">
        <v>1.3</v>
      </c>
      <c r="F82" s="125" t="s">
        <v>126</v>
      </c>
      <c r="G82" s="126">
        <v>0.55000000000000004</v>
      </c>
      <c r="H82" s="124" t="s">
        <v>141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278</v>
      </c>
      <c r="B83" s="123" t="s">
        <v>279</v>
      </c>
      <c r="C83" s="124">
        <v>0.34</v>
      </c>
      <c r="D83" s="124" t="s">
        <v>125</v>
      </c>
      <c r="E83" s="124">
        <v>1.3</v>
      </c>
      <c r="F83" s="125" t="s">
        <v>126</v>
      </c>
      <c r="G83" s="126">
        <v>0.55000000000000004</v>
      </c>
      <c r="H83" s="124" t="s">
        <v>141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280</v>
      </c>
      <c r="B84" s="123" t="s">
        <v>281</v>
      </c>
      <c r="C84" s="124">
        <v>0.31</v>
      </c>
      <c r="D84" s="124" t="s">
        <v>125</v>
      </c>
      <c r="E84" s="124">
        <v>1.3</v>
      </c>
      <c r="F84" s="125" t="s">
        <v>126</v>
      </c>
      <c r="G84" s="126">
        <v>0.55000000000000004</v>
      </c>
      <c r="H84" s="124" t="s">
        <v>141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282</v>
      </c>
      <c r="B85" s="123" t="s">
        <v>283</v>
      </c>
      <c r="C85" s="124">
        <v>0.43</v>
      </c>
      <c r="D85" s="124" t="s">
        <v>125</v>
      </c>
      <c r="E85" s="124">
        <v>1.56</v>
      </c>
      <c r="F85" s="125" t="s">
        <v>126</v>
      </c>
      <c r="G85" s="126">
        <v>0.53</v>
      </c>
      <c r="H85" s="124" t="s">
        <v>179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284</v>
      </c>
      <c r="B86" s="123" t="s">
        <v>285</v>
      </c>
      <c r="C86" s="124">
        <v>0.38</v>
      </c>
      <c r="D86" s="124" t="s">
        <v>125</v>
      </c>
      <c r="E86" s="124">
        <v>1.56</v>
      </c>
      <c r="F86" s="125" t="s">
        <v>126</v>
      </c>
      <c r="G86" s="126">
        <v>0.6</v>
      </c>
      <c r="H86" s="124" t="s">
        <v>286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287</v>
      </c>
      <c r="B87" s="252" t="s">
        <v>288</v>
      </c>
      <c r="C87" s="253">
        <v>0.41</v>
      </c>
      <c r="D87" s="253" t="s">
        <v>289</v>
      </c>
      <c r="E87" s="253">
        <v>1.56</v>
      </c>
      <c r="F87" s="254" t="s">
        <v>126</v>
      </c>
      <c r="G87" s="255">
        <v>0.43</v>
      </c>
      <c r="H87" s="253" t="s">
        <v>127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290</v>
      </c>
      <c r="B88" s="130"/>
      <c r="C88" s="124">
        <v>0.42</v>
      </c>
      <c r="D88" s="124" t="s">
        <v>125</v>
      </c>
      <c r="E88" s="124">
        <v>1.3</v>
      </c>
      <c r="F88" s="125" t="s">
        <v>126</v>
      </c>
      <c r="G88" s="131"/>
      <c r="H88" s="130"/>
      <c r="I88" s="132"/>
    </row>
    <row r="89" spans="1:14" ht="15" thickBot="1" x14ac:dyDescent="0.4">
      <c r="A89" s="133" t="s">
        <v>291</v>
      </c>
      <c r="B89" s="134"/>
      <c r="C89" s="135">
        <v>0.56999999999999995</v>
      </c>
      <c r="D89" s="136" t="s">
        <v>125</v>
      </c>
      <c r="E89" s="135">
        <v>1.56</v>
      </c>
      <c r="F89" s="135" t="s">
        <v>126</v>
      </c>
      <c r="G89" s="134"/>
      <c r="H89" s="134"/>
      <c r="I89" s="137"/>
    </row>
    <row r="93" spans="1:14" x14ac:dyDescent="0.35">
      <c r="A93" s="122" t="s">
        <v>86</v>
      </c>
    </row>
    <row r="94" spans="1:14" x14ac:dyDescent="0.35">
      <c r="A94" s="122" t="s">
        <v>87</v>
      </c>
    </row>
    <row r="95" spans="1:14" x14ac:dyDescent="0.35">
      <c r="A95" s="122" t="s">
        <v>88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zoomScale="90" zoomScaleNormal="90" workbookViewId="0">
      <selection activeCell="N39" sqref="N39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292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293</v>
      </c>
      <c r="B5" s="139" t="s">
        <v>294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295</v>
      </c>
      <c r="F5" s="140" t="s">
        <v>296</v>
      </c>
      <c r="G5" s="140" t="s">
        <v>297</v>
      </c>
      <c r="H5" s="141" t="s">
        <v>298</v>
      </c>
      <c r="I5" s="142" t="s">
        <v>299</v>
      </c>
      <c r="J5" s="143" t="s">
        <v>300</v>
      </c>
      <c r="K5" s="144" t="s">
        <v>301</v>
      </c>
      <c r="L5" s="84" t="s">
        <v>302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1.4221808499999999</v>
      </c>
      <c r="C6" s="147">
        <f ca="1">IF(OR('Données projet'!B9="",'Données projet'!C9="",'Données projet'!C9=0%),0,Calculateur!S3)</f>
        <v>200.15574321350221</v>
      </c>
      <c r="D6" s="147">
        <f>IF(OR('Données projet'!B9="",'Données projet'!C9="",'Données projet'!C9=0%),0,Calculateur!T3)</f>
        <v>200.70728852570426</v>
      </c>
      <c r="E6" s="147">
        <f ca="1">MIN(C6,D6)</f>
        <v>200.15574321350221</v>
      </c>
      <c r="F6" s="147">
        <f ca="1">E6*B6</f>
        <v>284.6576650157603</v>
      </c>
      <c r="G6" s="147">
        <f ca="1">F6*(100%-'Données projet'!$C$24)*(100%-'Données projet'!$C$25)*(100%-'Données projet'!$C$26)*(100%-'Données projet'!$C$27)</f>
        <v>217.76311373705664</v>
      </c>
      <c r="H6" s="148">
        <f>IF(OR('Données projet'!B9="",'Données projet'!C9="",'Données projet'!C9=0%),0,AVERAGE(Calculateur!$AC$3:$AC$33)*B6)</f>
        <v>14.106474361410918</v>
      </c>
      <c r="I6" s="149">
        <f>H6*(100%-'Données projet'!$C$24)*(100%-'Données projet'!$C$25)*(100%-'Données projet'!$C$26)*(100%-'Données projet'!$C$27)</f>
        <v>10.791452886479352</v>
      </c>
      <c r="J6" s="150">
        <f>IF(OR('Données projet'!B9="",'Données projet'!C9="",'Données projet'!C9=0%),0,SUM(Calculateur!$V$3:$V$33)*VLOOKUP('Données projet'!$B$9,Paramètres!$A$1:$I$89,9,0)*B6)</f>
        <v>120.69939475423077</v>
      </c>
      <c r="K6" s="151">
        <f>J6*(100%-'Données projet'!$C$24)*(100%-'Données projet'!$C$25)*(100%-'Données projet'!$C$26)*(100%-'Données projet'!$C$27)</f>
        <v>92.335036986986537</v>
      </c>
      <c r="L6" s="152">
        <f ca="1">G6+I6+K6</f>
        <v>320.88960361052256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Peuplier Koster</v>
      </c>
      <c r="B7" s="154">
        <f>'Données projet'!D10</f>
        <v>0.59985379999999999</v>
      </c>
      <c r="C7" s="147">
        <f ca="1">IF(OR('Données projet'!B10="",'Données projet'!C10="",'Données projet'!C10=0%),0,Calculateur!AN3)</f>
        <v>45.407317338461951</v>
      </c>
      <c r="D7" s="147">
        <f>IF(OR('Données projet'!B10="",'Données projet'!C10="",'Données projet'!C10=0%),0,Calculateur!AO3)</f>
        <v>149.88701606165358</v>
      </c>
      <c r="E7" s="147">
        <f t="shared" ref="E7:E15" ca="1" si="0">MIN(C7,D7)</f>
        <v>45.407317338461951</v>
      </c>
      <c r="F7" s="147">
        <f t="shared" ref="F7:F15" ca="1" si="1">E7*B7</f>
        <v>27.237751853282287</v>
      </c>
      <c r="G7" s="147">
        <f ca="1">F7*(100%-'Données projet'!$C$24)*(100%-'Données projet'!$C$25)*(100%-'Données projet'!$C$26)*(100%-'Données projet'!$C$27)</f>
        <v>20.836880167760949</v>
      </c>
      <c r="H7" s="155">
        <f>IF(OR('Données projet'!B10="",'Données projet'!C10="",'Données projet'!C10=0%),0,AVERAGE(Calculateur!$AX$3:$AX$33)*B7)</f>
        <v>9.0614310088562871</v>
      </c>
      <c r="I7" s="149">
        <f>H7*(100%-'Données projet'!$C$24)*(100%-'Données projet'!$C$25)*(100%-'Données projet'!$C$26)*(100%-'Données projet'!$C$27)</f>
        <v>6.9319947217750588</v>
      </c>
      <c r="J7" s="150">
        <f>IF(OR('Données projet'!B10="",'Données projet'!C10="",'Données projet'!C10=0%),0,SUM(Calculateur!$AQ$3:$AQ$33)*VLOOKUP('Données projet'!$B$10,Paramètres!$A$1:$I$89,9,0)*B7)</f>
        <v>93.881188708276696</v>
      </c>
      <c r="K7" s="151">
        <f>J7*(100%-'Données projet'!$C$24)*(100%-'Données projet'!$C$25)*(100%-'Données projet'!$C$26)*(100%-'Données projet'!$C$27)</f>
        <v>71.819109361831678</v>
      </c>
      <c r="L7" s="152">
        <f t="shared" ref="L7:L15" ca="1" si="2">G7+I7+K7</f>
        <v>99.587984251367686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Cèdre de l'Atlas</v>
      </c>
      <c r="B8" s="154">
        <f>'Données projet'!D11</f>
        <v>0.67368196000000002</v>
      </c>
      <c r="C8" s="147">
        <f ca="1">IF(OR('Données projet'!B11="",'Données projet'!C11="",'Données projet'!C11=0%),0,Calculateur!BI3)</f>
        <v>183.67580045784649</v>
      </c>
      <c r="D8" s="147">
        <f>IF(OR('Données projet'!B11="",'Données projet'!C11="",'Données projet'!C11=0%),0,Calculateur!BJ3)</f>
        <v>121.08269345608767</v>
      </c>
      <c r="E8" s="147">
        <f t="shared" ca="1" si="0"/>
        <v>121.08269345608767</v>
      </c>
      <c r="F8" s="147">
        <f t="shared" ca="1" si="1"/>
        <v>81.571226249576313</v>
      </c>
      <c r="G8" s="147">
        <f ca="1">F8*(100%-'Données projet'!$C$24)*(100%-'Données projet'!$C$25)*(100%-'Données projet'!$C$26)*(100%-'Données projet'!$C$27)</f>
        <v>62.401988080925882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62.401988080925882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Chêne rouge d'Amérique</v>
      </c>
      <c r="B9" s="154">
        <f>'Données projet'!D12</f>
        <v>0.14996345</v>
      </c>
      <c r="C9" s="147">
        <f ca="1">IF(OR('Données projet'!B12="",'Données projet'!C12="",'Données projet'!C12=0%),0,Calculateur!CD3)</f>
        <v>216.10252108537389</v>
      </c>
      <c r="D9" s="147">
        <f>IF(OR('Données projet'!B12="",'Données projet'!C12="",'Données projet'!C12=0%),0,Calculateur!CE3)</f>
        <v>196.91968622092054</v>
      </c>
      <c r="E9" s="147">
        <f t="shared" ca="1" si="0"/>
        <v>196.91968622092054</v>
      </c>
      <c r="F9" s="147">
        <f t="shared" ca="1" si="1"/>
        <v>29.530755518606707</v>
      </c>
      <c r="G9" s="147">
        <f ca="1">F9*(100%-'Données projet'!$C$24)*(100%-'Données projet'!$C$25)*(100%-'Données projet'!$C$26)*(100%-'Données projet'!$C$27)</f>
        <v>22.591027971734128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22.591027971734128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Chêne sessile</v>
      </c>
      <c r="B10" s="154">
        <f>'Données projet'!D13</f>
        <v>0.44989035000000005</v>
      </c>
      <c r="C10" s="147">
        <f ca="1">IF(OR('Données projet'!B13="",'Données projet'!C13="",'Données projet'!C13=0%),0,Calculateur!CY3)</f>
        <v>318.01858325056168</v>
      </c>
      <c r="D10" s="147">
        <f>IF(OR('Données projet'!B13="",'Données projet'!C13="",'Données projet'!C13=0%),0,Calculateur!CZ3)</f>
        <v>119.46953274700951</v>
      </c>
      <c r="E10" s="147">
        <f t="shared" ca="1" si="0"/>
        <v>119.46953274700951</v>
      </c>
      <c r="F10" s="147">
        <f t="shared" ca="1" si="1"/>
        <v>53.748189901888573</v>
      </c>
      <c r="G10" s="147">
        <f ca="1">F10*(100%-'Données projet'!$C$24)*(100%-'Données projet'!$C$25)*(100%-'Données projet'!$C$26)*(100%-'Données projet'!$C$27)</f>
        <v>41.11736527494476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41.11736527494476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476.74558853911418</v>
      </c>
      <c r="G16" s="166">
        <f t="shared" ca="1" si="3"/>
        <v>364.71037523242234</v>
      </c>
      <c r="H16" s="167">
        <f t="shared" si="3"/>
        <v>23.167905370267206</v>
      </c>
      <c r="I16" s="167">
        <f t="shared" si="3"/>
        <v>17.723447608254411</v>
      </c>
      <c r="J16" s="168">
        <f t="shared" si="3"/>
        <v>214.58058346250746</v>
      </c>
      <c r="K16" s="168">
        <f t="shared" si="3"/>
        <v>164.15414634881822</v>
      </c>
      <c r="L16" s="169">
        <f t="shared" ca="1" si="3"/>
        <v>546.58796918949508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303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Peuplier Koster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Chêne rouge d'Amérique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Chêne sessile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N7" zoomScale="110" zoomScaleNormal="232" workbookViewId="0">
      <selection activeCell="E49" sqref="E49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304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305</v>
      </c>
      <c r="I4" s="262"/>
      <c r="K4" s="286" t="s">
        <v>306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71</v>
      </c>
      <c r="O7" s="247"/>
      <c r="P7" s="248"/>
      <c r="Q7" s="249"/>
      <c r="R7" s="296" t="s">
        <v>307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308</v>
      </c>
      <c r="C9" s="23"/>
      <c r="D9" s="23"/>
      <c r="E9" s="23"/>
      <c r="F9" s="230"/>
      <c r="G9" s="93" t="s">
        <v>309</v>
      </c>
      <c r="J9" s="200"/>
      <c r="K9" s="208"/>
      <c r="O9" s="23"/>
      <c r="P9" s="23"/>
      <c r="Q9" s="234"/>
      <c r="R9" s="23"/>
      <c r="S9" s="4"/>
      <c r="T9" s="36" t="s">
        <v>310</v>
      </c>
      <c r="U9" s="176" t="s">
        <v>311</v>
      </c>
      <c r="V9" s="36" t="s">
        <v>312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313</v>
      </c>
      <c r="C10" s="23"/>
      <c r="D10" s="23"/>
      <c r="E10" s="23"/>
      <c r="F10" s="230"/>
      <c r="G10" s="93" t="s">
        <v>314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2397.3016066563191</v>
      </c>
      <c r="U10" s="178">
        <f>'Données projet'!D9</f>
        <v>1.4221808499999999</v>
      </c>
      <c r="V10" s="177">
        <f>U10*T10</f>
        <v>3409.3964366608493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315</v>
      </c>
      <c r="B11" s="23"/>
      <c r="C11" s="23"/>
      <c r="D11" s="23"/>
      <c r="E11" s="23"/>
      <c r="F11" s="230"/>
      <c r="G11" s="93" t="s">
        <v>316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Peuplier Koster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567.84648562371069</v>
      </c>
      <c r="U11" s="178">
        <f>'Données projet'!D10</f>
        <v>0.59985379999999999</v>
      </c>
      <c r="V11" s="177">
        <f t="shared" ref="V11" si="0">U11*T11</f>
        <v>340.6248722180282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577.64847284310224</v>
      </c>
      <c r="U12" s="178">
        <f>'Données projet'!D11</f>
        <v>0.67368196000000002</v>
      </c>
      <c r="V12" s="177">
        <f t="shared" ref="V12:V19" si="1">U12*T12</f>
        <v>389.1513553759479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317</v>
      </c>
      <c r="M13" s="23"/>
      <c r="N13" s="23"/>
      <c r="O13" s="23"/>
      <c r="P13" s="23"/>
      <c r="Q13" s="234"/>
      <c r="R13" s="23"/>
      <c r="S13" s="36" t="str">
        <f>B107</f>
        <v>Chêne rouge d'Amérique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1945.080207926994</v>
      </c>
      <c r="U13" s="178">
        <f>'Données projet'!D12</f>
        <v>0.14996345</v>
      </c>
      <c r="V13" s="177">
        <f t="shared" si="1"/>
        <v>291.69093850744935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90</v>
      </c>
      <c r="I14" s="36" t="s">
        <v>318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sessile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755.12869153689758</v>
      </c>
      <c r="U14" s="178">
        <f>'Données projet'!D13</f>
        <v>0.44989035000000005</v>
      </c>
      <c r="V14" s="177">
        <f t="shared" si="1"/>
        <v>339.72511133057691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319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49</v>
      </c>
      <c r="B16" s="48" t="s">
        <v>320</v>
      </c>
      <c r="C16" s="48" t="s">
        <v>321</v>
      </c>
      <c r="D16" s="36" t="s">
        <v>322</v>
      </c>
      <c r="E16" s="36" t="s">
        <v>323</v>
      </c>
      <c r="F16" s="230"/>
      <c r="G16" s="289"/>
      <c r="H16" s="190"/>
      <c r="I16" s="191"/>
      <c r="J16" s="202"/>
      <c r="K16" s="208"/>
      <c r="L16" s="286" t="s">
        <v>324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207</v>
      </c>
      <c r="C17" s="198" t="s">
        <v>207</v>
      </c>
      <c r="D17" s="197" t="s">
        <v>207</v>
      </c>
      <c r="E17" s="193"/>
      <c r="F17" s="230"/>
      <c r="G17" s="289"/>
      <c r="J17" s="202"/>
      <c r="K17" s="208"/>
      <c r="L17" s="259" t="s">
        <v>325</v>
      </c>
      <c r="M17" s="261"/>
      <c r="N17" s="175">
        <f>VLOOKUP(N16,Calculateur!$A$2:$H$153,3,0)/VLOOKUP('Scénario référence'!$G$15,Paramètres!A1:I89,3,0)/VLOOKUP('Scénario référence'!$G$15,Paramètres!A1:I89,5,0)</f>
        <v>50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207</v>
      </c>
      <c r="C18" s="198" t="s">
        <v>207</v>
      </c>
      <c r="D18" s="197" t="s">
        <v>207</v>
      </c>
      <c r="E18" s="193"/>
      <c r="F18" s="230"/>
      <c r="G18" s="289"/>
      <c r="J18" s="202"/>
      <c r="K18" s="208"/>
      <c r="L18" s="259" t="s">
        <v>321</v>
      </c>
      <c r="M18" s="261"/>
      <c r="N18" s="192">
        <v>100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207</v>
      </c>
      <c r="C19" s="198" t="s">
        <v>207</v>
      </c>
      <c r="D19" s="197" t="s">
        <v>207</v>
      </c>
      <c r="E19" s="193"/>
      <c r="F19" s="230"/>
      <c r="G19" s="289"/>
      <c r="H19" s="212" t="s">
        <v>90</v>
      </c>
      <c r="I19" s="212" t="s">
        <v>326</v>
      </c>
      <c r="J19" s="93"/>
      <c r="K19" s="173"/>
      <c r="L19" s="286" t="s">
        <v>327</v>
      </c>
      <c r="M19" s="287"/>
      <c r="N19" s="179">
        <f>N17*N18</f>
        <v>5000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207</v>
      </c>
      <c r="C20" s="198" t="s">
        <v>207</v>
      </c>
      <c r="D20" s="197" t="s">
        <v>207</v>
      </c>
      <c r="E20" s="193"/>
      <c r="F20" s="230"/>
      <c r="G20" s="289"/>
      <c r="H20" s="190">
        <v>1</v>
      </c>
      <c r="I20" s="191">
        <v>4041.7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207</v>
      </c>
      <c r="C21" s="198" t="s">
        <v>207</v>
      </c>
      <c r="D21" s="197" t="s">
        <v>207</v>
      </c>
      <c r="E21" s="193"/>
      <c r="F21" s="230"/>
      <c r="H21" s="190">
        <v>1</v>
      </c>
      <c r="I21" s="191">
        <v>1800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207</v>
      </c>
      <c r="C22" s="198" t="s">
        <v>207</v>
      </c>
      <c r="D22" s="197" t="s">
        <v>207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17</v>
      </c>
      <c r="B23" s="181">
        <f>'Données projet'!D36</f>
        <v>42.084615384615383</v>
      </c>
      <c r="C23" s="193">
        <v>10</v>
      </c>
      <c r="D23" s="182">
        <f>B23*C23</f>
        <v>420.84615384615381</v>
      </c>
      <c r="E23" s="193">
        <v>150</v>
      </c>
      <c r="F23" s="230"/>
      <c r="H23" s="190"/>
      <c r="I23" s="191"/>
      <c r="K23" s="208"/>
      <c r="L23" s="288" t="s">
        <v>328</v>
      </c>
      <c r="M23" s="288"/>
      <c r="N23" s="288"/>
      <c r="O23" s="23"/>
      <c r="P23" s="23"/>
      <c r="Q23" s="234"/>
      <c r="R23" s="23"/>
      <c r="S23" s="36" t="s">
        <v>329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-13653.965381600929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23</v>
      </c>
      <c r="B24" s="181">
        <f>'Données projet'!D37</f>
        <v>54.099999999999994</v>
      </c>
      <c r="C24" s="193">
        <v>18</v>
      </c>
      <c r="D24" s="182">
        <f t="shared" ref="D24:D42" si="2">B24*C24</f>
        <v>973.8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330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1824.4396766089646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29</v>
      </c>
      <c r="B25" s="181">
        <f>'Données projet'!D38</f>
        <v>47.661538461538463</v>
      </c>
      <c r="C25" s="193">
        <v>25</v>
      </c>
      <c r="D25" s="182">
        <f t="shared" si="2"/>
        <v>1191.5384615384617</v>
      </c>
      <c r="E25" s="193">
        <v>150</v>
      </c>
      <c r="F25" s="233"/>
      <c r="H25" s="190"/>
      <c r="I25" s="191"/>
      <c r="K25" s="208"/>
      <c r="L25" s="130" t="s">
        <v>331</v>
      </c>
      <c r="M25" s="130"/>
      <c r="N25" s="130"/>
      <c r="O25" s="130"/>
      <c r="P25" s="192"/>
      <c r="Q25" s="234"/>
      <c r="R25" s="23"/>
      <c r="S25" s="186" t="s">
        <v>332</v>
      </c>
      <c r="T25" s="303">
        <f ca="1">T23-T24</f>
        <v>-15478.405058209893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36</v>
      </c>
      <c r="B26" s="181">
        <f>'Données projet'!D39</f>
        <v>64.553846153846152</v>
      </c>
      <c r="C26" s="193">
        <v>25</v>
      </c>
      <c r="D26" s="182">
        <f t="shared" si="2"/>
        <v>1613.8461538461538</v>
      </c>
      <c r="E26" s="193">
        <v>150</v>
      </c>
      <c r="F26" s="233"/>
      <c r="G26" s="229"/>
      <c r="H26" s="190"/>
      <c r="I26" s="191"/>
      <c r="K26" s="208"/>
      <c r="L26" s="290" t="s">
        <v>333</v>
      </c>
      <c r="M26" s="291"/>
      <c r="N26" s="291"/>
      <c r="O26" s="291"/>
      <c r="P26" s="292"/>
      <c r="Q26" s="234"/>
      <c r="R26" s="23"/>
      <c r="S26" s="186" t="s">
        <v>334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44</v>
      </c>
      <c r="B27" s="181">
        <f>'Données projet'!D40</f>
        <v>64.476923076923072</v>
      </c>
      <c r="C27" s="193">
        <v>35</v>
      </c>
      <c r="D27" s="182">
        <f t="shared" si="2"/>
        <v>2256.6923076923076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335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52</v>
      </c>
      <c r="B28" s="181">
        <f>'Données projet'!D41</f>
        <v>61.784615384615378</v>
      </c>
      <c r="C28" s="193">
        <v>35</v>
      </c>
      <c r="D28" s="182">
        <f t="shared" si="2"/>
        <v>2162.4615384615381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60</v>
      </c>
      <c r="B29" s="181">
        <f>'Données projet'!D42</f>
        <v>353.5</v>
      </c>
      <c r="C29" s="193">
        <v>35</v>
      </c>
      <c r="D29" s="182">
        <f t="shared" si="2"/>
        <v>12372.5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336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90</v>
      </c>
      <c r="P32" s="85" t="s">
        <v>322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Peuplier Koster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49</v>
      </c>
      <c r="B47" s="48" t="s">
        <v>320</v>
      </c>
      <c r="C47" s="48" t="s">
        <v>321</v>
      </c>
      <c r="D47" s="36" t="s">
        <v>322</v>
      </c>
      <c r="E47" s="36" t="s">
        <v>323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207</v>
      </c>
      <c r="C48" s="198" t="s">
        <v>207</v>
      </c>
      <c r="D48" s="197" t="s">
        <v>207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207</v>
      </c>
      <c r="C49" s="198" t="s">
        <v>207</v>
      </c>
      <c r="D49" s="197" t="s">
        <v>207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207</v>
      </c>
      <c r="C50" s="198" t="s">
        <v>207</v>
      </c>
      <c r="D50" s="197" t="s">
        <v>207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207</v>
      </c>
      <c r="C51" s="198" t="s">
        <v>207</v>
      </c>
      <c r="D51" s="197" t="s">
        <v>207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207</v>
      </c>
      <c r="C52" s="198" t="s">
        <v>207</v>
      </c>
      <c r="D52" s="197" t="s">
        <v>207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207</v>
      </c>
      <c r="C53" s="198" t="s">
        <v>207</v>
      </c>
      <c r="D53" s="197" t="s">
        <v>207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5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6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7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8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9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10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11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12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13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14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15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16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17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18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19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20</v>
      </c>
      <c r="B69" s="181">
        <f>'Données projet'!D77</f>
        <v>151.94833333333338</v>
      </c>
      <c r="C69" s="191">
        <v>10</v>
      </c>
      <c r="D69" s="179">
        <f t="shared" si="4"/>
        <v>1519.4833333333338</v>
      </c>
      <c r="E69" s="193">
        <v>150</v>
      </c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49</v>
      </c>
      <c r="B78" s="48" t="s">
        <v>320</v>
      </c>
      <c r="C78" s="48" t="s">
        <v>321</v>
      </c>
      <c r="D78" s="36" t="s">
        <v>322</v>
      </c>
      <c r="E78" s="36" t="s">
        <v>323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207</v>
      </c>
      <c r="C79" s="198" t="s">
        <v>207</v>
      </c>
      <c r="D79" s="197" t="s">
        <v>207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207</v>
      </c>
      <c r="C80" s="198" t="s">
        <v>207</v>
      </c>
      <c r="D80" s="197" t="s">
        <v>207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207</v>
      </c>
      <c r="C81" s="198" t="s">
        <v>207</v>
      </c>
      <c r="D81" s="197" t="s">
        <v>207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207</v>
      </c>
      <c r="C82" s="198" t="s">
        <v>207</v>
      </c>
      <c r="D82" s="197" t="s">
        <v>207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207</v>
      </c>
      <c r="C83" s="198" t="s">
        <v>207</v>
      </c>
      <c r="D83" s="197" t="s">
        <v>207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207</v>
      </c>
      <c r="C84" s="198" t="s">
        <v>207</v>
      </c>
      <c r="D84" s="197" t="s">
        <v>207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51</v>
      </c>
      <c r="B86" s="181">
        <f>'Données projet'!D89</f>
        <v>170.16153846153847</v>
      </c>
      <c r="C86" s="191">
        <v>10</v>
      </c>
      <c r="D86" s="179">
        <f t="shared" ref="D86:D104" si="6">B86*C86</f>
        <v>1701.6153846153848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61</v>
      </c>
      <c r="B87" s="181">
        <f>'Données projet'!D90</f>
        <v>94.76153846153845</v>
      </c>
      <c r="C87" s="191">
        <v>18</v>
      </c>
      <c r="D87" s="179">
        <f t="shared" si="6"/>
        <v>1705.707692307692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73</v>
      </c>
      <c r="B88" s="181">
        <f>'Données projet'!D91</f>
        <v>93.584615384615375</v>
      </c>
      <c r="C88" s="191">
        <v>25</v>
      </c>
      <c r="D88" s="179">
        <f t="shared" si="6"/>
        <v>2339.6153846153843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85</v>
      </c>
      <c r="B89" s="181">
        <f>'Données projet'!D92</f>
        <v>85.207692307692298</v>
      </c>
      <c r="C89" s="191">
        <v>35</v>
      </c>
      <c r="D89" s="179">
        <f t="shared" si="6"/>
        <v>2982.2692307692305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97</v>
      </c>
      <c r="B90" s="181">
        <f>'Données projet'!D93</f>
        <v>79.669230769230765</v>
      </c>
      <c r="C90" s="191">
        <v>40</v>
      </c>
      <c r="D90" s="179">
        <f t="shared" si="6"/>
        <v>3186.7692307692305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109</v>
      </c>
      <c r="B91" s="181">
        <f>'Données projet'!D94</f>
        <v>80.653846153846146</v>
      </c>
      <c r="C91" s="191">
        <v>45</v>
      </c>
      <c r="D91" s="179">
        <f t="shared" si="6"/>
        <v>3629.4230769230767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121</v>
      </c>
      <c r="B92" s="181">
        <f>'Données projet'!D95</f>
        <v>207.07692307692307</v>
      </c>
      <c r="C92" s="191">
        <v>45</v>
      </c>
      <c r="D92" s="179">
        <f t="shared" si="6"/>
        <v>9318.4615384615372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131</v>
      </c>
      <c r="B93" s="181">
        <f>'Données projet'!D96</f>
        <v>259.61538461538458</v>
      </c>
      <c r="C93" s="191">
        <v>45</v>
      </c>
      <c r="D93" s="179">
        <f t="shared" si="6"/>
        <v>11682.692307692307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>Chêne rouge d'Amérique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49</v>
      </c>
      <c r="B109" s="48" t="s">
        <v>320</v>
      </c>
      <c r="C109" s="48" t="s">
        <v>321</v>
      </c>
      <c r="D109" s="36" t="s">
        <v>322</v>
      </c>
      <c r="E109" s="36" t="s">
        <v>323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207</v>
      </c>
      <c r="C110" s="198" t="s">
        <v>207</v>
      </c>
      <c r="D110" s="197" t="s">
        <v>207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207</v>
      </c>
      <c r="C111" s="198" t="s">
        <v>207</v>
      </c>
      <c r="D111" s="197" t="s">
        <v>207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207</v>
      </c>
      <c r="C112" s="198" t="s">
        <v>207</v>
      </c>
      <c r="D112" s="197" t="s">
        <v>207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207</v>
      </c>
      <c r="C113" s="198" t="s">
        <v>207</v>
      </c>
      <c r="D113" s="197" t="s">
        <v>207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207</v>
      </c>
      <c r="C114" s="198" t="s">
        <v>207</v>
      </c>
      <c r="D114" s="197" t="s">
        <v>207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207</v>
      </c>
      <c r="C115" s="198" t="s">
        <v>207</v>
      </c>
      <c r="D115" s="197" t="s">
        <v>207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15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20</v>
      </c>
      <c r="B118" s="181" t="str">
        <f>'Données projet'!D116</f>
        <v>29</v>
      </c>
      <c r="C118" s="191">
        <v>10</v>
      </c>
      <c r="D118" s="179">
        <f t="shared" si="8"/>
        <v>290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25</v>
      </c>
      <c r="B119" s="181" t="str">
        <f>'Données projet'!D117</f>
        <v>19</v>
      </c>
      <c r="C119" s="191">
        <v>10</v>
      </c>
      <c r="D119" s="179">
        <f t="shared" si="8"/>
        <v>190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30</v>
      </c>
      <c r="B120" s="181" t="str">
        <f>'Données projet'!D118</f>
        <v>20</v>
      </c>
      <c r="C120" s="191">
        <v>50</v>
      </c>
      <c r="D120" s="179">
        <f t="shared" si="8"/>
        <v>1000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35</v>
      </c>
      <c r="B121" s="181" t="str">
        <f>'Données projet'!D119</f>
        <v>20</v>
      </c>
      <c r="C121" s="191">
        <v>50</v>
      </c>
      <c r="D121" s="179">
        <f t="shared" si="8"/>
        <v>1000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40</v>
      </c>
      <c r="B122" s="181" t="str">
        <f>'Données projet'!D120</f>
        <v>20</v>
      </c>
      <c r="C122" s="191">
        <v>50</v>
      </c>
      <c r="D122" s="179">
        <f t="shared" si="8"/>
        <v>1000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45</v>
      </c>
      <c r="B123" s="181" t="str">
        <f>'Données projet'!D121</f>
        <v>19</v>
      </c>
      <c r="C123" s="191">
        <v>100</v>
      </c>
      <c r="D123" s="179">
        <f t="shared" si="8"/>
        <v>1900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50</v>
      </c>
      <c r="B124" s="181" t="str">
        <f>'Données projet'!D122</f>
        <v>18</v>
      </c>
      <c r="C124" s="191">
        <v>100</v>
      </c>
      <c r="D124" s="179">
        <f t="shared" si="8"/>
        <v>1800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55</v>
      </c>
      <c r="B125" s="181" t="str">
        <f>'Données projet'!D123</f>
        <v>17</v>
      </c>
      <c r="C125" s="191">
        <v>150</v>
      </c>
      <c r="D125" s="179">
        <f t="shared" si="8"/>
        <v>2550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60</v>
      </c>
      <c r="B126" s="181" t="str">
        <f>'Données projet'!D124</f>
        <v>16</v>
      </c>
      <c r="C126" s="191">
        <v>150</v>
      </c>
      <c r="D126" s="179">
        <f t="shared" si="8"/>
        <v>2400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65</v>
      </c>
      <c r="B127" s="181" t="str">
        <f>'Données projet'!D125</f>
        <v>15</v>
      </c>
      <c r="C127" s="191">
        <v>150</v>
      </c>
      <c r="D127" s="179">
        <f t="shared" si="8"/>
        <v>2250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70</v>
      </c>
      <c r="B128" s="181" t="str">
        <f>'Données projet'!D126</f>
        <v>14</v>
      </c>
      <c r="C128" s="191">
        <v>200</v>
      </c>
      <c r="D128" s="179">
        <f t="shared" si="8"/>
        <v>2800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75</v>
      </c>
      <c r="B129" s="181" t="str">
        <f>'Données projet'!D127</f>
        <v>12</v>
      </c>
      <c r="C129" s="191">
        <v>200</v>
      </c>
      <c r="D129" s="179">
        <f t="shared" si="8"/>
        <v>2400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80</v>
      </c>
      <c r="B130" s="181" t="str">
        <f>'Données projet'!D128</f>
        <v>11</v>
      </c>
      <c r="C130" s="191">
        <v>200</v>
      </c>
      <c r="D130" s="179">
        <f t="shared" si="8"/>
        <v>2200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85</v>
      </c>
      <c r="B131" s="181" t="str">
        <f>'Données projet'!D129</f>
        <v>10</v>
      </c>
      <c r="C131" s="191">
        <v>200</v>
      </c>
      <c r="D131" s="179">
        <f t="shared" si="8"/>
        <v>2000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90</v>
      </c>
      <c r="B132" s="181" t="str">
        <f>'Données projet'!D130</f>
        <v>10</v>
      </c>
      <c r="C132" s="191">
        <v>200</v>
      </c>
      <c r="D132" s="179">
        <f t="shared" si="8"/>
        <v>2000</v>
      </c>
      <c r="E132" s="193">
        <v>150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95</v>
      </c>
      <c r="B133" s="181" t="str">
        <f>'Données projet'!D131</f>
        <v>11</v>
      </c>
      <c r="C133" s="191">
        <v>200</v>
      </c>
      <c r="D133" s="179">
        <f t="shared" si="8"/>
        <v>2200</v>
      </c>
      <c r="E133" s="193">
        <v>150</v>
      </c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100</v>
      </c>
      <c r="B134" s="181" t="str">
        <f>'Données projet'!D132</f>
        <v>11</v>
      </c>
      <c r="C134" s="191">
        <v>200</v>
      </c>
      <c r="D134" s="179">
        <f t="shared" si="8"/>
        <v>2200</v>
      </c>
      <c r="E134" s="193">
        <v>150</v>
      </c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24</v>
      </c>
      <c r="B138" s="174" t="str">
        <f>IF('Données projet'!B13="","",'Données projet'!B13)</f>
        <v>Chêne sessile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49</v>
      </c>
      <c r="B140" s="48" t="s">
        <v>320</v>
      </c>
      <c r="C140" s="48" t="s">
        <v>321</v>
      </c>
      <c r="D140" s="36" t="s">
        <v>322</v>
      </c>
      <c r="E140" s="36" t="s">
        <v>323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207</v>
      </c>
      <c r="C141" s="198" t="s">
        <v>207</v>
      </c>
      <c r="D141" s="197" t="s">
        <v>207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207</v>
      </c>
      <c r="C142" s="198" t="s">
        <v>207</v>
      </c>
      <c r="D142" s="197" t="s">
        <v>207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207</v>
      </c>
      <c r="C143" s="198" t="s">
        <v>207</v>
      </c>
      <c r="D143" s="197" t="s">
        <v>207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207</v>
      </c>
      <c r="C144" s="198" t="s">
        <v>207</v>
      </c>
      <c r="D144" s="197" t="s">
        <v>207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207</v>
      </c>
      <c r="C145" s="198" t="s">
        <v>207</v>
      </c>
      <c r="D145" s="197" t="s">
        <v>207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207</v>
      </c>
      <c r="C146" s="198" t="s">
        <v>207</v>
      </c>
      <c r="D146" s="197" t="s">
        <v>207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30</v>
      </c>
      <c r="B147" s="175">
        <f>'Données projet'!D140</f>
        <v>0</v>
      </c>
      <c r="C147" s="191">
        <v>0</v>
      </c>
      <c r="D147" s="182">
        <f>B147*C147</f>
        <v>0</v>
      </c>
      <c r="E147" s="193">
        <v>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42</v>
      </c>
      <c r="B148" s="175">
        <f>'Données projet'!D141</f>
        <v>38.685897435897438</v>
      </c>
      <c r="C148" s="191">
        <v>10</v>
      </c>
      <c r="D148" s="182">
        <f t="shared" ref="D148:D166" si="10">B148*C148</f>
        <v>386.85897435897436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50</v>
      </c>
      <c r="B149" s="175">
        <f>'Données projet'!D142</f>
        <v>29.416666666666664</v>
      </c>
      <c r="C149" s="191">
        <v>10</v>
      </c>
      <c r="D149" s="182">
        <f t="shared" si="10"/>
        <v>294.16666666666663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58</v>
      </c>
      <c r="B150" s="175">
        <f>'Données projet'!D143</f>
        <v>35.88461538461538</v>
      </c>
      <c r="C150" s="191">
        <v>50</v>
      </c>
      <c r="D150" s="182">
        <f t="shared" si="10"/>
        <v>1794.2307692307691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66</v>
      </c>
      <c r="B151" s="175">
        <f>'Données projet'!D144</f>
        <v>39.166666666666664</v>
      </c>
      <c r="C151" s="191">
        <v>50</v>
      </c>
      <c r="D151" s="182">
        <f t="shared" si="10"/>
        <v>1958.3333333333333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74</v>
      </c>
      <c r="B152" s="175">
        <f>'Données projet'!D145</f>
        <v>36.865384615384613</v>
      </c>
      <c r="C152" s="191">
        <v>50</v>
      </c>
      <c r="D152" s="182">
        <f t="shared" si="10"/>
        <v>1843.2692307692307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84</v>
      </c>
      <c r="B153" s="175">
        <f>'Données projet'!D146</f>
        <v>47.256410256410255</v>
      </c>
      <c r="C153" s="191">
        <v>100</v>
      </c>
      <c r="D153" s="182">
        <f t="shared" si="10"/>
        <v>4725.6410256410254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94</v>
      </c>
      <c r="B154" s="175">
        <f>'Données projet'!D147</f>
        <v>47.243589743589745</v>
      </c>
      <c r="C154" s="191">
        <v>100</v>
      </c>
      <c r="D154" s="182">
        <f t="shared" si="10"/>
        <v>4724.3589743589746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104</v>
      </c>
      <c r="B155" s="175">
        <f>'Données projet'!D148</f>
        <v>45.987179487179482</v>
      </c>
      <c r="C155" s="191">
        <v>150</v>
      </c>
      <c r="D155" s="182">
        <f t="shared" si="10"/>
        <v>6898.076923076922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114</v>
      </c>
      <c r="B156" s="175">
        <f>'Données projet'!D149</f>
        <v>42.78846153846154</v>
      </c>
      <c r="C156" s="191">
        <v>150</v>
      </c>
      <c r="D156" s="182">
        <f t="shared" si="10"/>
        <v>6418.2692307692314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124</v>
      </c>
      <c r="B157" s="175">
        <f>'Données projet'!D150</f>
        <v>39.820512820512818</v>
      </c>
      <c r="C157" s="191">
        <v>150</v>
      </c>
      <c r="D157" s="182">
        <f t="shared" si="10"/>
        <v>5973.0769230769229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134</v>
      </c>
      <c r="B158" s="175">
        <f>'Données projet'!D151</f>
        <v>41.666666666666664</v>
      </c>
      <c r="C158" s="191">
        <v>200</v>
      </c>
      <c r="D158" s="182">
        <f t="shared" si="10"/>
        <v>8333.3333333333321</v>
      </c>
      <c r="E158" s="193">
        <v>150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144</v>
      </c>
      <c r="B159" s="175">
        <f>'Données projet'!D152</f>
        <v>42.224358974358978</v>
      </c>
      <c r="C159" s="191">
        <v>200</v>
      </c>
      <c r="D159" s="182">
        <f t="shared" si="10"/>
        <v>8444.8717948717949</v>
      </c>
      <c r="E159" s="193">
        <v>150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154</v>
      </c>
      <c r="B160" s="175">
        <f>'Données projet'!D153</f>
        <v>41.557692307692307</v>
      </c>
      <c r="C160" s="191">
        <v>200</v>
      </c>
      <c r="D160" s="182">
        <f t="shared" si="10"/>
        <v>8311.538461538461</v>
      </c>
      <c r="E160" s="193">
        <v>150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164</v>
      </c>
      <c r="B161" s="175">
        <f>'Données projet'!D154</f>
        <v>44.814102564102562</v>
      </c>
      <c r="C161" s="191">
        <v>200</v>
      </c>
      <c r="D161" s="182">
        <f t="shared" si="10"/>
        <v>8962.8205128205118</v>
      </c>
      <c r="E161" s="193">
        <v>150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174</v>
      </c>
      <c r="B162" s="175">
        <f>'Données projet'!D155</f>
        <v>162.38461538461539</v>
      </c>
      <c r="C162" s="191">
        <v>200</v>
      </c>
      <c r="D162" s="182">
        <f t="shared" si="10"/>
        <v>32476.923076923078</v>
      </c>
      <c r="E162" s="193">
        <v>150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177</v>
      </c>
      <c r="B163" s="175">
        <f>'Données projet'!D156</f>
        <v>87</v>
      </c>
      <c r="C163" s="191">
        <v>200</v>
      </c>
      <c r="D163" s="182">
        <f t="shared" si="10"/>
        <v>17400</v>
      </c>
      <c r="E163" s="193">
        <v>150</v>
      </c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180</v>
      </c>
      <c r="B164" s="175">
        <f>'Données projet'!D157</f>
        <v>58.794871794871796</v>
      </c>
      <c r="C164" s="191">
        <v>200</v>
      </c>
      <c r="D164" s="182">
        <f t="shared" si="10"/>
        <v>11758.974358974359</v>
      </c>
      <c r="E164" s="193">
        <v>150</v>
      </c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183</v>
      </c>
      <c r="B165" s="175">
        <f>'Données projet'!D158</f>
        <v>129.32692307692307</v>
      </c>
      <c r="C165" s="191">
        <v>200</v>
      </c>
      <c r="D165" s="182">
        <f t="shared" si="10"/>
        <v>25865.384615384613</v>
      </c>
      <c r="E165" s="193">
        <v>150</v>
      </c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26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49</v>
      </c>
      <c r="B171" s="48" t="s">
        <v>320</v>
      </c>
      <c r="C171" s="48" t="s">
        <v>321</v>
      </c>
      <c r="D171" s="36" t="s">
        <v>322</v>
      </c>
      <c r="E171" s="36" t="s">
        <v>323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207</v>
      </c>
      <c r="C172" s="198" t="s">
        <v>207</v>
      </c>
      <c r="D172" s="197" t="s">
        <v>207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207</v>
      </c>
      <c r="C173" s="198" t="s">
        <v>207</v>
      </c>
      <c r="D173" s="197" t="s">
        <v>207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207</v>
      </c>
      <c r="C174" s="198" t="s">
        <v>207</v>
      </c>
      <c r="D174" s="197" t="s">
        <v>207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207</v>
      </c>
      <c r="C175" s="198" t="s">
        <v>207</v>
      </c>
      <c r="D175" s="197" t="s">
        <v>207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207</v>
      </c>
      <c r="C176" s="198" t="s">
        <v>207</v>
      </c>
      <c r="D176" s="197" t="s">
        <v>207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207</v>
      </c>
      <c r="C177" s="198" t="s">
        <v>207</v>
      </c>
      <c r="D177" s="197" t="s">
        <v>207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27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49</v>
      </c>
      <c r="B202" s="48" t="s">
        <v>320</v>
      </c>
      <c r="C202" s="48" t="s">
        <v>321</v>
      </c>
      <c r="D202" s="36" t="s">
        <v>322</v>
      </c>
      <c r="E202" s="36" t="s">
        <v>323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207</v>
      </c>
      <c r="C203" s="198" t="s">
        <v>207</v>
      </c>
      <c r="D203" s="197" t="s">
        <v>207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207</v>
      </c>
      <c r="C204" s="198" t="s">
        <v>207</v>
      </c>
      <c r="D204" s="197" t="s">
        <v>207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207</v>
      </c>
      <c r="C205" s="198" t="s">
        <v>207</v>
      </c>
      <c r="D205" s="197" t="s">
        <v>207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207</v>
      </c>
      <c r="C206" s="198" t="s">
        <v>207</v>
      </c>
      <c r="D206" s="197" t="s">
        <v>207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207</v>
      </c>
      <c r="C207" s="198" t="s">
        <v>207</v>
      </c>
      <c r="D207" s="197" t="s">
        <v>207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207</v>
      </c>
      <c r="C208" s="198" t="s">
        <v>207</v>
      </c>
      <c r="D208" s="197" t="s">
        <v>207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28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49</v>
      </c>
      <c r="B233" s="48" t="s">
        <v>320</v>
      </c>
      <c r="C233" s="48" t="s">
        <v>321</v>
      </c>
      <c r="D233" s="36" t="s">
        <v>322</v>
      </c>
      <c r="E233" s="36" t="s">
        <v>323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207</v>
      </c>
      <c r="C234" s="198" t="s">
        <v>207</v>
      </c>
      <c r="D234" s="197" t="s">
        <v>207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207</v>
      </c>
      <c r="C235" s="198" t="s">
        <v>207</v>
      </c>
      <c r="D235" s="197" t="s">
        <v>207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207</v>
      </c>
      <c r="C236" s="198" t="s">
        <v>207</v>
      </c>
      <c r="D236" s="197" t="s">
        <v>207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207</v>
      </c>
      <c r="C237" s="198" t="s">
        <v>207</v>
      </c>
      <c r="D237" s="197" t="s">
        <v>207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207</v>
      </c>
      <c r="C238" s="198" t="s">
        <v>207</v>
      </c>
      <c r="D238" s="197" t="s">
        <v>207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207</v>
      </c>
      <c r="C239" s="198" t="s">
        <v>207</v>
      </c>
      <c r="D239" s="197" t="s">
        <v>207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29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49</v>
      </c>
      <c r="B264" s="48" t="s">
        <v>320</v>
      </c>
      <c r="C264" s="48" t="s">
        <v>321</v>
      </c>
      <c r="D264" s="36" t="s">
        <v>322</v>
      </c>
      <c r="E264" s="36" t="s">
        <v>323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207</v>
      </c>
      <c r="C265" s="198" t="s">
        <v>207</v>
      </c>
      <c r="D265" s="197" t="s">
        <v>207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207</v>
      </c>
      <c r="C266" s="198" t="s">
        <v>207</v>
      </c>
      <c r="D266" s="197" t="s">
        <v>207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207</v>
      </c>
      <c r="C267" s="198" t="s">
        <v>207</v>
      </c>
      <c r="D267" s="197" t="s">
        <v>207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207</v>
      </c>
      <c r="C268" s="198" t="s">
        <v>207</v>
      </c>
      <c r="D268" s="197" t="s">
        <v>207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207</v>
      </c>
      <c r="C269" s="198" t="s">
        <v>207</v>
      </c>
      <c r="D269" s="197" t="s">
        <v>207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207</v>
      </c>
      <c r="C270" s="198" t="s">
        <v>207</v>
      </c>
      <c r="D270" s="197" t="s">
        <v>207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30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49</v>
      </c>
      <c r="B295" s="48" t="s">
        <v>320</v>
      </c>
      <c r="C295" s="48" t="s">
        <v>321</v>
      </c>
      <c r="D295" s="36" t="s">
        <v>322</v>
      </c>
      <c r="E295" s="36" t="s">
        <v>323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207</v>
      </c>
      <c r="C296" s="198" t="s">
        <v>207</v>
      </c>
      <c r="D296" s="197" t="s">
        <v>207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207</v>
      </c>
      <c r="C297" s="198" t="s">
        <v>207</v>
      </c>
      <c r="D297" s="197" t="s">
        <v>207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207</v>
      </c>
      <c r="C298" s="198" t="s">
        <v>207</v>
      </c>
      <c r="D298" s="197" t="s">
        <v>207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207</v>
      </c>
      <c r="C299" s="198" t="s">
        <v>207</v>
      </c>
      <c r="D299" s="197" t="s">
        <v>207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207</v>
      </c>
      <c r="C300" s="198" t="s">
        <v>207</v>
      </c>
      <c r="D300" s="197" t="s">
        <v>207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207</v>
      </c>
      <c r="C301" s="198" t="s">
        <v>207</v>
      </c>
      <c r="D301" s="197" t="s">
        <v>207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18F9DD-407B-4402-A290-6DE3A8134033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512BAEF1-AAC4-49E2-A6BD-04B7D7FEFD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D24A5B-1DA3-4172-BF0A-DD79F83FF4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Imène BELAZEREG</cp:lastModifiedBy>
  <cp:revision/>
  <dcterms:created xsi:type="dcterms:W3CDTF">2021-02-01T08:22:39Z</dcterms:created>
  <dcterms:modified xsi:type="dcterms:W3CDTF">2025-01-21T14:26:01Z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