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Malause (82) -GF des Carolins-SWC E5\Dossier déposé le 17112023\"/>
    </mc:Choice>
  </mc:AlternateContent>
  <xr:revisionPtr revIDLastSave="0" documentId="13_ncr:1_{75083DC7-56B3-4457-87D5-3424CECC0D2B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<sst xmlns="http://schemas.openxmlformats.org/spreadsheetml/2006/main" count="1170" uniqueCount="324">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</sst>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1.6131489418963902</c:v>
                </c:pt>
                <c:pt idx="2">
                  <c:v>2.2544210678545569</c:v>
                </c:pt>
                <c:pt idx="3">
                  <c:v>3.1517380223683329</c:v>
                </c:pt>
                <c:pt idx="4">
                  <c:v>4.4077544440321104</c:v>
                </c:pt>
                <c:pt idx="5">
                  <c:v>6.166439865429024</c:v>
                </c:pt>
                <c:pt idx="6">
                  <c:v>8.6297655279769696</c:v>
                </c:pt>
                <c:pt idx="7">
                  <c:v>12.081152833684456</c:v>
                </c:pt>
                <c:pt idx="8">
                  <c:v>16.91843143430879</c:v>
                </c:pt>
                <c:pt idx="9">
                  <c:v>23.70017477639</c:v>
                </c:pt>
                <c:pt idx="10">
                  <c:v>33.210858172723441</c:v>
                </c:pt>
                <c:pt idx="11">
                  <c:v>46.552506419932705</c:v>
                </c:pt>
                <c:pt idx="12">
                  <c:v>65.273628700530168</c:v>
                </c:pt>
                <c:pt idx="13">
                  <c:v>91.550650437950182</c:v>
                </c:pt>
                <c:pt idx="14">
                  <c:v>128.44327027166389</c:v>
                </c:pt>
                <c:pt idx="15">
                  <c:v>180.2539365437608</c:v>
                </c:pt>
                <c:pt idx="16">
                  <c:v>253.03399737734426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42" sqref="F4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8.57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111</v>
      </c>
      <c r="C9" s="35">
        <v>1</v>
      </c>
      <c r="D9" s="36">
        <f t="shared" ref="D9:D18" si="0">C9*$C$5</f>
        <v>8.57</v>
      </c>
      <c r="E9" s="37">
        <v>16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8.57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I-214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16</v>
      </c>
      <c r="B36" s="63">
        <v>261</v>
      </c>
      <c r="C36" s="63">
        <v>1</v>
      </c>
      <c r="D36" s="63">
        <v>261</v>
      </c>
      <c r="E36" s="54">
        <v>0.7</v>
      </c>
      <c r="F36" s="54"/>
      <c r="G36" s="54">
        <v>0.3</v>
      </c>
      <c r="H36" s="54"/>
      <c r="I36" s="52">
        <f>IFERROR(B36/A36,"")</f>
        <v>16.3125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30" sqref="B3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127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I-214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41.752499488246087</v>
      </c>
      <c r="T3" s="62">
        <f>IF('Données projet'!E9&gt;30,$R$33-$H$33,LOOKUP('Données projet'!$E$9,$A$3:$A$203,R3:R203)-LOOKUP('Données projet'!$E$9,$A$3:$A$203,$H$3:$H$203))</f>
        <v>233.63061772484252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0.51168000000000002</v>
      </c>
      <c r="D4" s="12">
        <f>IFERROR(EXP(-1.0587+0.8836*LN(C4)+0.284),0)</f>
        <v>0.25493125753163876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5.9177009353319496</v>
      </c>
      <c r="H4" s="70">
        <f t="shared" ref="H4:H67" si="1">(B4+E4+F4)*44/12+(C4+D4)*0.475*44/12</f>
        <v>294.66851460686757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16.3125</v>
      </c>
      <c r="N4" s="14">
        <f>IF('Données projet'!$A$36&gt;35,N3+M4-V3,IF(A4&lt;'Données projet'!$A$36,$K$205^A4,IF(A4='Données projet'!$A$36,'Données projet'!$B$36,N3+M4-V3)))</f>
        <v>1.4159242887677255</v>
      </c>
      <c r="O4" s="14">
        <f>N4*VLOOKUP('Données projet'!$B$9,Paramètres!$A$1:$I$89,3,0)*VLOOKUP('Données projet'!$B$9,Paramètres!$A$1:$I$89,5,0)</f>
        <v>0.6228934131146977</v>
      </c>
      <c r="P4" s="14">
        <f>EXP(-1.0587+0.8836*LN(O4)+0.284)</f>
        <v>0.30331650567748814</v>
      </c>
      <c r="Q4" s="22">
        <f t="shared" ref="Q4:Q34" si="2">(O4+P4)*0.475*44/12</f>
        <v>1.6131489418963902</v>
      </c>
      <c r="R4" s="62">
        <f t="shared" si="0"/>
        <v>294.9464822752297</v>
      </c>
      <c r="S4" s="62">
        <f ca="1">AVERAGE(OFFSET($R$3,0,0,'Données projet'!$E$9+1,1))-AVERAGE(OFFSET($H$3,0,0,'Données projet'!$E$9+1,1))</f>
        <v>41.752499488246087</v>
      </c>
      <c r="T4" s="62">
        <f>$T$3</f>
        <v>233.63061772484252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1.02336</v>
      </c>
      <c r="D5" s="12">
        <f t="shared" ref="D5:D68" si="32">IFERROR(EXP(-1.0587+0.8836*LN(C5)+0.284),0)</f>
        <v>0.47034138365880424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11.530326470348664</v>
      </c>
      <c r="H5" s="70">
        <f t="shared" si="1"/>
        <v>295.93486324320571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16.3125</v>
      </c>
      <c r="N5" s="14">
        <f>IF('Données projet'!$A$36&gt;35,N4+M5-V4,IF(A5&lt;'Données projet'!$A$36,$K$205^A5,IF(A5='Données projet'!$A$36,'Données projet'!$B$36,N4+M5-V4)))</f>
        <v>2.0048415915223892</v>
      </c>
      <c r="O5" s="14">
        <f>N5*VLOOKUP('Données projet'!$B$9,Paramètres!$A$1:$I$89,3,0)*VLOOKUP('Données projet'!$B$9,Paramètres!$A$1:$I$89,5,0)</f>
        <v>0.88196991294252935</v>
      </c>
      <c r="P5" s="14">
        <f t="shared" ref="P5:P68" si="33">EXP(-1.0587+0.8836*LN(O5)+0.284)</f>
        <v>0.41243452793090041</v>
      </c>
      <c r="Q5" s="22">
        <f t="shared" si="2"/>
        <v>2.2544210678545569</v>
      </c>
      <c r="R5" s="62">
        <f t="shared" si="0"/>
        <v>295.58775440118785</v>
      </c>
      <c r="S5" s="62">
        <f ca="1">AVERAGE(OFFSET($R$3,0,0,'Données projet'!$E$9+1,1))-AVERAGE(OFFSET($H$3,0,0,'Données projet'!$E$9+1,1))</f>
        <v>41.752499488246087</v>
      </c>
      <c r="T5" s="62">
        <f t="shared" ref="T5:T68" si="34">$T$3</f>
        <v>233.63061772484252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1.53504</v>
      </c>
      <c r="D6" s="12">
        <f t="shared" si="32"/>
        <v>0.67298816817902041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17.044427964890687</v>
      </c>
      <c r="H6" s="70">
        <f t="shared" si="1"/>
        <v>297.17898239291179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16.3125</v>
      </c>
      <c r="N6" s="14">
        <f>IF('Données projet'!$A$36&gt;35,N5+M6-V5,IF(A6&lt;'Données projet'!$A$36,$K$205^A6,IF(A6='Données projet'!$A$36,'Données projet'!$B$36,N5+M6-V5)))</f>
        <v>2.8387039045682938</v>
      </c>
      <c r="O6" s="14">
        <f>N6*VLOOKUP('Données projet'!$B$9,Paramètres!$A$1:$I$89,3,0)*VLOOKUP('Données projet'!$B$9,Paramètres!$A$1:$I$89,5,0)</f>
        <v>1.2488026216976837</v>
      </c>
      <c r="P6" s="14">
        <f t="shared" si="33"/>
        <v>0.56080772607360774</v>
      </c>
      <c r="Q6" s="22">
        <f t="shared" si="2"/>
        <v>3.1517380223683329</v>
      </c>
      <c r="R6" s="62">
        <f t="shared" si="0"/>
        <v>296.48507135570162</v>
      </c>
      <c r="S6" s="62">
        <f ca="1">AVERAGE(OFFSET($R$3,0,0,'Données projet'!$E$9+1,1))-AVERAGE(OFFSET($H$3,0,0,'Données projet'!$E$9+1,1))</f>
        <v>41.752499488246087</v>
      </c>
      <c r="T6" s="62">
        <f t="shared" si="34"/>
        <v>233.63061772484252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2.0467200000000001</v>
      </c>
      <c r="D7" s="12">
        <f t="shared" si="32"/>
        <v>0.8677673319625131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22.497796948482559</v>
      </c>
      <c r="H7" s="70">
        <f t="shared" si="1"/>
        <v>298.4093987698347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16.3125</v>
      </c>
      <c r="N7" s="14">
        <f>IF('Données projet'!$A$36&gt;35,N6+M7-V6,IF(A7&lt;'Données projet'!$A$36,$K$205^A7,IF(A7='Données projet'!$A$36,'Données projet'!$B$36,N6+M7-V6)))</f>
        <v>4.0193898070980261</v>
      </c>
      <c r="O7" s="14">
        <f>N7*VLOOKUP('Données projet'!$B$9,Paramètres!$A$1:$I$89,3,0)*VLOOKUP('Données projet'!$B$9,Paramètres!$A$1:$I$89,5,0)</f>
        <v>1.7682099639385636</v>
      </c>
      <c r="P7" s="14">
        <f t="shared" si="33"/>
        <v>0.76255813789805471</v>
      </c>
      <c r="Q7" s="22">
        <f t="shared" si="2"/>
        <v>4.4077544440321104</v>
      </c>
      <c r="R7" s="62">
        <f t="shared" si="0"/>
        <v>297.74108777736541</v>
      </c>
      <c r="S7" s="62">
        <f ca="1">AVERAGE(OFFSET($R$3,0,0,'Données projet'!$E$9+1,1))-AVERAGE(OFFSET($H$3,0,0,'Données projet'!$E$9+1,1))</f>
        <v>41.752499488246087</v>
      </c>
      <c r="T7" s="62">
        <f t="shared" si="34"/>
        <v>233.63061772484252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2.5584000000000002</v>
      </c>
      <c r="D8" s="12">
        <f t="shared" si="32"/>
        <v>1.0568977762000111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27.907561781193071</v>
      </c>
      <c r="H8" s="70">
        <f t="shared" si="1"/>
        <v>299.629976960215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16.3125</v>
      </c>
      <c r="N8" s="14">
        <f>IF('Données projet'!$A$36&gt;35,N7+M8-V7,IF(A8&lt;'Données projet'!$A$36,$K$205^A8,IF(A8='Données projet'!$A$36,'Données projet'!$B$36,N7+M8-V7)))</f>
        <v>5.6911516538955178</v>
      </c>
      <c r="O8" s="14">
        <f>N8*VLOOKUP('Données projet'!$B$9,Paramètres!$A$1:$I$89,3,0)*VLOOKUP('Données projet'!$B$9,Paramètres!$A$1:$I$89,5,0)</f>
        <v>2.5036514355817161</v>
      </c>
      <c r="P8" s="14">
        <f t="shared" si="33"/>
        <v>1.0368882000713122</v>
      </c>
      <c r="Q8" s="22">
        <f t="shared" si="2"/>
        <v>6.166439865429024</v>
      </c>
      <c r="R8" s="62">
        <f t="shared" si="0"/>
        <v>299.49977319876234</v>
      </c>
      <c r="S8" s="62">
        <f ca="1">AVERAGE(OFFSET($R$3,0,0,'Données projet'!$E$9+1,1))-AVERAGE(OFFSET($H$3,0,0,'Données projet'!$E$9+1,1))</f>
        <v>41.752499488246087</v>
      </c>
      <c r="T8" s="62">
        <f t="shared" si="34"/>
        <v>233.63061772484252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3.0700800000000004</v>
      </c>
      <c r="D9" s="12">
        <f t="shared" si="32"/>
        <v>1.2416452547724184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33.283493194734469</v>
      </c>
      <c r="H9" s="70">
        <f t="shared" si="1"/>
        <v>300.84292148539527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16.3125</v>
      </c>
      <c r="N9" s="14">
        <f>IF('Données projet'!$A$36&gt;35,N8+M9-V8,IF(A9&lt;'Données projet'!$A$36,$K$205^A9,IF(A9='Données projet'!$A$36,'Données projet'!$B$36,N8+M9-V8)))</f>
        <v>8.0582398578112748</v>
      </c>
      <c r="O9" s="14">
        <f>N9*VLOOKUP('Données projet'!$B$9,Paramètres!$A$1:$I$89,3,0)*VLOOKUP('Données projet'!$B$9,Paramètres!$A$1:$I$89,5,0)</f>
        <v>3.5449808782483356</v>
      </c>
      <c r="P9" s="14">
        <f t="shared" si="33"/>
        <v>1.4099084201116467</v>
      </c>
      <c r="Q9" s="22">
        <f t="shared" si="2"/>
        <v>8.6297655279769696</v>
      </c>
      <c r="R9" s="62">
        <f t="shared" si="0"/>
        <v>301.9630988613103</v>
      </c>
      <c r="S9" s="62">
        <f ca="1">AVERAGE(OFFSET($R$3,0,0,'Données projet'!$E$9+1,1))-AVERAGE(OFFSET($H$3,0,0,'Données projet'!$E$9+1,1))</f>
        <v>41.752499488246087</v>
      </c>
      <c r="T9" s="62">
        <f t="shared" si="34"/>
        <v>233.63061772484252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3.5817600000000005</v>
      </c>
      <c r="D10" s="12">
        <f t="shared" si="32"/>
        <v>1.422825750265666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38.63189000205076</v>
      </c>
      <c r="H10" s="70">
        <f t="shared" si="1"/>
        <v>302.04965351504603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16.3125</v>
      </c>
      <c r="N10" s="14">
        <f>IF('Données projet'!$A$36&gt;35,N9+M10-V9,IF(A10&lt;'Données projet'!$A$36,$K$205^A10,IF(A10='Données projet'!$A$36,'Données projet'!$B$36,N9+M10-V9)))</f>
        <v>11.409857539391167</v>
      </c>
      <c r="O10" s="14">
        <f>N10*VLOOKUP('Données projet'!$B$9,Paramètres!$A$1:$I$89,3,0)*VLOOKUP('Données projet'!$B$9,Paramètres!$A$1:$I$89,5,0)</f>
        <v>5.0194245287289618</v>
      </c>
      <c r="P10" s="14">
        <f t="shared" si="33"/>
        <v>1.9171225528123528</v>
      </c>
      <c r="Q10" s="22">
        <f t="shared" si="2"/>
        <v>12.081152833684456</v>
      </c>
      <c r="R10" s="62">
        <f t="shared" si="0"/>
        <v>305.4144861670178</v>
      </c>
      <c r="S10" s="62">
        <f ca="1">AVERAGE(OFFSET($R$3,0,0,'Données projet'!$E$9+1,1))-AVERAGE(OFFSET($H$3,0,0,'Données projet'!$E$9+1,1))</f>
        <v>41.752499488246087</v>
      </c>
      <c r="T10" s="62">
        <f t="shared" si="34"/>
        <v>233.63061772484252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4.0934400000000002</v>
      </c>
      <c r="D11" s="12">
        <f t="shared" si="32"/>
        <v>1.6010076267658291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43.957139575034468</v>
      </c>
      <c r="H11" s="70">
        <f t="shared" si="1"/>
        <v>303.25116294995047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16.3125</v>
      </c>
      <c r="N11" s="14">
        <f>IF('Données projet'!$A$36&gt;35,N10+M11-V10,IF(A11&lt;'Données projet'!$A$36,$K$205^A11,IF(A11='Données projet'!$A$36,'Données projet'!$B$36,N10+M11-V10)))</f>
        <v>16.155494421403507</v>
      </c>
      <c r="O11" s="14">
        <f>N11*VLOOKUP('Données projet'!$B$9,Paramètres!$A$1:$I$89,3,0)*VLOOKUP('Données projet'!$B$9,Paramètres!$A$1:$I$89,5,0)</f>
        <v>7.1071251058638296</v>
      </c>
      <c r="P11" s="14">
        <f t="shared" si="33"/>
        <v>2.6068068181412172</v>
      </c>
      <c r="Q11" s="22">
        <f t="shared" si="2"/>
        <v>16.91843143430879</v>
      </c>
      <c r="R11" s="62">
        <f t="shared" si="0"/>
        <v>310.2517647676421</v>
      </c>
      <c r="S11" s="62">
        <f ca="1">AVERAGE(OFFSET($R$3,0,0,'Données projet'!$E$9+1,1))-AVERAGE(OFFSET($H$3,0,0,'Données projet'!$E$9+1,1))</f>
        <v>41.752499488246087</v>
      </c>
      <c r="T11" s="62">
        <f t="shared" si="34"/>
        <v>233.63061772484252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4.6051200000000003</v>
      </c>
      <c r="D12" s="12">
        <f t="shared" si="32"/>
        <v>1.7766086391063436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49.262466687838447</v>
      </c>
      <c r="H12" s="70">
        <f t="shared" si="1"/>
        <v>304.44817737977684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16.3125</v>
      </c>
      <c r="N12" s="14">
        <f>IF('Données projet'!$A$36&gt;35,N11+M12-V11,IF(A12&lt;'Données projet'!$A$36,$K$205^A12,IF(A12='Données projet'!$A$36,'Données projet'!$B$36,N11+M12-V11)))</f>
        <v>22.874956948316719</v>
      </c>
      <c r="O12" s="14">
        <f>N12*VLOOKUP('Données projet'!$B$9,Paramètres!$A$1:$I$89,3,0)*VLOOKUP('Données projet'!$B$9,Paramètres!$A$1:$I$89,5,0)</f>
        <v>10.06315106070349</v>
      </c>
      <c r="P12" s="14">
        <f t="shared" si="33"/>
        <v>3.5446047917692374</v>
      </c>
      <c r="Q12" s="22">
        <f t="shared" si="2"/>
        <v>23.70017477639</v>
      </c>
      <c r="R12" s="62">
        <f t="shared" si="0"/>
        <v>317.0335081097233</v>
      </c>
      <c r="S12" s="62">
        <f ca="1">AVERAGE(OFFSET($R$3,0,0,'Données projet'!$E$9+1,1))-AVERAGE(OFFSET($H$3,0,0,'Données projet'!$E$9+1,1))</f>
        <v>41.752499488246087</v>
      </c>
      <c r="T12" s="62">
        <f t="shared" si="34"/>
        <v>233.63061772484252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5.1168000000000005</v>
      </c>
      <c r="D13" s="12">
        <f t="shared" si="32"/>
        <v>1.9499482615706021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54.550337457737982</v>
      </c>
      <c r="H13" s="70">
        <f t="shared" si="1"/>
        <v>305.64125322223543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16.3125</v>
      </c>
      <c r="N13" s="14">
        <f>IF('Données projet'!$A$36&gt;35,N12+M13-V12,IF(A13&lt;'Données projet'!$A$36,$K$205^A13,IF(A13='Données projet'!$A$36,'Données projet'!$B$36,N12+M13-V12)))</f>
        <v>32.389207147637684</v>
      </c>
      <c r="O13" s="14">
        <f>N13*VLOOKUP('Données projet'!$B$9,Paramètres!$A$1:$I$89,3,0)*VLOOKUP('Données projet'!$B$9,Paramètres!$A$1:$I$89,5,0)</f>
        <v>14.24866000838877</v>
      </c>
      <c r="P13" s="14">
        <f t="shared" si="33"/>
        <v>4.8197753060935877</v>
      </c>
      <c r="Q13" s="22">
        <f t="shared" si="2"/>
        <v>33.210858172723441</v>
      </c>
      <c r="R13" s="62">
        <f t="shared" si="0"/>
        <v>326.54419150605673</v>
      </c>
      <c r="S13" s="62">
        <f ca="1">AVERAGE(OFFSET($R$3,0,0,'Données projet'!$E$9+1,1))-AVERAGE(OFFSET($H$3,0,0,'Données projet'!$E$9+1,1))</f>
        <v>41.752499488246087</v>
      </c>
      <c r="T13" s="62">
        <f t="shared" si="34"/>
        <v>233.63061772484252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5.6284800000000006</v>
      </c>
      <c r="D14" s="12">
        <f t="shared" si="32"/>
        <v>2.1212783761607334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59.822696237030222</v>
      </c>
      <c r="H14" s="70">
        <f t="shared" si="1"/>
        <v>306.83082917181326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16.3125</v>
      </c>
      <c r="N14" s="14">
        <f>IF('Données projet'!$A$36&gt;35,N13+M14-V13,IF(A14&lt;'Données projet'!$A$36,$K$205^A14,IF(A14='Données projet'!$A$36,'Données projet'!$B$36,N13+M14-V13)))</f>
        <v>45.860665094269422</v>
      </c>
      <c r="O14" s="14">
        <f>N14*VLOOKUP('Données projet'!$B$9,Paramètres!$A$1:$I$89,3,0)*VLOOKUP('Données projet'!$B$9,Paramètres!$A$1:$I$89,5,0)</f>
        <v>20.175023788271002</v>
      </c>
      <c r="P14" s="14">
        <f t="shared" si="33"/>
        <v>6.5536880317860513</v>
      </c>
      <c r="Q14" s="22">
        <f t="shared" si="2"/>
        <v>46.552506419932705</v>
      </c>
      <c r="R14" s="62">
        <f t="shared" si="0"/>
        <v>339.885839753266</v>
      </c>
      <c r="S14" s="62">
        <f ca="1">AVERAGE(OFFSET($R$3,0,0,'Données projet'!$E$9+1,1))-AVERAGE(OFFSET($H$3,0,0,'Données projet'!$E$9+1,1))</f>
        <v>41.752499488246087</v>
      </c>
      <c r="T14" s="62">
        <f t="shared" si="34"/>
        <v>233.63061772484252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6.1401600000000007</v>
      </c>
      <c r="D15" s="12">
        <f t="shared" si="32"/>
        <v>2.2908024414015595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65.081113582748884</v>
      </c>
      <c r="H15" s="70">
        <f t="shared" si="1"/>
        <v>308.01725958544102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16.3125</v>
      </c>
      <c r="N15" s="14">
        <f>IF('Données projet'!$A$36&gt;35,N14+M15-V14,IF(A15&lt;'Données projet'!$A$36,$K$205^A15,IF(A15='Données projet'!$A$36,'Données projet'!$B$36,N14+M15-V14)))</f>
        <v>64.935229606018282</v>
      </c>
      <c r="O15" s="14">
        <f>N15*VLOOKUP('Données projet'!$B$9,Paramètres!$A$1:$I$89,3,0)*VLOOKUP('Données projet'!$B$9,Paramètres!$A$1:$I$89,5,0)</f>
        <v>28.566306208279563</v>
      </c>
      <c r="P15" s="14">
        <f t="shared" si="33"/>
        <v>8.9113753422640816</v>
      </c>
      <c r="Q15" s="22">
        <f t="shared" si="2"/>
        <v>65.273628700530168</v>
      </c>
      <c r="R15" s="62">
        <f t="shared" si="0"/>
        <v>358.60696203386351</v>
      </c>
      <c r="S15" s="62">
        <f ca="1">AVERAGE(OFFSET($R$3,0,0,'Données projet'!$E$9+1,1))-AVERAGE(OFFSET($H$3,0,0,'Données projet'!$E$9+1,1))</f>
        <v>41.752499488246087</v>
      </c>
      <c r="T15" s="62">
        <f t="shared" si="34"/>
        <v>233.63061772484252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6.6518400000000009</v>
      </c>
      <c r="D16" s="12">
        <f t="shared" si="32"/>
        <v>2.4586880723865119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70.326883365790636</v>
      </c>
      <c r="H16" s="70">
        <f t="shared" si="1"/>
        <v>309.2008363927398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16.3125</v>
      </c>
      <c r="N16" s="14">
        <f>IF('Données projet'!$A$36&gt;35,N15+M16-V15,IF(A16&lt;'Données projet'!$A$36,$K$205^A16,IF(A16='Données projet'!$A$36,'Données projet'!$B$36,N15+M16-V15)))</f>
        <v>91.943368795870384</v>
      </c>
      <c r="O16" s="14">
        <f>N16*VLOOKUP('Données projet'!$B$9,Paramètres!$A$1:$I$89,3,0)*VLOOKUP('Données projet'!$B$9,Paramètres!$A$1:$I$89,5,0)</f>
        <v>40.447726800679298</v>
      </c>
      <c r="P16" s="14">
        <f t="shared" si="33"/>
        <v>12.117239957952386</v>
      </c>
      <c r="Q16" s="22">
        <f t="shared" si="2"/>
        <v>91.550650437950182</v>
      </c>
      <c r="R16" s="62">
        <f t="shared" si="0"/>
        <v>384.88398377128351</v>
      </c>
      <c r="S16" s="62">
        <f ca="1">AVERAGE(OFFSET($R$3,0,0,'Données projet'!$E$9+1,1))-AVERAGE(OFFSET($H$3,0,0,'Données projet'!$E$9+1,1))</f>
        <v>41.752499488246087</v>
      </c>
      <c r="T16" s="62">
        <f t="shared" si="34"/>
        <v>233.63061772484252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7.163520000000001</v>
      </c>
      <c r="D17" s="12">
        <f t="shared" si="32"/>
        <v>2.6250756324075932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75.561089092269142</v>
      </c>
      <c r="H17" s="70">
        <f t="shared" si="1"/>
        <v>310.38180405977653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16.3125</v>
      </c>
      <c r="N17" s="14">
        <f>IF('Données projet'!$A$36&gt;35,N16+M17-V16,IF(A17&lt;'Données projet'!$A$36,$K$205^A17,IF(A17='Données projet'!$A$36,'Données projet'!$B$36,N16+M17-V16)))</f>
        <v>130.18484906920145</v>
      </c>
      <c r="O17" s="14">
        <f>N17*VLOOKUP('Données projet'!$B$9,Paramètres!$A$1:$I$89,3,0)*VLOOKUP('Données projet'!$B$9,Paramètres!$A$1:$I$89,5,0)</f>
        <v>57.270918802523092</v>
      </c>
      <c r="P17" s="14">
        <f t="shared" si="33"/>
        <v>16.47641341087245</v>
      </c>
      <c r="Q17" s="22">
        <f t="shared" si="2"/>
        <v>128.44327027166389</v>
      </c>
      <c r="R17" s="62">
        <f t="shared" si="0"/>
        <v>421.77660360499721</v>
      </c>
      <c r="S17" s="62">
        <f ca="1">AVERAGE(OFFSET($R$3,0,0,'Données projet'!$E$9+1,1))-AVERAGE(OFFSET($H$3,0,0,'Données projet'!$E$9+1,1))</f>
        <v>41.752499488246087</v>
      </c>
      <c r="T17" s="62">
        <f t="shared" si="34"/>
        <v>233.63061772484252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7.6752000000000011</v>
      </c>
      <c r="D18" s="12">
        <f t="shared" si="32"/>
        <v>2.7900842966227914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80.784650710772425</v>
      </c>
      <c r="H18" s="70">
        <f t="shared" si="1"/>
        <v>311.56037014995132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16.3125</v>
      </c>
      <c r="N18" s="14">
        <f>IF('Données projet'!$A$36&gt;35,N17+M18-V17,IF(A18&lt;'Données projet'!$A$36,$K$205^A18,IF(A18='Données projet'!$A$36,'Données projet'!$B$36,N17+M18-V17)))</f>
        <v>184.33188982664274</v>
      </c>
      <c r="O18" s="14">
        <f>N18*VLOOKUP('Données projet'!$B$9,Paramètres!$A$1:$I$89,3,0)*VLOOKUP('Données projet'!$B$9,Paramètres!$A$1:$I$89,5,0)</f>
        <v>81.09128497253667</v>
      </c>
      <c r="P18" s="14">
        <f t="shared" si="33"/>
        <v>22.403798210483902</v>
      </c>
      <c r="Q18" s="22">
        <f t="shared" si="2"/>
        <v>180.2539365437608</v>
      </c>
      <c r="R18" s="62">
        <f t="shared" si="0"/>
        <v>473.58726987709412</v>
      </c>
      <c r="S18" s="62">
        <f ca="1">AVERAGE(OFFSET($R$3,0,0,'Données projet'!$E$9+1,1))-AVERAGE(OFFSET($H$3,0,0,'Données projet'!$E$9+1,1))</f>
        <v>41.752499488246087</v>
      </c>
      <c r="T18" s="62">
        <f t="shared" si="34"/>
        <v>233.63061772484252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8.1868800000000004</v>
      </c>
      <c r="D19" s="12">
        <f t="shared" si="32"/>
        <v>2.9538164511971763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85.998358570644868</v>
      </c>
      <c r="H19" s="70">
        <f t="shared" si="1"/>
        <v>312.73671298583508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261</v>
      </c>
      <c r="L19" s="13">
        <f>VLOOKUP(A19,'Données projet'!$A$35:$I$55,9,0)</f>
        <v>16.3125</v>
      </c>
      <c r="M19" s="13">
        <f t="array" ref="M19">INDEX(L:L,MIN(IF(ISNUMBER(L19:L215),ROW(L19:L215),"")))</f>
        <v>16.3125</v>
      </c>
      <c r="N19" s="14">
        <f>IF('Données projet'!$A$36&gt;35,N18+M19-V18,IF(A19&lt;'Données projet'!$A$36,$K$205^A19,IF(A19='Données projet'!$A$36,'Données projet'!$B$36,N18+M19-V18)))</f>
        <v>261</v>
      </c>
      <c r="O19" s="14">
        <f>N19*VLOOKUP('Données projet'!$B$9,Paramètres!$A$1:$I$89,3,0)*VLOOKUP('Données projet'!$B$9,Paramètres!$A$1:$I$89,5,0)</f>
        <v>114.81911999999998</v>
      </c>
      <c r="P19" s="14">
        <f t="shared" si="33"/>
        <v>30.463557920006284</v>
      </c>
      <c r="Q19" s="22">
        <f t="shared" si="2"/>
        <v>253.03399737734426</v>
      </c>
      <c r="R19" s="62">
        <f t="shared" si="0"/>
        <v>546.36733071067761</v>
      </c>
      <c r="S19" s="62">
        <f ca="1">AVERAGE(OFFSET($R$3,0,0,'Données projet'!$E$9+1,1))-AVERAGE(OFFSET($H$3,0,0,'Données projet'!$E$9+1,1))</f>
        <v>41.752499488246087</v>
      </c>
      <c r="T19" s="62">
        <f t="shared" si="34"/>
        <v>233.63061772484252</v>
      </c>
      <c r="U19" s="16">
        <f>IF(ISNA(VLOOKUP(A19,'Données projet'!$A$35:$I$55,3,0)),0,VLOOKUP(A19,'Données projet'!$A$35:$I$55,3,0))</f>
        <v>1</v>
      </c>
      <c r="V19" s="16">
        <f>IF(ISNA(VLOOKUP(A19,'Données projet'!$A$35:$I$55,4,0)),0,VLOOKUP(A19,'Données projet'!$A$35:$I$55,4,0))</f>
        <v>261</v>
      </c>
      <c r="W19" s="17">
        <f>IF(ISNA(VLOOKUP(A19,'Données projet'!$A$35:$I$55,5,0)),0%,VLOOKUP(A19,'Données projet'!$A$35:$I$55,5,0)*VLOOKUP('Données projet'!$B$9,Paramètres!$A$1:$I$89,7,0))</f>
        <v>0.42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0.3</v>
      </c>
      <c r="Z19" s="23">
        <f>EXP(-LN(2)/35)*Z18+(1-EXP(-LN(2)/35))/(LN(2)/35)*V19*W19*VLOOKUP('Données projet'!$B$9,Paramètres!$A$1:$I$89,3,0)*0.475*44/12</f>
        <v>53.310237188896515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32.500479009391746</v>
      </c>
      <c r="AC19" s="24">
        <f t="shared" si="3"/>
        <v>85.810716198288262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8.6985600000000005</v>
      </c>
      <c r="D20" s="12">
        <f t="shared" si="32"/>
        <v>3.1163609606645983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91.202898643726726</v>
      </c>
      <c r="H20" s="70">
        <f t="shared" si="1"/>
        <v>313.91098733982415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2" t="e">
        <f t="shared" si="0"/>
        <v>#NUM!</v>
      </c>
      <c r="S20" s="62">
        <f ca="1">AVERAGE(OFFSET($R$3,0,0,'Données projet'!$E$9+1,1))-AVERAGE(OFFSET($H$3,0,0,'Données projet'!$E$9+1,1))</f>
        <v>41.752499488246087</v>
      </c>
      <c r="T20" s="62">
        <f t="shared" si="34"/>
        <v>233.63061772484252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52.264855953656252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22.981309099351954</v>
      </c>
      <c r="AC20" s="24">
        <f t="shared" si="3"/>
        <v>75.246165053008212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9.2102400000000006</v>
      </c>
      <c r="D21" s="12">
        <f t="shared" si="32"/>
        <v>3.2777956443170075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96.398871640341824</v>
      </c>
      <c r="H21" s="70">
        <f t="shared" si="1"/>
        <v>315.08332874718542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41.752499488246087</v>
      </c>
      <c r="T21" s="62">
        <f t="shared" si="34"/>
        <v>233.63061772484252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51.239974006819452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16.250239504695877</v>
      </c>
      <c r="AC21" s="24">
        <f t="shared" si="3"/>
        <v>67.490213511515321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9.7219200000000008</v>
      </c>
      <c r="D22" s="12">
        <f t="shared" si="32"/>
        <v>3.4381891865081835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101.58680775550177</v>
      </c>
      <c r="H22" s="70">
        <f t="shared" si="1"/>
        <v>316.25385683316841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41.752499488246087</v>
      </c>
      <c r="T22" s="62">
        <f t="shared" si="34"/>
        <v>233.63061772484252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50.235189369843859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11.490654549675979</v>
      </c>
      <c r="AC22" s="24">
        <f t="shared" si="3"/>
        <v>61.725843919519839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10.233600000000001</v>
      </c>
      <c r="D23" s="12">
        <f t="shared" si="32"/>
        <v>3.5976026333152715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106.7671782220828</v>
      </c>
      <c r="H23" s="70">
        <f t="shared" si="1"/>
        <v>317.42267791969073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41.752499488246087</v>
      </c>
      <c r="T23" s="62">
        <f t="shared" si="34"/>
        <v>233.63061772484252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49.250107946741245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8.1251197523479401</v>
      </c>
      <c r="AC23" s="24">
        <f t="shared" si="3"/>
        <v>57.375227699089187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10.745280000000001</v>
      </c>
      <c r="D24" s="12">
        <f t="shared" si="32"/>
        <v>3.7560905813614998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111.94040448770282</v>
      </c>
      <c r="H24" s="70">
        <f t="shared" si="1"/>
        <v>318.58988709587129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41.752499488246087</v>
      </c>
      <c r="T24" s="62">
        <f t="shared" si="34"/>
        <v>233.63061772484252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48.284343369505336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5.7453272748379902</v>
      </c>
      <c r="AC24" s="24">
        <f t="shared" si="3"/>
        <v>54.029670644343327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11.256960000000001</v>
      </c>
      <c r="D25" s="12">
        <f t="shared" si="32"/>
        <v>3.9137021337805784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117.10686559409571</v>
      </c>
      <c r="H25" s="70">
        <f t="shared" si="1"/>
        <v>319.75556988300116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41.752499488246087</v>
      </c>
      <c r="T25" s="62">
        <f t="shared" si="34"/>
        <v>233.63061772484252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47.337516846570793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4.0625598761739701</v>
      </c>
      <c r="AC25" s="24">
        <f t="shared" si="3"/>
        <v>51.400076722744764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11.768640000000001</v>
      </c>
      <c r="D26" s="12">
        <f t="shared" si="32"/>
        <v>4.070481677456149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122.26690417685451</v>
      </c>
      <c r="H26" s="70">
        <f t="shared" si="1"/>
        <v>320.91980358823611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41.752499488246087</v>
      </c>
      <c r="T26" s="62">
        <f t="shared" si="34"/>
        <v>233.63061772484252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46.409257014243842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2.8726636374189951</v>
      </c>
      <c r="AC26" s="24">
        <f t="shared" si="3"/>
        <v>49.281920651662837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12.280320000000001</v>
      </c>
      <c r="D27" s="12">
        <f t="shared" si="32"/>
        <v>4.2264695212749892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127.42083139229817</v>
      </c>
      <c r="H27" s="70">
        <f t="shared" si="1"/>
        <v>322.08265841622057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41.752499488246087</v>
      </c>
      <c r="T27" s="62">
        <f t="shared" si="34"/>
        <v>233.63061772484252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45.49919979104623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2.031279938086985</v>
      </c>
      <c r="AC27" s="24">
        <f t="shared" si="3"/>
        <v>47.530479729133212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12.792000000000002</v>
      </c>
      <c r="D28" s="12">
        <f t="shared" si="32"/>
        <v>4.3817024250072478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132.56893100005598</v>
      </c>
      <c r="H28" s="70">
        <f t="shared" si="1"/>
        <v>323.24419839022096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41.752499488246087</v>
      </c>
      <c r="T28" s="62">
        <f t="shared" si="34"/>
        <v>233.63061772484252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44.606988234915427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1.4363318187094976</v>
      </c>
      <c r="AC28" s="24">
        <f t="shared" si="3"/>
        <v>46.043320053624925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13.303680000000002</v>
      </c>
      <c r="D29" s="12">
        <f t="shared" si="32"/>
        <v>4.536214041183829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137.71146277405066</v>
      </c>
      <c r="H29" s="70">
        <f t="shared" si="1"/>
        <v>324.40448212172851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41.752499488246087</v>
      </c>
      <c r="T29" s="62">
        <f t="shared" si="34"/>
        <v>233.63061772484252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43.73227240320503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1.0156399690434925</v>
      </c>
      <c r="AC29" s="24">
        <f t="shared" si="3"/>
        <v>44.747912372248521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13.815360000000002</v>
      </c>
      <c r="D30" s="12">
        <f t="shared" si="32"/>
        <v>4.6900352870805335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142.84866537395501</v>
      </c>
      <c r="H30" s="70">
        <f t="shared" si="1"/>
        <v>325.56356345833194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41.752499488246087</v>
      </c>
      <c r="T30" s="62">
        <f t="shared" si="34"/>
        <v>233.63061772484252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42.874709215430499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0.71816590935474878</v>
      </c>
      <c r="AC30" s="24">
        <f t="shared" si="3"/>
        <v>43.592875124785252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14.327040000000002</v>
      </c>
      <c r="D31" s="12">
        <f t="shared" si="32"/>
        <v>4.843194660044249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147.98075877928895</v>
      </c>
      <c r="H31" s="70">
        <f t="shared" si="1"/>
        <v>326.72149203291036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41.752499488246087</v>
      </c>
      <c r="T31" s="62">
        <f t="shared" si="34"/>
        <v>233.63061772484252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42.03396231870633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0.50781998452174626</v>
      </c>
      <c r="AC31" s="24">
        <f t="shared" si="3"/>
        <v>42.541782303228075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14.838720000000002</v>
      </c>
      <c r="D32" s="12">
        <f t="shared" si="32"/>
        <v>4.9957185065066634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153.10794636601636</v>
      </c>
      <c r="H32" s="70">
        <f t="shared" si="1"/>
        <v>327.87831373216574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41.752499488246087</v>
      </c>
      <c r="T32" s="62">
        <f t="shared" si="34"/>
        <v>233.63061772484252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41.209701955821956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0.35908295467737439</v>
      </c>
      <c r="AC32" s="24">
        <f t="shared" si="3"/>
        <v>41.568784910499332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15.350400000000002</v>
      </c>
      <c r="D33" s="12">
        <f t="shared" si="32"/>
        <v>5.1476312528501964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158.23041668866819</v>
      </c>
      <c r="H33" s="70">
        <f t="shared" si="1"/>
        <v>329.03407109871409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41.752499488246087</v>
      </c>
      <c r="T33" s="62">
        <f t="shared" si="34"/>
        <v>233.63061772484252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40.401604835904564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0.25390999226087313</v>
      </c>
      <c r="AC33" s="24">
        <f t="shared" si="3"/>
        <v>40.655514828165437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15.862080000000002</v>
      </c>
      <c r="D34" s="12">
        <f t="shared" si="32"/>
        <v>5.2989556046270634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163.34834501817386</v>
      </c>
      <c r="H34" s="70">
        <f t="shared" si="1"/>
        <v>330.18880367805878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41.752499488246087</v>
      </c>
      <c r="T34" s="62">
        <f t="shared" si="34"/>
        <v>233.63061772484252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39.60935400761818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0.17954147733868719</v>
      </c>
      <c r="AC34" s="24">
        <f t="shared" si="3"/>
        <v>39.788895484956868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16.373760000000001</v>
      </c>
      <c r="D35" s="12">
        <f t="shared" si="32"/>
        <v>5.4497127193506145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168.46189467568897</v>
      </c>
      <c r="H35" s="70">
        <f t="shared" si="1"/>
        <v>331.34254831953564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41.752499488246087</v>
      </c>
      <c r="T35" s="62">
        <f t="shared" si="34"/>
        <v>233.63061772484252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38.832638734849198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0.12695499613043656</v>
      </c>
      <c r="AC35" s="24">
        <f t="shared" si="3"/>
        <v>38.959593730979634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16.885439999999999</v>
      </c>
      <c r="D36" s="12">
        <f t="shared" si="32"/>
        <v>5.5999223570809251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173.57121819501063</v>
      </c>
      <c r="H36" s="70">
        <f t="shared" si="1"/>
        <v>332.49533943858256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41.752499488246087</v>
      </c>
      <c r="T36" s="62">
        <f t="shared" si="34"/>
        <v>233.63061772484252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38.071154374829675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8.9770738669343597E-2</v>
      </c>
      <c r="AC36" s="24">
        <f t="shared" si="3"/>
        <v>38.160925113499019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17.397119999999997</v>
      </c>
      <c r="D37" s="12">
        <f t="shared" si="32"/>
        <v>5.7496030122448101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178.67645834013535</v>
      </c>
      <c r="H37" s="70">
        <f t="shared" si="1"/>
        <v>333.64720924632633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41.752499488246087</v>
      </c>
      <c r="T37" s="62">
        <f t="shared" si="34"/>
        <v>233.63061772484252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37.324602258650536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6.3477498065218282E-2</v>
      </c>
      <c r="AC37" s="24">
        <f t="shared" si="3"/>
        <v>37.388079756715754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17.908799999999996</v>
      </c>
      <c r="D38" s="12">
        <f t="shared" si="32"/>
        <v>5.898772029511778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183.77774899974006</v>
      </c>
      <c r="H38" s="70">
        <f t="shared" si="1"/>
        <v>334.79818795139965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41.752499488246087</v>
      </c>
      <c r="T38" s="62">
        <f t="shared" si="34"/>
        <v>233.63061772484252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36.592689574117848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4.4885369334671799E-2</v>
      </c>
      <c r="AC38" s="24">
        <f t="shared" si="3"/>
        <v>36.63757494345252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18.420479999999994</v>
      </c>
      <c r="D39" s="12">
        <f t="shared" si="32"/>
        <v>6.0474457060548152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188.87521597656348</v>
      </c>
      <c r="H39" s="70">
        <f t="shared" si="1"/>
        <v>335.94830393804546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41.752499488246087</v>
      </c>
      <c r="T39" s="62">
        <f t="shared" si="34"/>
        <v>233.63061772484252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35.875129250906184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3.1738749032609141E-2</v>
      </c>
      <c r="AC39" s="24">
        <f t="shared" si="3"/>
        <v>35.906867999938797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18.932159999999993</v>
      </c>
      <c r="D40" s="12">
        <f t="shared" si="32"/>
        <v>6.1956393821294142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193.96897768661299</v>
      </c>
      <c r="H40" s="70">
        <f t="shared" si="1"/>
        <v>337.09758392387539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41.752499488246087</v>
      </c>
      <c r="T40" s="62">
        <f t="shared" si="34"/>
        <v>233.63061772484252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35.171639847964123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2.2442684667335899E-2</v>
      </c>
      <c r="AC40" s="24">
        <f t="shared" si="3"/>
        <v>35.194082532631455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19.443839999999991</v>
      </c>
      <c r="D41" s="12">
        <f t="shared" si="32"/>
        <v>6.3433675215849155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199.05914578065543</v>
      </c>
      <c r="H41" s="70">
        <f t="shared" si="1"/>
        <v>338.24605310009372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41.752499488246087</v>
      </c>
      <c r="T41" s="62">
        <f t="shared" si="34"/>
        <v>233.63061772484252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34.481945443127586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1.5869374516304571E-2</v>
      </c>
      <c r="AC41" s="24">
        <f t="shared" si="3"/>
        <v>34.497814817643892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19.955519999999989</v>
      </c>
      <c r="D42" s="12">
        <f t="shared" si="32"/>
        <v>6.4906437836625361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204.14582569844757</v>
      </c>
      <c r="H42" s="70">
        <f t="shared" si="1"/>
        <v>339.39373525654554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41.752499488246087</v>
      </c>
      <c r="T42" s="62">
        <f t="shared" si="34"/>
        <v>233.63061772484252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33.805775524897847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1.122134233366795E-2</v>
      </c>
      <c r="AC42" s="24">
        <f t="shared" si="3"/>
        <v>33.816996867231516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20.467199999999988</v>
      </c>
      <c r="D43" s="12">
        <f t="shared" si="32"/>
        <v>6.6374810872223451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209.22911716452325</v>
      </c>
      <c r="H43" s="70">
        <f t="shared" si="1"/>
        <v>340.54065289357885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41.752499488246087</v>
      </c>
      <c r="T43" s="62">
        <f t="shared" si="34"/>
        <v>233.63061772484252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33.142864886341663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7.9346872581522853E-3</v>
      </c>
      <c r="AC43" s="24">
        <f t="shared" si="3"/>
        <v>33.150799573599812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20.978879999999986</v>
      </c>
      <c r="D44" s="12">
        <f t="shared" si="32"/>
        <v>6.7838916683666852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214.30911463300586</v>
      </c>
      <c r="H44" s="70">
        <f t="shared" si="1"/>
        <v>341.68682732240529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41.752499488246087</v>
      </c>
      <c r="T44" s="62">
        <f t="shared" si="34"/>
        <v>233.63061772484252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32.492953521072003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5.6106711668339748E-3</v>
      </c>
      <c r="AC44" s="24">
        <f t="shared" si="3"/>
        <v>32.498564192238838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21.490559999999984</v>
      </c>
      <c r="D45" s="12">
        <f t="shared" si="32"/>
        <v>6.9298871322835565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219.38590768780281</v>
      </c>
      <c r="H45" s="70">
        <f t="shared" si="1"/>
        <v>342.83227875539382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41.752499488246087</v>
      </c>
      <c r="T45" s="62">
        <f t="shared" si="34"/>
        <v>233.63061772484252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31.855786521268492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3.9673436290761427E-3</v>
      </c>
      <c r="AC45" s="24">
        <f t="shared" si="3"/>
        <v>31.859753864897566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22.002239999999983</v>
      </c>
      <c r="D46" s="12">
        <f t="shared" si="32"/>
        <v>7.0754785000134275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224.4595814036123</v>
      </c>
      <c r="H46" s="70">
        <f t="shared" si="1"/>
        <v>343.97702638752332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41.752499488246087</v>
      </c>
      <c r="T46" s="62">
        <f t="shared" si="34"/>
        <v>233.63061772484252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31.231113977697632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2.8053355834169874E-3</v>
      </c>
      <c r="AC46" s="24">
        <f t="shared" si="3"/>
        <v>31.233919313281049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22.513919999999981</v>
      </c>
      <c r="D47" s="12">
        <f t="shared" si="32"/>
        <v>7.2206762507430744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229.53021667240253</v>
      </c>
      <c r="H47" s="70">
        <f t="shared" si="1"/>
        <v>345.12108847004413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41.752499488246087</v>
      </c>
      <c r="T47" s="62">
        <f t="shared" si="34"/>
        <v>233.63061772484252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30.618690881693567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1.9836718145380713E-3</v>
      </c>
      <c r="AC47" s="24">
        <f t="shared" si="3"/>
        <v>30.620674553508106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23.025599999999979</v>
      </c>
      <c r="D48" s="12">
        <f t="shared" si="32"/>
        <v>7.3654903601461541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234.59789049937368</v>
      </c>
      <c r="H48" s="70">
        <f t="shared" si="1"/>
        <v>346.26448237725447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41.752499488246087</v>
      </c>
      <c r="T48" s="62">
        <f t="shared" si="34"/>
        <v>233.63061772484252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30.018277029060936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1.4026677917084937E-3</v>
      </c>
      <c r="AC48" s="24">
        <f t="shared" si="3"/>
        <v>30.019679696852645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23.537279999999978</v>
      </c>
      <c r="D49" s="12">
        <f t="shared" si="32"/>
        <v>7.509930335219595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239.6626762718704</v>
      </c>
      <c r="H49" s="70">
        <f t="shared" si="1"/>
        <v>347.40722466717409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41.752499488246087</v>
      </c>
      <c r="T49" s="62">
        <f t="shared" si="34"/>
        <v>233.63061772484252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29.429636925862141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9.9183590726903566E-4</v>
      </c>
      <c r="AC49" s="24">
        <f t="shared" si="3"/>
        <v>29.430628761769409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24.048959999999976</v>
      </c>
      <c r="D50" s="12">
        <f t="shared" si="32"/>
        <v>7.6540052460053554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244.7246440042517</v>
      </c>
      <c r="H50" s="70">
        <f t="shared" si="1"/>
        <v>348.5493311367926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41.752499488246087</v>
      </c>
      <c r="T50" s="62">
        <f t="shared" si="34"/>
        <v>233.63061772484252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28.852539696052062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7.0133389585424685E-4</v>
      </c>
      <c r="AC50" s="24">
        <f t="shared" si="3"/>
        <v>28.853241029947917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24.560639999999974</v>
      </c>
      <c r="D51" s="12">
        <f t="shared" si="32"/>
        <v>7.7977237545361815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249.78386056133175</v>
      </c>
      <c r="H51" s="70">
        <f t="shared" si="1"/>
        <v>349.69081687248377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41.752499488246087</v>
      </c>
      <c r="T51" s="62">
        <f t="shared" si="34"/>
        <v>233.63061772484252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28.286758990924007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4.9591795363451783E-4</v>
      </c>
      <c r="AC51" s="24">
        <f t="shared" si="3"/>
        <v>28.287254908877642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25.072319999999973</v>
      </c>
      <c r="D52" s="12">
        <f t="shared" si="32"/>
        <v>7.9410941413012353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254.84038986267606</v>
      </c>
      <c r="H52" s="70">
        <f t="shared" si="1"/>
        <v>350.83169629609961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41.752499488246087</v>
      </c>
      <c r="T52" s="62">
        <f t="shared" si="34"/>
        <v>233.63061772484252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27.732072900331357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3.5066694792712343E-4</v>
      </c>
      <c r="AC52" s="24">
        <f t="shared" si="3"/>
        <v>27.732423567279284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25.583999999999971</v>
      </c>
      <c r="D53" s="12">
        <f t="shared" si="32"/>
        <v>8.0841243294901695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259.89429306974847</v>
      </c>
      <c r="H53" s="70">
        <f t="shared" si="1"/>
        <v>351.97198320719531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41.752499488246087</v>
      </c>
      <c r="T53" s="62">
        <f t="shared" si="34"/>
        <v>233.63061772484252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27.188263865650121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2.4795897681725892E-4</v>
      </c>
      <c r="AC53" s="24">
        <f t="shared" si="3"/>
        <v>27.188511824626939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26.09567999999997</v>
      </c>
      <c r="D54" s="12">
        <f t="shared" si="32"/>
        <v>8.2268219072429449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264.94562875766462</v>
      </c>
      <c r="H54" s="70">
        <f t="shared" si="1"/>
        <v>353.11169082178139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41.752499488246087</v>
      </c>
      <c r="T54" s="62">
        <f t="shared" si="34"/>
        <v>233.63061772484252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26.655118594448226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1.7533347396356171E-4</v>
      </c>
      <c r="AC54" s="24">
        <f t="shared" si="3"/>
        <v>26.655293927922187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26.607359999999968</v>
      </c>
      <c r="D55" s="12">
        <f t="shared" si="32"/>
        <v>8.3691941481052172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269.9944530730927</v>
      </c>
      <c r="H55" s="70">
        <f t="shared" si="1"/>
        <v>354.25083180794985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41.752499488246087</v>
      </c>
      <c r="T55" s="62">
        <f t="shared" si="34"/>
        <v>233.63061772484252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26.132427976828094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1.2397948840862946E-4</v>
      </c>
      <c r="AC55" s="24">
        <f t="shared" si="3"/>
        <v>26.132551956316501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27.119039999999966</v>
      </c>
      <c r="D56" s="12">
        <f t="shared" si="32"/>
        <v>8.5112480298657882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275.04081987966543</v>
      </c>
      <c r="H56" s="70">
        <f t="shared" si="1"/>
        <v>355.38941831868283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41.752499488246087</v>
      </c>
      <c r="T56" s="62">
        <f t="shared" si="34"/>
        <v>233.63061772484252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25.619987003409694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8.7666736981780857E-5</v>
      </c>
      <c r="AC56" s="24">
        <f t="shared" si="3"/>
        <v>25.620074670146675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27.630719999999965</v>
      </c>
      <c r="D57" s="12">
        <f t="shared" si="32"/>
        <v>8.65299025193214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280.08478089210752</v>
      </c>
      <c r="H57" s="70">
        <f t="shared" si="1"/>
        <v>356.52746202211506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41.752499488246087</v>
      </c>
      <c r="T57" s="62">
        <f t="shared" si="34"/>
        <v>233.63061772484252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25.117594684921897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6.1989744204314729E-5</v>
      </c>
      <c r="AC57" s="24">
        <f t="shared" si="3"/>
        <v>25.117656674666101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28.142399999999963</v>
      </c>
      <c r="D58" s="12">
        <f t="shared" si="32"/>
        <v>8.7944272513824711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285.1263858001451</v>
      </c>
      <c r="H58" s="70">
        <f t="shared" si="1"/>
        <v>357.66497412949104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41.752499488246087</v>
      </c>
      <c r="T58" s="62">
        <f t="shared" si="34"/>
        <v>233.63061772484252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24.625053973370591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4.3833368490890428E-5</v>
      </c>
      <c r="AC58" s="24">
        <f t="shared" si="3"/>
        <v>24.625097806739081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28.654079999999961</v>
      </c>
      <c r="D59" s="12">
        <f t="shared" si="32"/>
        <v>8.9355652178173202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290.16568238315097</v>
      </c>
      <c r="H59" s="70">
        <f t="shared" si="1"/>
        <v>358.80196542103175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41.752499488246087</v>
      </c>
      <c r="T59" s="62">
        <f t="shared" si="34"/>
        <v>233.63061772484252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24.142171684752636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3.0994872102157364E-5</v>
      </c>
      <c r="AC59" s="24">
        <f t="shared" si="3"/>
        <v>24.142202679624738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29.16575999999996</v>
      </c>
      <c r="D60" s="12">
        <f t="shared" si="32"/>
        <v>9.0764101071203047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295.20271661636696</v>
      </c>
      <c r="H60" s="70">
        <f t="shared" si="1"/>
        <v>359.93844626990108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41.752499488246087</v>
      </c>
      <c r="T60" s="62">
        <f t="shared" si="34"/>
        <v>233.63061772484252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23.668758423285365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2.1916684245445214E-5</v>
      </c>
      <c r="AC60" s="24">
        <f t="shared" si="3"/>
        <v>23.668780339969612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29.677439999999958</v>
      </c>
      <c r="D61" s="12">
        <f t="shared" si="32"/>
        <v>9.2169676542258578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300.23753276946246</v>
      </c>
      <c r="H61" s="70">
        <f t="shared" si="1"/>
        <v>361.07442666444325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41.752499488246087</v>
      </c>
      <c r="T61" s="62">
        <f t="shared" si="34"/>
        <v>233.63061772484252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23.204628507121889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1.5497436051078682E-5</v>
      </c>
      <c r="AC61" s="24">
        <f t="shared" si="3"/>
        <v>23.204644004557942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30.189119999999956</v>
      </c>
      <c r="D62" s="12">
        <f t="shared" si="32"/>
        <v>9.3572433849814889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305.27017349810239</v>
      </c>
      <c r="H62" s="70">
        <f t="shared" si="1"/>
        <v>362.20991622884264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41.752499488246087</v>
      </c>
      <c r="T62" s="62">
        <f t="shared" si="34"/>
        <v>233.63061772484252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22.749599895523083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1.0958342122722607E-5</v>
      </c>
      <c r="AC62" s="24">
        <f t="shared" si="3"/>
        <v>22.749610853865207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30.700799999999955</v>
      </c>
      <c r="D63" s="12">
        <f t="shared" si="32"/>
        <v>9.4972426271830557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310.30067992913206</v>
      </c>
      <c r="H63" s="70">
        <f t="shared" si="1"/>
        <v>363.34492424234372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41.752499488246087</v>
      </c>
      <c r="T63" s="62">
        <f t="shared" si="34"/>
        <v>233.63061772484252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22.303494117457682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7.7487180255393411E-6</v>
      </c>
      <c r="AC63" s="24">
        <f t="shared" si="3"/>
        <v>22.303501866175708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31.212479999999953</v>
      </c>
      <c r="D64" s="12">
        <f t="shared" si="32"/>
        <v>9.6369705208534739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315.32909173992118</v>
      </c>
      <c r="H64" s="70">
        <f t="shared" si="1"/>
        <v>364.47945965715303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41.752499488246087</v>
      </c>
      <c r="T64" s="62">
        <f t="shared" si="34"/>
        <v>233.63061772484252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21.866136201602487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5.4791710613613035E-6</v>
      </c>
      <c r="AC64" s="24">
        <f t="shared" si="3"/>
        <v>21.866141680773548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31.724159999999952</v>
      </c>
      <c r="D65" s="12">
        <f t="shared" si="32"/>
        <v>9.7764320278283297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320.3554472323587</v>
      </c>
      <c r="H65" s="70">
        <f t="shared" si="1"/>
        <v>365.61353111513426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41.752499488246087</v>
      </c>
      <c r="T65" s="62">
        <f t="shared" si="34"/>
        <v>233.63061772484252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21.437354607715221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3.8743590127696706E-6</v>
      </c>
      <c r="AC65" s="24">
        <f t="shared" si="3"/>
        <v>21.437358482074234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32.235839999999953</v>
      </c>
      <c r="D66" s="12">
        <f t="shared" si="32"/>
        <v>9.9156319407055236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325.37978340193706</v>
      </c>
      <c r="H66" s="70">
        <f t="shared" si="1"/>
        <v>366.74714696339538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41.752499488246087</v>
      </c>
      <c r="T66" s="62">
        <f t="shared" si="34"/>
        <v>233.63061772484252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21.01698115935314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2.7395855306806518E-6</v>
      </c>
      <c r="AC66" s="24">
        <f t="shared" si="3"/>
        <v>21.016983898938669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32.747519999999952</v>
      </c>
      <c r="D67" s="12">
        <f t="shared" si="32"/>
        <v>10.054574891210564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330.40213600232681</v>
      </c>
      <c r="H67" s="70">
        <f t="shared" si="1"/>
        <v>367.88031526885828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41.752499488246087</v>
      </c>
      <c r="T67" s="62">
        <f t="shared" si="34"/>
        <v>233.63061772484252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20.604850977910953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1.9371795063848353E-6</v>
      </c>
      <c r="AC67" s="24">
        <f t="shared" si="3"/>
        <v>20.604852915090458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33.25919999999995</v>
      </c>
      <c r="D68" s="12">
        <f t="shared" si="32"/>
        <v>10.193265358024172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335.42253960580024</v>
      </c>
      <c r="H68" s="70">
        <f t="shared" ref="H68:H131" si="56">(B68+E68+F68)*44/12+(C68+D68)*0.475*44/12</f>
        <v>369.01304383189199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41.752499488246087</v>
      </c>
      <c r="T68" s="62">
        <f t="shared" si="34"/>
        <v>233.63061772484252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20.200802417952257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1.3697927653403259E-6</v>
      </c>
      <c r="AC68" s="24">
        <f t="shared" ref="AC68:AC131" si="57">SUM(Z68:AB68)</f>
        <v>20.200803787745023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33.770879999999948</v>
      </c>
      <c r="D69" s="12">
        <f t="shared" ref="D69:D132" si="86">IFERROR(EXP(-1.0587+0.8836*LN(C69)+0.284),0)</f>
        <v>10.331707674114574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340.44102765983138</v>
      </c>
      <c r="H69" s="70">
        <f t="shared" si="56"/>
        <v>370.14534019908274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41.752499488246087</v>
      </c>
      <c r="T69" s="62">
        <f t="shared" ref="T69:T132" si="88">$T$3</f>
        <v>233.63061772484252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19.804677003809065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9.6858975319241764E-7</v>
      </c>
      <c r="AC69" s="24">
        <f t="shared" si="57"/>
        <v>19.804677972398817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34.282559999999947</v>
      </c>
      <c r="D70" s="12">
        <f t="shared" si="86"/>
        <v>10.469906033612734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345.45763254016805</v>
      </c>
      <c r="H70" s="70">
        <f t="shared" si="56"/>
        <v>371.27721167520872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41.752499488246087</v>
      </c>
      <c r="T70" s="62">
        <f t="shared" si="88"/>
        <v>233.63061772484252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19.416319367424574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6.8489638267016294E-7</v>
      </c>
      <c r="AC70" s="24">
        <f t="shared" si="57"/>
        <v>19.416320052320955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34.794239999999945</v>
      </c>
      <c r="D71" s="12">
        <f t="shared" si="86"/>
        <v>10.607864498265494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350.47238560064551</v>
      </c>
      <c r="H71" s="70">
        <f t="shared" si="56"/>
        <v>372.40866533447894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41.752499488246087</v>
      </c>
      <c r="T71" s="62">
        <f t="shared" si="88"/>
        <v>233.63061772484252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19.035577187414813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4.8429487659620882E-7</v>
      </c>
      <c r="AC71" s="24">
        <f t="shared" si="57"/>
        <v>19.035577671709689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35.305919999999944</v>
      </c>
      <c r="D72" s="12">
        <f t="shared" si="86"/>
        <v>10.745587003498374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355.48531721998705</v>
      </c>
      <c r="H72" s="70">
        <f t="shared" si="56"/>
        <v>373.53970803109286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41.752499488246087</v>
      </c>
      <c r="T72" s="62">
        <f t="shared" si="88"/>
        <v>233.63061772484252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18.662301129325247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3.4244819133508147E-7</v>
      </c>
      <c r="AC72" s="24">
        <f t="shared" si="57"/>
        <v>18.662301471773439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35.817599999999942</v>
      </c>
      <c r="D73" s="12">
        <f t="shared" si="86"/>
        <v>10.88307736411684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360.49645684581378</v>
      </c>
      <c r="H73" s="70">
        <f t="shared" si="56"/>
        <v>374.67034640917007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41.752499488246087</v>
      </c>
      <c r="T73" s="62">
        <f t="shared" si="88"/>
        <v>233.63061772484252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18.296344787058903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2.4214743829810441E-7</v>
      </c>
      <c r="AC73" s="24">
        <f t="shared" si="57"/>
        <v>18.296345029206343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36.32927999999994</v>
      </c>
      <c r="D74" s="12">
        <f t="shared" si="86"/>
        <v>11.020339279672598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365.50583303606868</v>
      </c>
      <c r="H74" s="70">
        <f t="shared" si="56"/>
        <v>375.80058691209632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41.752499488246087</v>
      </c>
      <c r="T74" s="62">
        <f t="shared" si="88"/>
        <v>233.63061772484252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17.937564625453071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1.7122409566754074E-7</v>
      </c>
      <c r="AC74" s="24">
        <f t="shared" si="57"/>
        <v>17.937564796677165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36.840959999999939</v>
      </c>
      <c r="D75" s="12">
        <f t="shared" si="86"/>
        <v>11.157376339518924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370.51347349804036</v>
      </c>
      <c r="H75" s="70">
        <f t="shared" si="56"/>
        <v>376.93043579132865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41.752499488246087</v>
      </c>
      <c r="T75" s="62">
        <f t="shared" si="88"/>
        <v>233.63061772484252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17.58581992398204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1.210737191490522E-7</v>
      </c>
      <c r="AC75" s="24">
        <f t="shared" si="57"/>
        <v>17.585820045055758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37.352639999999937</v>
      </c>
      <c r="D76" s="12">
        <f t="shared" si="86"/>
        <v>11.294192027577196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375.51940512515677</v>
      </c>
      <c r="H76" s="70">
        <f t="shared" si="56"/>
        <v>378.0598991146968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41.752499488246087</v>
      </c>
      <c r="T76" s="62">
        <f t="shared" si="88"/>
        <v>233.63061772484252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17.240972721563772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8.5612047833770368E-8</v>
      </c>
      <c r="AC76" s="24">
        <f t="shared" si="57"/>
        <v>17.240972807175819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37.864319999999935</v>
      </c>
      <c r="D77" s="12">
        <f t="shared" si="86"/>
        <v>11.430789726834767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380.52365403170649</v>
      </c>
      <c r="H77" s="70">
        <f t="shared" si="56"/>
        <v>379.1889827742371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41.752499488246087</v>
      </c>
      <c r="T77" s="62">
        <f t="shared" si="88"/>
        <v>233.63061772484252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16.902887762448902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6.0536859574526102E-8</v>
      </c>
      <c r="AC77" s="24">
        <f t="shared" si="57"/>
        <v>16.902887822985761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38.375999999999934</v>
      </c>
      <c r="D78" s="12">
        <f t="shared" si="86"/>
        <v>11.567172723592845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385.52624558562849</v>
      </c>
      <c r="H78" s="70">
        <f t="shared" si="56"/>
        <v>380.31769249359076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41.752499488246087</v>
      </c>
      <c r="T78" s="62">
        <f t="shared" si="88"/>
        <v>233.63061772484252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16.57143244317081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4.2806023916885184E-8</v>
      </c>
      <c r="AC78" s="24">
        <f t="shared" si="57"/>
        <v>16.571432485976835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38.887679999999932</v>
      </c>
      <c r="D79" s="12">
        <f t="shared" si="86"/>
        <v>11.703344211481344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390.52720443950466</v>
      </c>
      <c r="H79" s="70">
        <f t="shared" si="56"/>
        <v>381.44603383499651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41.752499488246087</v>
      </c>
      <c r="T79" s="62">
        <f t="shared" si="88"/>
        <v>233.63061772484252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16.24647676053598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3.0268429787263051E-8</v>
      </c>
      <c r="AC79" s="24">
        <f t="shared" si="57"/>
        <v>16.246476790804412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39.39935999999993</v>
      </c>
      <c r="D80" s="12">
        <f t="shared" si="86"/>
        <v>11.839307295256422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395.5265545598736</v>
      </c>
      <c r="H80" s="70">
        <f t="shared" si="56"/>
        <v>382.57401220590475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41.752499488246087</v>
      </c>
      <c r="T80" s="62">
        <f t="shared" si="88"/>
        <v>233.63061772484252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15.927893260634225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2.1403011958442592E-8</v>
      </c>
      <c r="AC80" s="24">
        <f t="shared" si="57"/>
        <v>15.927893282037237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39.911039999999929</v>
      </c>
      <c r="D81" s="12">
        <f t="shared" si="86"/>
        <v>11.975064994395105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400.52431925497922</v>
      </c>
      <c r="H81" s="70">
        <f t="shared" si="56"/>
        <v>383.70163286523797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41.752499488246087</v>
      </c>
      <c r="T81" s="62">
        <f t="shared" si="88"/>
        <v>233.63061772484252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15.615556988848795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1.5134214893631526E-8</v>
      </c>
      <c r="AC81" s="24">
        <f t="shared" si="57"/>
        <v>15.61555700398301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40.422719999999927</v>
      </c>
      <c r="D82" s="12">
        <f t="shared" si="86"/>
        <v>12.110620246500391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405.52052120105509</v>
      </c>
      <c r="H82" s="70">
        <f t="shared" si="56"/>
        <v>384.82890092932138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41.752499488246087</v>
      </c>
      <c r="T82" s="62">
        <f t="shared" si="88"/>
        <v>233.63061772484252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15.309345440846762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1.0701505979221296E-8</v>
      </c>
      <c r="AC82" s="24">
        <f t="shared" si="57"/>
        <v>15.309345451548268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40.934399999999926</v>
      </c>
      <c r="D83" s="12">
        <f t="shared" si="86"/>
        <v>12.245975910528946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410.51518246724049</v>
      </c>
      <c r="H83" s="70">
        <f t="shared" si="56"/>
        <v>385.95582137750444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41.752499488246087</v>
      </c>
      <c r="T83" s="62">
        <f t="shared" si="88"/>
        <v>233.63061772484252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15.009138514530447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7.5671074468157628E-9</v>
      </c>
      <c r="AC83" s="24">
        <f t="shared" si="57"/>
        <v>15.009138522097555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41.446079999999924</v>
      </c>
      <c r="D84" s="12">
        <f t="shared" si="86"/>
        <v>12.381134769852867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415.50832453921453</v>
      </c>
      <c r="H84" s="70">
        <f t="shared" si="56"/>
        <v>387.0823990574936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41.752499488246087</v>
      </c>
      <c r="T84" s="62">
        <f t="shared" si="88"/>
        <v>233.63061772484252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14.714818462931049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5.350752989610648E-9</v>
      </c>
      <c r="AC84" s="24">
        <f t="shared" si="57"/>
        <v>14.714818468281802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41.957759999999922</v>
      </c>
      <c r="D85" s="12">
        <f t="shared" si="86"/>
        <v>12.51609953516596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420.49996834163147</v>
      </c>
      <c r="H85" s="70">
        <f t="shared" si="56"/>
        <v>388.20863869041392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41.752499488246087</v>
      </c>
      <c r="T85" s="62">
        <f t="shared" si="88"/>
        <v>233.63061772484252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14.426269848026012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3.7835537234078814E-9</v>
      </c>
      <c r="AC85" s="24">
        <f t="shared" si="57"/>
        <v>14.426269851809565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42.469439999999921</v>
      </c>
      <c r="D86" s="12">
        <f t="shared" si="86"/>
        <v>12.650872847244136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425.49013425942786</v>
      </c>
      <c r="H86" s="70">
        <f t="shared" si="56"/>
        <v>389.3345448756167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41.752499488246087</v>
      </c>
      <c r="T86" s="62">
        <f t="shared" si="88"/>
        <v>233.63061772484252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14.143379495461984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2.675376494805324E-9</v>
      </c>
      <c r="AC86" s="24">
        <f t="shared" si="57"/>
        <v>14.14337949813736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42.981119999999919</v>
      </c>
      <c r="D87" s="12">
        <f t="shared" si="86"/>
        <v>12.785457279569069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430.47884215807647</v>
      </c>
      <c r="H87" s="70">
        <f t="shared" si="56"/>
        <v>390.46012209524929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41.752499488246087</v>
      </c>
      <c r="T87" s="62">
        <f t="shared" si="88"/>
        <v>233.63061772484252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13.866036450165659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1.8917768617039407E-9</v>
      </c>
      <c r="AC87" s="24">
        <f t="shared" si="57"/>
        <v>13.866036452057436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43.492799999999917</v>
      </c>
      <c r="D88" s="12">
        <f t="shared" si="86"/>
        <v>12.919855340823286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435.46611140284585</v>
      </c>
      <c r="H88" s="70">
        <f t="shared" si="56"/>
        <v>391.58537471860041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41.752499488246087</v>
      </c>
      <c r="T88" s="62">
        <f t="shared" si="88"/>
        <v>233.63061772484252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13.594131932825041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1.337688247402662E-9</v>
      </c>
      <c r="AC88" s="24">
        <f t="shared" si="57"/>
        <v>13.59413193416273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44.004479999999916</v>
      </c>
      <c r="D89" s="12">
        <f t="shared" si="86"/>
        <v>13.054069477264541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440.45196087712912</v>
      </c>
      <c r="H89" s="70">
        <f t="shared" si="56"/>
        <v>392.71030700623555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41.752499488246087</v>
      </c>
      <c r="T89" s="62">
        <f t="shared" si="88"/>
        <v>233.63061772484252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13.327559297224093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9.4588843085197035E-10</v>
      </c>
      <c r="AC89" s="24">
        <f t="shared" si="57"/>
        <v>13.327559298169982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44.516159999999914</v>
      </c>
      <c r="D90" s="12">
        <f t="shared" si="86"/>
        <v>13.18810207498659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445.43640899989583</v>
      </c>
      <c r="H90" s="70">
        <f t="shared" si="56"/>
        <v>393.83492311393479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41.752499488246087</v>
      </c>
      <c r="T90" s="62">
        <f t="shared" si="88"/>
        <v>233.63061772484252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13.066213988414027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6.68844123701331E-10</v>
      </c>
      <c r="AC90" s="24">
        <f t="shared" si="57"/>
        <v>13.066213989082872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45.027839999999912</v>
      </c>
      <c r="D91" s="12">
        <f t="shared" si="86"/>
        <v>13.32195546207303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450.41947374231745</v>
      </c>
      <c r="H91" s="70">
        <f t="shared" si="56"/>
        <v>394.95922709644367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41.752499488246087</v>
      </c>
      <c r="T91" s="62">
        <f t="shared" si="88"/>
        <v>233.63061772484252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12.809993501704827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4.7294421542598518E-10</v>
      </c>
      <c r="AC91" s="24">
        <f t="shared" si="57"/>
        <v>12.809993502177772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45.539519999999911</v>
      </c>
      <c r="D92" s="12">
        <f t="shared" si="86"/>
        <v>13.455631910650482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455.40117264361703</v>
      </c>
      <c r="H92" s="70">
        <f t="shared" si="56"/>
        <v>396.0832229110494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41.752499488246087</v>
      </c>
      <c r="T92" s="62">
        <f t="shared" si="88"/>
        <v>233.63061772484252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12.558797342460931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3.344220618506655E-10</v>
      </c>
      <c r="AC92" s="24">
        <f t="shared" si="57"/>
        <v>12.558797342795353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46.051199999999909</v>
      </c>
      <c r="D93" s="12">
        <f t="shared" si="86"/>
        <v>13.58913363884685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460.38152282618552</v>
      </c>
      <c r="H93" s="70">
        <f t="shared" si="56"/>
        <v>397.20691442099138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41.752499488246087</v>
      </c>
      <c r="T93" s="62">
        <f t="shared" si="88"/>
        <v>233.63061772484252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12.312526986685278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2.3647210771299259E-10</v>
      </c>
      <c r="AC93" s="24">
        <f t="shared" si="57"/>
        <v>12.31252698692175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46.562879999999907</v>
      </c>
      <c r="D94" s="12">
        <f t="shared" si="86"/>
        <v>13.722462812660055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465.36054101000673</v>
      </c>
      <c r="H94" s="70">
        <f t="shared" si="56"/>
        <v>398.33030539871606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41.752499488246087</v>
      </c>
      <c r="T94" s="62">
        <f t="shared" si="88"/>
        <v>233.63061772484252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12.0710858423763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1.6721103092533275E-10</v>
      </c>
      <c r="AC94" s="24">
        <f t="shared" si="57"/>
        <v>12.071085842543511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47.074559999999906</v>
      </c>
      <c r="D95" s="12">
        <f t="shared" si="86"/>
        <v>13.855621547742276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470.33824352643086</v>
      </c>
      <c r="H95" s="70">
        <f t="shared" si="56"/>
        <v>399.45339952898428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41.752499488246087</v>
      </c>
      <c r="T95" s="62">
        <f t="shared" si="88"/>
        <v>233.63061772484252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11.834379211642664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1.1823605385649629E-10</v>
      </c>
      <c r="AC95" s="24">
        <f t="shared" si="57"/>
        <v>11.834379211760901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47.586239999999904</v>
      </c>
      <c r="D96" s="12">
        <f t="shared" si="86"/>
        <v>13.988611911104435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475.31464633133174</v>
      </c>
      <c r="H96" s="70">
        <f t="shared" si="56"/>
        <v>400.57620041184003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41.752499488246087</v>
      </c>
      <c r="T96" s="62">
        <f t="shared" si="88"/>
        <v>233.63061772484252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11.602314253560927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8.3605515462666375E-11</v>
      </c>
      <c r="AC96" s="24">
        <f t="shared" si="57"/>
        <v>11.602314253644533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48.097919999999903</v>
      </c>
      <c r="D97" s="12">
        <f t="shared" si="86"/>
        <v>14.121435922745237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480.28976501768176</v>
      </c>
      <c r="H97" s="70">
        <f t="shared" si="56"/>
        <v>401.69871156544775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41.752499488246087</v>
      </c>
      <c r="T97" s="62">
        <f t="shared" si="88"/>
        <v>233.63061772484252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11.374799947761524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5.9118026928248147E-11</v>
      </c>
      <c r="AC97" s="24">
        <f t="shared" si="57"/>
        <v>11.374799947820641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48.609599999999901</v>
      </c>
      <c r="D98" s="12">
        <f t="shared" si="86"/>
        <v>14.254095557208926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485.26361482757693</v>
      </c>
      <c r="H98" s="70">
        <f t="shared" si="56"/>
        <v>402.82093642880534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41.752499488246087</v>
      </c>
      <c r="T98" s="62">
        <f t="shared" si="88"/>
        <v>233.63061772484252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11.151747058728823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4.1802757731333187E-11</v>
      </c>
      <c r="AC98" s="24">
        <f t="shared" si="57"/>
        <v>11.151747058770626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49.121279999999899</v>
      </c>
      <c r="D99" s="12">
        <f t="shared" si="86"/>
        <v>14.386592745075589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490.23621066374062</v>
      </c>
      <c r="H99" s="70">
        <f t="shared" si="56"/>
        <v>403.94287836433978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41.752499488246087</v>
      </c>
      <c r="T99" s="62">
        <f t="shared" si="88"/>
        <v>233.63061772484252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10.933068100801226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2.9559013464124073E-11</v>
      </c>
      <c r="AC99" s="24">
        <f t="shared" si="57"/>
        <v>10.933068100830784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49.632959999999898</v>
      </c>
      <c r="D100" s="12">
        <f t="shared" si="86"/>
        <v>14.518929374387568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495.20756710053479</v>
      </c>
      <c r="H100" s="70">
        <f t="shared" si="56"/>
        <v>405.06454066039146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41.752499488246087</v>
      </c>
      <c r="T100" s="62">
        <f t="shared" si="88"/>
        <v>233.63061772484252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10.718677303857595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2.0901378865666594E-11</v>
      </c>
      <c r="AC100" s="24">
        <f t="shared" si="57"/>
        <v>10.718677303878495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50.144639999999896</v>
      </c>
      <c r="D101" s="12">
        <f t="shared" si="86"/>
        <v>14.651107292015382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500.17769839450392</v>
      </c>
      <c r="H101" s="70">
        <f t="shared" si="56"/>
        <v>406.18592653359326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41.752499488246087</v>
      </c>
      <c r="T101" s="62">
        <f t="shared" si="88"/>
        <v>233.63061772484252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10.508490579676554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1.4779506732062037E-11</v>
      </c>
      <c r="AC101" s="24">
        <f t="shared" si="57"/>
        <v>10.508490579691333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50.656319999999894</v>
      </c>
      <c r="D102" s="12">
        <f t="shared" si="86"/>
        <v>14.783128304966317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505.14661849447606</v>
      </c>
      <c r="H102" s="70">
        <f t="shared" si="56"/>
        <v>407.30703913114945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41.752499488246087</v>
      </c>
      <c r="T102" s="62">
        <f t="shared" si="88"/>
        <v>233.63061772484252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10.302425488955461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1.0450689432833297E-11</v>
      </c>
      <c r="AC102" s="24">
        <f t="shared" si="57"/>
        <v>10.302425488965911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51.167999999999893</v>
      </c>
      <c r="D103" s="12">
        <f t="shared" si="86"/>
        <v>14.91499418163861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510.11434105124454</v>
      </c>
      <c r="H103" s="70">
        <f t="shared" si="56"/>
        <v>408.42788153302035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41.752499488246087</v>
      </c>
      <c r="T103" s="62">
        <f t="shared" si="88"/>
        <v>233.63061772484252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10.100401208976113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7.3897533660310184E-12</v>
      </c>
      <c r="AC103" s="24">
        <f t="shared" si="57"/>
        <v>10.100401208983502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51.679679999999891</v>
      </c>
      <c r="D104" s="12">
        <f t="shared" si="86"/>
        <v>15.046706653024026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515.08087942685131</v>
      </c>
      <c r="H104" s="70">
        <f t="shared" si="56"/>
        <v>409.54845675401663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41.752499488246087</v>
      </c>
      <c r="T104" s="62">
        <f t="shared" si="88"/>
        <v>233.63061772484252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9.9023385019045165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5.2253447164166484E-12</v>
      </c>
      <c r="AC104" s="24">
        <f t="shared" si="57"/>
        <v>9.9023385019097425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52.191359999999889</v>
      </c>
      <c r="D105" s="12">
        <f t="shared" si="86"/>
        <v>15.178267413861498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520.04624670349142</v>
      </c>
      <c r="H105" s="70">
        <f t="shared" si="56"/>
        <v>410.66876774580857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41.752499488246087</v>
      </c>
      <c r="T105" s="62">
        <f t="shared" si="88"/>
        <v>233.63061772484252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9.708159683712271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3.6948766830155092E-12</v>
      </c>
      <c r="AC105" s="24">
        <f t="shared" si="57"/>
        <v>9.7081596837159658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52.703039999999888</v>
      </c>
      <c r="D106" s="12">
        <f t="shared" si="86"/>
        <v>15.309678123744137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525.01045569205905</v>
      </c>
      <c r="H106" s="70">
        <f t="shared" si="56"/>
        <v>411.78881739885412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41.752499488246087</v>
      </c>
      <c r="T106" s="62">
        <f t="shared" si="88"/>
        <v>233.63061772484252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9.5177885937073921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2.6126723582083242E-12</v>
      </c>
      <c r="AC106" s="24">
        <f t="shared" si="57"/>
        <v>9.5177885937100051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53.214719999999886</v>
      </c>
      <c r="D107" s="12">
        <f t="shared" si="86"/>
        <v>15.440940408182154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529.97351894035262</v>
      </c>
      <c r="H107" s="70">
        <f t="shared" si="56"/>
        <v>412.90860854425034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41.752499488246087</v>
      </c>
      <c r="T107" s="62">
        <f t="shared" si="88"/>
        <v>233.63061772484252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9.3311505646626092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1.8474383415077546E-12</v>
      </c>
      <c r="AC107" s="24">
        <f t="shared" si="57"/>
        <v>9.3311505646644566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53.726399999999884</v>
      </c>
      <c r="D108" s="12">
        <f t="shared" si="86"/>
        <v>15.572055859623591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534.93544874095312</v>
      </c>
      <c r="H108" s="70">
        <f t="shared" si="56"/>
        <v>414.02814395551087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41.752499488246087</v>
      </c>
      <c r="T108" s="62">
        <f t="shared" si="88"/>
        <v>233.63061772484252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9.1481723935294372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1.3063361791041621E-12</v>
      </c>
      <c r="AC108" s="24">
        <f t="shared" si="57"/>
        <v>9.1481723935307429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54.238079999999883</v>
      </c>
      <c r="D109" s="12">
        <f t="shared" si="86"/>
        <v>15.703026038435169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539.89625713879695</v>
      </c>
      <c r="H109" s="70">
        <f t="shared" si="56"/>
        <v>415.14742635027437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41.752499488246087</v>
      </c>
      <c r="T109" s="62">
        <f t="shared" si="88"/>
        <v>233.63061772484252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8.9687823127265229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9.237191707538773E-13</v>
      </c>
      <c r="AC109" s="24">
        <f t="shared" si="57"/>
        <v>8.9687823127274466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54.749759999999881</v>
      </c>
      <c r="D110" s="12">
        <f t="shared" si="86"/>
        <v>15.833852473844976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544.85595593845153</v>
      </c>
      <c r="H110" s="70">
        <f t="shared" si="56"/>
        <v>416.26645839194646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41.752499488246087</v>
      </c>
      <c r="T110" s="62">
        <f t="shared" si="88"/>
        <v>233.63061772484252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8.7929099619910076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6.5316808955208105E-13</v>
      </c>
      <c r="AC110" s="24">
        <f t="shared" si="57"/>
        <v>8.7929099619916613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55.26143999999988</v>
      </c>
      <c r="D111" s="12">
        <f t="shared" si="86"/>
        <v>15.96453666484898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549.81455671111405</v>
      </c>
      <c r="H111" s="70">
        <f t="shared" si="56"/>
        <v>417.38524269127839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41.752499488246087</v>
      </c>
      <c r="T111" s="62">
        <f t="shared" si="88"/>
        <v>233.63061772484252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8.6204863607818734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4.6185958537693865E-13</v>
      </c>
      <c r="AC111" s="24">
        <f t="shared" si="57"/>
        <v>8.6204863607823352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55.773119999999878</v>
      </c>
      <c r="D112" s="12">
        <f t="shared" si="86"/>
        <v>16.095080081082966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554.77207080134121</v>
      </c>
      <c r="H112" s="70">
        <f t="shared" si="56"/>
        <v>418.5037818078859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41.752499488246087</v>
      </c>
      <c r="T112" s="62">
        <f t="shared" si="88"/>
        <v>233.63061772484252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8.4514438812244386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3.2658404477604053E-13</v>
      </c>
      <c r="AC112" s="24">
        <f t="shared" si="57"/>
        <v>8.4514438812247654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56.284799999999876</v>
      </c>
      <c r="D113" s="12">
        <f t="shared" si="86"/>
        <v>16.225484163661527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559.72850933352663</v>
      </c>
      <c r="H113" s="70">
        <f t="shared" si="56"/>
        <v>419.62207825171021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41.752499488246087</v>
      </c>
      <c r="T113" s="62">
        <f t="shared" si="88"/>
        <v>233.63061772484252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8.2857162215853943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2.3092979268846932E-13</v>
      </c>
      <c r="AC113" s="24">
        <f t="shared" si="57"/>
        <v>8.2857162215856253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56.796479999999875</v>
      </c>
      <c r="D114" s="12">
        <f t="shared" si="86"/>
        <v>16.355750325985774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564.68388321813484</v>
      </c>
      <c r="H114" s="70">
        <f t="shared" si="56"/>
        <v>420.74013448442497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41.752499488246087</v>
      </c>
      <c r="T114" s="62">
        <f t="shared" si="88"/>
        <v>233.63061772484252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8.1232383802679795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1.6329202238802026E-13</v>
      </c>
      <c r="AC114" s="24">
        <f t="shared" si="57"/>
        <v>8.1232383802681429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57.308159999999873</v>
      </c>
      <c r="D115" s="12">
        <f t="shared" si="86"/>
        <v>16.485879954521028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569.63820315770511</v>
      </c>
      <c r="H115" s="70">
        <f t="shared" si="56"/>
        <v>421.85795292079058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41.752499488246087</v>
      </c>
      <c r="T115" s="62">
        <f t="shared" si="88"/>
        <v>233.63061772484252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7.9639466303171016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1.1546489634423466E-13</v>
      </c>
      <c r="AC115" s="24">
        <f t="shared" si="57"/>
        <v>7.9639466303172171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57.819839999999871</v>
      </c>
      <c r="D116" s="12">
        <f t="shared" si="86"/>
        <v>16.615874409545881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574.59147965263389</v>
      </c>
      <c r="H116" s="70">
        <f t="shared" si="56"/>
        <v>422.97553592995882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41.752499488246087</v>
      </c>
      <c r="T116" s="62">
        <f t="shared" si="88"/>
        <v>233.63061772484252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7.8077784944243867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8.1646011194010132E-14</v>
      </c>
      <c r="AC116" s="24">
        <f t="shared" si="57"/>
        <v>7.8077784944244684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58.33151999999987</v>
      </c>
      <c r="D117" s="12">
        <f t="shared" si="86"/>
        <v>16.74573502587419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579.54372300674697</v>
      </c>
      <c r="H117" s="70">
        <f t="shared" si="56"/>
        <v>424.0928858367306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41.752499488246087</v>
      </c>
      <c r="T117" s="62">
        <f t="shared" si="88"/>
        <v>233.63061772484252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7.6546727204233704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5.7732448172117331E-14</v>
      </c>
      <c r="AC117" s="24">
        <f t="shared" si="57"/>
        <v>7.6546727204234282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58.843199999999868</v>
      </c>
      <c r="D118" s="12">
        <f t="shared" si="86"/>
        <v>16.875463113550776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584.4949433326716</v>
      </c>
      <c r="H118" s="70">
        <f t="shared" si="56"/>
        <v>425.21000492276733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41.752499488246087</v>
      </c>
      <c r="T118" s="62">
        <f t="shared" si="88"/>
        <v>233.63061772484252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7.5045692572652127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4.0823005597005066E-14</v>
      </c>
      <c r="AC118" s="24">
        <f t="shared" si="57"/>
        <v>7.5045692572652536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59.354879999999866</v>
      </c>
      <c r="D119" s="12">
        <f t="shared" si="86"/>
        <v>17.005059958522384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589.4451505570139</v>
      </c>
      <c r="H119" s="70">
        <f t="shared" si="56"/>
        <v>426.32689542775955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41.752499488246087</v>
      </c>
      <c r="T119" s="62">
        <f t="shared" si="88"/>
        <v>233.63061772484252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7.3574092314655148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2.8866224086058665E-14</v>
      </c>
      <c r="AC119" s="24">
        <f t="shared" si="57"/>
        <v>7.3574092314655442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59.866559999999865</v>
      </c>
      <c r="D120" s="12">
        <f t="shared" si="86"/>
        <v>17.134526823284808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594.39435442535546</v>
      </c>
      <c r="H120" s="70">
        <f t="shared" si="56"/>
        <v>427.44355955055414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41.752499488246087</v>
      </c>
      <c r="T120" s="62">
        <f t="shared" si="88"/>
        <v>233.63061772484252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7.2131349240129961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2.0411502798502533E-14</v>
      </c>
      <c r="AC120" s="24">
        <f t="shared" si="57"/>
        <v>7.2131349240130165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60.378239999999863</v>
      </c>
      <c r="D121" s="12">
        <f t="shared" si="86"/>
        <v>17.263864947507184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599.34256450707198</v>
      </c>
      <c r="H121" s="70">
        <f t="shared" si="56"/>
        <v>428.55999945024143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41.752499488246087</v>
      </c>
      <c r="T121" s="62">
        <f t="shared" si="88"/>
        <v>233.63061772484252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7.071689747730983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1.4433112043029333E-14</v>
      </c>
      <c r="AC121" s="24">
        <f t="shared" si="57"/>
        <v>7.0716897477309972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60.889919999999861</v>
      </c>
      <c r="D122" s="12">
        <f t="shared" si="86"/>
        <v>17.393075548634652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604.28979019998576</v>
      </c>
      <c r="H122" s="70">
        <f t="shared" si="56"/>
        <v>429.67621724720505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41.752499488246087</v>
      </c>
      <c r="T122" s="62">
        <f t="shared" si="88"/>
        <v>233.63061772484252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6.9330182250828214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1.0205751399251266E-14</v>
      </c>
      <c r="AC122" s="24">
        <f t="shared" si="57"/>
        <v>6.9330182250828312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61.40159999999986</v>
      </c>
      <c r="D123" s="12">
        <f t="shared" si="86"/>
        <v>17.522159822470073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609.23604073485569</v>
      </c>
      <c r="H123" s="70">
        <f t="shared" si="56"/>
        <v>430.79221502413509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41.752499488246087</v>
      </c>
      <c r="T123" s="62">
        <f t="shared" si="88"/>
        <v>233.63061772484252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6.7970659664125126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7.2165560215146664E-15</v>
      </c>
      <c r="AC123" s="24">
        <f t="shared" si="57"/>
        <v>6.7970659664125197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61.913279999999858</v>
      </c>
      <c r="D124" s="12">
        <f t="shared" si="86"/>
        <v>17.651118943735838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614.18132517971412</v>
      </c>
      <c r="H124" s="70">
        <f t="shared" si="56"/>
        <v>431.90799482700629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41.752499488246087</v>
      </c>
      <c r="T124" s="62">
        <f t="shared" si="88"/>
        <v>233.63061772484252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6.6637796486120386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5.1028756996256332E-15</v>
      </c>
      <c r="AC124" s="24">
        <f t="shared" si="57"/>
        <v>6.663779648612044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62.424959999999857</v>
      </c>
      <c r="D125" s="12">
        <f t="shared" si="86"/>
        <v>17.779954066616529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619.1256524440563</v>
      </c>
      <c r="H125" s="70">
        <f t="shared" si="56"/>
        <v>433.02355866602352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41.752499488246087</v>
      </c>
      <c r="T125" s="62">
        <f t="shared" si="88"/>
        <v>233.63061772484252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6.5331069942070057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3.6082780107573332E-15</v>
      </c>
      <c r="AC125" s="24">
        <f t="shared" si="57"/>
        <v>6.5331069942070092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62.936639999999855</v>
      </c>
      <c r="D126" s="12">
        <f t="shared" si="86"/>
        <v>17.908666325283399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624.06903128288832</v>
      </c>
      <c r="H126" s="70">
        <f t="shared" si="56"/>
        <v>434.13890851653497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41.752499488246087</v>
      </c>
      <c r="T126" s="62">
        <f t="shared" si="88"/>
        <v>233.63061772484252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6.4049967508524066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2.5514378498128166E-15</v>
      </c>
      <c r="AC126" s="24">
        <f t="shared" si="57"/>
        <v>6.4049967508524093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63.448319999999853</v>
      </c>
      <c r="D127" s="12">
        <f t="shared" si="86"/>
        <v>18.037256834401116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629.01147030063919</v>
      </c>
      <c r="H127" s="70">
        <f t="shared" si="56"/>
        <v>435.25404631991501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41.752499488246087</v>
      </c>
      <c r="T127" s="62">
        <f t="shared" si="88"/>
        <v>233.63061772484252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6.2793986712304584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1.8041390053786666E-15</v>
      </c>
      <c r="AC127" s="24">
        <f t="shared" si="57"/>
        <v>6.2793986712304601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63.959999999999852</v>
      </c>
      <c r="D128" s="12">
        <f t="shared" si="86"/>
        <v>18.165726689617916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633.95297795494412</v>
      </c>
      <c r="H128" s="70">
        <f t="shared" si="56"/>
        <v>436.36897398441761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41.752499488246087</v>
      </c>
      <c r="T128" s="62">
        <f t="shared" si="88"/>
        <v>233.63061772484252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6.1562634933426317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1.2757189249064083E-15</v>
      </c>
      <c r="AC128" s="24">
        <f t="shared" si="57"/>
        <v>6.1562634933426326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64.47167999999985</v>
      </c>
      <c r="D129" s="12">
        <f t="shared" si="86"/>
        <v>18.294076968039381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638.89356256030294</v>
      </c>
      <c r="H129" s="70">
        <f t="shared" si="56"/>
        <v>437.48369338600162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41.752499488246087</v>
      </c>
      <c r="T129" s="62">
        <f t="shared" si="88"/>
        <v>233.63061772484252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6.0355429211881431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9.020695026893333E-16</v>
      </c>
      <c r="AC129" s="24">
        <f t="shared" si="57"/>
        <v>6.0355429211881439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64.983359999999848</v>
      </c>
      <c r="D130" s="12">
        <f t="shared" si="86"/>
        <v>18.422308728686971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643.83323229161749</v>
      </c>
      <c r="H130" s="70">
        <f t="shared" si="56"/>
        <v>438.59820636912951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41.752499488246087</v>
      </c>
      <c r="T130" s="62">
        <f t="shared" si="88"/>
        <v>233.63061772484252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5.9171896058213251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6.3785946245320415E-16</v>
      </c>
      <c r="AC130" s="24">
        <f t="shared" si="57"/>
        <v>5.917189605821326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65.495039999999847</v>
      </c>
      <c r="D131" s="12">
        <f t="shared" si="86"/>
        <v>18.550423012941557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648.7719951876179</v>
      </c>
      <c r="H131" s="70">
        <f t="shared" si="56"/>
        <v>439.71251474753956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41.752499488246087</v>
      </c>
      <c r="T131" s="62">
        <f t="shared" si="88"/>
        <v>233.63061772484252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5.8011571267804563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4.5103475134466665E-16</v>
      </c>
      <c r="AC131" s="24">
        <f t="shared" si="57"/>
        <v>5.8011571267804571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66.006719999999845</v>
      </c>
      <c r="D132" s="12">
        <f t="shared" si="86"/>
        <v>18.67842084497272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653.7098591541743</v>
      </c>
      <c r="H132" s="70">
        <f t="shared" ref="H132:H195" si="110">(B132+E132+F132)*44/12+(C132+D132)*0.475*44/12</f>
        <v>440.82662030499387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41.752499488246087</v>
      </c>
      <c r="T132" s="62">
        <f t="shared" si="88"/>
        <v>233.63061772484252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5.6873999738807548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3.1892973122660208E-16</v>
      </c>
      <c r="AC132" s="24">
        <f t="shared" ref="AC132:AC153" si="111">SUM(Z132:AB132)</f>
        <v>5.6873999738807548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66.518399999999843</v>
      </c>
      <c r="D133" s="12">
        <f t="shared" ref="D133:D196" si="140">IFERROR(EXP(-1.0587+0.8836*LN(C133)+0.284),0)</f>
        <v>18.806303232154395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658.64683196750639</v>
      </c>
      <c r="H133" s="70">
        <f t="shared" si="110"/>
        <v>441.94052479600191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41.752499488246087</v>
      </c>
      <c r="T133" s="62">
        <f t="shared" ref="T133:T196" si="142">$T$3</f>
        <v>233.63061772484252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5.5758735293644044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2.2551737567233332E-16</v>
      </c>
      <c r="AC133" s="24">
        <f t="shared" si="111"/>
        <v>5.5758735293644044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67.030079999999842</v>
      </c>
      <c r="D134" s="12">
        <f t="shared" si="140"/>
        <v>18.934071165467319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663.58292127729044</v>
      </c>
      <c r="H134" s="70">
        <f t="shared" si="110"/>
        <v>443.0542299465219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41.752499488246087</v>
      </c>
      <c r="T134" s="62">
        <f t="shared" si="142"/>
        <v>233.63061772484252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5.4665340504006057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1.5946486561330104E-16</v>
      </c>
      <c r="AC134" s="24">
        <f t="shared" si="111"/>
        <v>5.4665340504006057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67.54175999999984</v>
      </c>
      <c r="D135" s="12">
        <f t="shared" si="140"/>
        <v>19.06172561988889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668.51813460966741</v>
      </c>
      <c r="H135" s="70">
        <f t="shared" si="110"/>
        <v>444.16773745463951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41.752499488246087</v>
      </c>
      <c r="T135" s="62">
        <f t="shared" si="142"/>
        <v>233.63061772484252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5.3593386519287902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1.1275868783616666E-16</v>
      </c>
      <c r="AC135" s="24">
        <f t="shared" si="111"/>
        <v>5.3593386519287902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68.053439999999839</v>
      </c>
      <c r="D136" s="12">
        <f t="shared" si="140"/>
        <v>19.189267554770797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673.45247937015927</v>
      </c>
      <c r="H136" s="70">
        <f t="shared" si="110"/>
        <v>445.28104899122548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41.752499488246087</v>
      </c>
      <c r="T136" s="62">
        <f t="shared" si="142"/>
        <v>233.63061772484252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5.2542452898382699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7.9732432806650519E-17</v>
      </c>
      <c r="AC136" s="24">
        <f t="shared" si="111"/>
        <v>5.2542452898382699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68.565119999999837</v>
      </c>
      <c r="D137" s="12">
        <f t="shared" si="140"/>
        <v>19.316697914205022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678.38596284649373</v>
      </c>
      <c r="H137" s="70">
        <f t="shared" si="110"/>
        <v>446.39416620057341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41.752499488246087</v>
      </c>
      <c r="T137" s="62">
        <f t="shared" si="142"/>
        <v>233.63061772484252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5.1512127444777231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5.6379343918083331E-17</v>
      </c>
      <c r="AC137" s="24">
        <f t="shared" si="111"/>
        <v>5.1512127444777231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69.076799999999835</v>
      </c>
      <c r="D138" s="12">
        <f t="shared" si="140"/>
        <v>19.444017627378631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683.31859221134255</v>
      </c>
      <c r="H138" s="70">
        <f t="shared" si="110"/>
        <v>447.50709070101743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41.752499488246087</v>
      </c>
      <c r="T138" s="62">
        <f t="shared" si="142"/>
        <v>233.63061772484252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5.0502006044880492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3.986621640332526E-17</v>
      </c>
      <c r="AC138" s="24">
        <f t="shared" si="111"/>
        <v>5.0502006044880492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69.588479999999834</v>
      </c>
      <c r="D139" s="12">
        <f t="shared" si="140"/>
        <v>19.571227608917628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688.25037452497691</v>
      </c>
      <c r="H139" s="70">
        <f t="shared" si="110"/>
        <v>448.61982408553121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41.752499488246087</v>
      </c>
      <c r="T139" s="62">
        <f t="shared" si="142"/>
        <v>233.63061772484252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4.9511692509522511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2.8189671959041666E-17</v>
      </c>
      <c r="AC139" s="24">
        <f t="shared" si="111"/>
        <v>4.9511692509522511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70.100159999999832</v>
      </c>
      <c r="D140" s="12">
        <f t="shared" si="140"/>
        <v>19.698328759220548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693.18131673784148</v>
      </c>
      <c r="H140" s="70">
        <f t="shared" si="110"/>
        <v>449.73236792230875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41.752499488246087</v>
      </c>
      <c r="T140" s="62">
        <f t="shared" si="142"/>
        <v>233.63061772484252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4.8540798418561284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1.993310820166263E-17</v>
      </c>
      <c r="AC140" s="24">
        <f t="shared" si="111"/>
        <v>4.8540798418561284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70.61183999999983</v>
      </c>
      <c r="D141" s="12">
        <f t="shared" si="140"/>
        <v>19.825321964781974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698.11142569305264</v>
      </c>
      <c r="H141" s="70">
        <f t="shared" si="110"/>
        <v>450.84472375532829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41.752499488246087</v>
      </c>
      <c r="T141" s="62">
        <f t="shared" si="142"/>
        <v>233.63061772484252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4.7588942968536889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1.4094835979520833E-17</v>
      </c>
      <c r="AC141" s="24">
        <f t="shared" si="111"/>
        <v>4.7588942968536889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71.123519999999829</v>
      </c>
      <c r="D142" s="12">
        <f t="shared" si="140"/>
        <v>19.952208098506347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703.04070812881957</v>
      </c>
      <c r="H142" s="70">
        <f t="shared" si="110"/>
        <v>451.9568931048982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41.752499488246087</v>
      </c>
      <c r="T142" s="62">
        <f t="shared" si="142"/>
        <v>233.63061772484252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4.6655752823312975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9.9665541008313149E-18</v>
      </c>
      <c r="AC142" s="24">
        <f t="shared" si="111"/>
        <v>4.6655752823312975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71.635199999999827</v>
      </c>
      <c r="D143" s="12">
        <f t="shared" si="140"/>
        <v>20.078988020012602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707.96917068079767</v>
      </c>
      <c r="H143" s="70">
        <f t="shared" si="110"/>
        <v>453.06887746818825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41.752499488246087</v>
      </c>
      <c r="T143" s="62">
        <f t="shared" si="142"/>
        <v>233.63061772484252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4.5740861967647115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7.0474179897604164E-18</v>
      </c>
      <c r="AC143" s="24">
        <f t="shared" si="111"/>
        <v>4.5740861967647115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72.146879999999825</v>
      </c>
      <c r="D144" s="12">
        <f t="shared" si="140"/>
        <v>20.205662575929779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712.89681988436894</v>
      </c>
      <c r="H144" s="70">
        <f t="shared" si="110"/>
        <v>454.18067831974406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41.752499488246087</v>
      </c>
      <c r="T144" s="62">
        <f t="shared" si="142"/>
        <v>233.63061772484252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4.4843911563632544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4.9832770504156574E-18</v>
      </c>
      <c r="AC144" s="24">
        <f t="shared" si="111"/>
        <v>4.4843911563632544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72.658559999999824</v>
      </c>
      <c r="D145" s="12">
        <f t="shared" si="140"/>
        <v>20.33223260018395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717.82366217685728</v>
      </c>
      <c r="H145" s="70">
        <f t="shared" si="110"/>
        <v>455.29229711198673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41.752499488246087</v>
      </c>
      <c r="T145" s="62">
        <f t="shared" si="142"/>
        <v>233.63061772484252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4.3964549809954967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3.5237089948802082E-18</v>
      </c>
      <c r="AC145" s="24">
        <f t="shared" si="111"/>
        <v>4.3964549809954967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73.170239999999822</v>
      </c>
      <c r="D146" s="12">
        <f t="shared" si="140"/>
        <v>20.458698914277004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722.74970389968087</v>
      </c>
      <c r="H146" s="70">
        <f t="shared" si="110"/>
        <v>456.40373527569875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41.752499488246087</v>
      </c>
      <c r="T146" s="62">
        <f t="shared" si="142"/>
        <v>233.63061772484252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4.3102431803909305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2.4916385252078287E-18</v>
      </c>
      <c r="AC146" s="24">
        <f t="shared" si="111"/>
        <v>4.3102431803909305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73.68191999999982</v>
      </c>
      <c r="D147" s="12">
        <f t="shared" si="140"/>
        <v>20.585062327557253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727.67495130044063</v>
      </c>
      <c r="H147" s="70">
        <f t="shared" si="110"/>
        <v>457.51499422049517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41.752499488246087</v>
      </c>
      <c r="T147" s="62">
        <f t="shared" si="142"/>
        <v>233.63061772484252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4.2257219406122131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1.7618544974401041E-18</v>
      </c>
      <c r="AC147" s="24">
        <f t="shared" si="111"/>
        <v>4.2257219406122131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74.193599999999819</v>
      </c>
      <c r="D148" s="12">
        <f t="shared" si="140"/>
        <v>20.711323637482316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732.59941053494993</v>
      </c>
      <c r="H148" s="70">
        <f t="shared" si="110"/>
        <v>458.62607533528137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41.752499488246087</v>
      </c>
      <c r="T148" s="62">
        <f t="shared" si="142"/>
        <v>233.63061772484252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4.142858110792691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1.2458192626039144E-18</v>
      </c>
      <c r="AC148" s="24">
        <f t="shared" si="111"/>
        <v>4.142858110792691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74.705279999999817</v>
      </c>
      <c r="D149" s="12">
        <f t="shared" si="140"/>
        <v>20.837483629874683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737.52308766920669</v>
      </c>
      <c r="H149" s="70">
        <f t="shared" si="110"/>
        <v>459.73697998869807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41.752499488246087</v>
      </c>
      <c r="T149" s="62">
        <f t="shared" si="142"/>
        <v>233.63061772484252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4.0616191901339835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8.8092724872005205E-19</v>
      </c>
      <c r="AC149" s="24">
        <f t="shared" si="111"/>
        <v>4.0616191901339835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75.216959999999816</v>
      </c>
      <c r="D150" s="12">
        <f t="shared" si="140"/>
        <v>20.963543079169888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742.44598868131015</v>
      </c>
      <c r="H150" s="70">
        <f t="shared" si="110"/>
        <v>460.84770952955387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41.752499488246087</v>
      </c>
      <c r="T150" s="62">
        <f t="shared" si="142"/>
        <v>233.63061772484252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3.9819733151585446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6.2290963130195718E-19</v>
      </c>
      <c r="AC150" s="24">
        <f t="shared" si="111"/>
        <v>3.9819733151585446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75.728639999999814</v>
      </c>
      <c r="D151" s="12">
        <f t="shared" si="140"/>
        <v>21.089502748657871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747.36811946332261</v>
      </c>
      <c r="H151" s="70">
        <f t="shared" si="110"/>
        <v>461.95826528724547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41.752499488246087</v>
      </c>
      <c r="T151" s="62">
        <f t="shared" si="142"/>
        <v>233.63061772484252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3.9038892472121871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4.4046362436002602E-19</v>
      </c>
      <c r="AC151" s="24">
        <f t="shared" si="111"/>
        <v>3.9038892472121871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76.240319999999812</v>
      </c>
      <c r="D152" s="12">
        <f t="shared" si="140"/>
        <v>21.215363390717592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752.28948582308192</v>
      </c>
      <c r="H152" s="70">
        <f t="shared" si="110"/>
        <v>463.06864857216613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41.752499488246087</v>
      </c>
      <c r="T152" s="62">
        <f t="shared" si="142"/>
        <v>233.63061772484252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3.827336360211679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3.1145481565097859E-19</v>
      </c>
      <c r="AC152" s="24">
        <f t="shared" si="111"/>
        <v>3.827336360211679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76.751999999999811</v>
      </c>
      <c r="D153" s="12">
        <f t="shared" si="140"/>
        <v>21.341125747045069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757.21009348596044</v>
      </c>
      <c r="H153" s="70">
        <f t="shared" si="110"/>
        <v>464.17886067610311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41.752499488246087</v>
      </c>
      <c r="T153" s="62">
        <f t="shared" si="142"/>
        <v>233.63061772484252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3.7522846286326006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2.2023181218001301E-19</v>
      </c>
      <c r="AC153" s="24">
        <f t="shared" si="111"/>
        <v>3.7522846286326006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77.263679999999809</v>
      </c>
      <c r="D154" s="12">
        <f t="shared" si="140"/>
        <v>21.466790548875405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762.12994809658073</v>
      </c>
      <c r="H154" s="70">
        <f t="shared" si="110"/>
        <v>465.28890287262431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41.752499488246087</v>
      </c>
      <c r="T154" s="62">
        <f t="shared" si="142"/>
        <v>233.63061772484252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3.6787046157327516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1.557274078254893E-19</v>
      </c>
      <c r="AC154" s="24">
        <f t="shared" ref="AC154:AC203" si="163">SUM(Z154:AB154)</f>
        <v>3.6787046157327516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77.775359999999807</v>
      </c>
      <c r="D155" s="12">
        <f t="shared" si="140"/>
        <v>21.592358517198448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767.04905522047773</v>
      </c>
      <c r="H155" s="70">
        <f t="shared" si="110"/>
        <v>466.39877641745363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41.752499488246087</v>
      </c>
      <c r="T155" s="62">
        <f t="shared" si="142"/>
        <v>233.63061772484252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3.6065674620064923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1.1011590609000651E-19</v>
      </c>
      <c r="AC155" s="24">
        <f t="shared" si="163"/>
        <v>3.6065674620064923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78.287039999999806</v>
      </c>
      <c r="D156" s="12">
        <f t="shared" si="140"/>
        <v>21.717830362968854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771.96742034572299</v>
      </c>
      <c r="H156" s="70">
        <f t="shared" si="110"/>
        <v>467.50848254883704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41.752499488246087</v>
      </c>
      <c r="T156" s="62">
        <f t="shared" si="142"/>
        <v>233.63061772484252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3.5358448738654857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7.7863703912744648E-20</v>
      </c>
      <c r="AC156" s="24">
        <f t="shared" si="163"/>
        <v>3.5358448738654857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78.798719999999804</v>
      </c>
      <c r="D157" s="12">
        <f t="shared" si="140"/>
        <v>21.843206787310443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776.88504888450007</v>
      </c>
      <c r="H157" s="70">
        <f t="shared" si="110"/>
        <v>468.61802248789866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41.752499488246087</v>
      </c>
      <c r="T157" s="62">
        <f t="shared" si="142"/>
        <v>233.63061772484252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3.4665091125414049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5.5057953045003253E-20</v>
      </c>
      <c r="AC157" s="24">
        <f t="shared" si="163"/>
        <v>3.4665091125414049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79.310399999999802</v>
      </c>
      <c r="D158" s="12">
        <f t="shared" si="140"/>
        <v>21.968488481714964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781.80194617464042</v>
      </c>
      <c r="H158" s="70">
        <f t="shared" si="110"/>
        <v>469.72739743898654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41.752499488246087</v>
      </c>
      <c r="T158" s="62">
        <f t="shared" si="142"/>
        <v>233.63061772484252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3.3985329832062505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3.8931851956372324E-20</v>
      </c>
      <c r="AC158" s="24">
        <f t="shared" si="163"/>
        <v>3.3985329832062505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79.822079999999801</v>
      </c>
      <c r="D159" s="12">
        <f t="shared" si="140"/>
        <v>22.09367612823581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786.71811748111713</v>
      </c>
      <c r="H159" s="70">
        <f t="shared" si="110"/>
        <v>470.83660859001031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41.752499488246087</v>
      </c>
      <c r="T159" s="62">
        <f t="shared" si="142"/>
        <v>233.63061772484252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3.331889824306014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2.7528976522501626E-20</v>
      </c>
      <c r="AC159" s="24">
        <f t="shared" si="163"/>
        <v>3.331889824306014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80.333759999999799</v>
      </c>
      <c r="D160" s="12">
        <f t="shared" si="140"/>
        <v>22.218770399676412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791.63356799750056</v>
      </c>
      <c r="H160" s="70">
        <f t="shared" si="110"/>
        <v>471.94565711276937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41.752499488246087</v>
      </c>
      <c r="T160" s="62">
        <f t="shared" si="142"/>
        <v>233.63061772484252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3.2665534971034975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1.9465925978186162E-20</v>
      </c>
      <c r="AC160" s="24">
        <f t="shared" si="163"/>
        <v>3.2665534971034975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80.845439999999797</v>
      </c>
      <c r="D161" s="12">
        <f t="shared" si="140"/>
        <v>22.343771959773868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796.54830284737579</v>
      </c>
      <c r="H161" s="70">
        <f t="shared" si="110"/>
        <v>473.05454416327245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41.752499488246087</v>
      </c>
      <c r="T161" s="62">
        <f t="shared" si="142"/>
        <v>233.63061772484252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3.202498375426198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1.3764488261250813E-20</v>
      </c>
      <c r="AC161" s="24">
        <f t="shared" si="163"/>
        <v>3.202498375426198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81.357119999999796</v>
      </c>
      <c r="D162" s="12">
        <f t="shared" si="140"/>
        <v>22.468681463377592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801.46232708572018</v>
      </c>
      <c r="H162" s="70">
        <f t="shared" si="110"/>
        <v>474.16327088204889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41.752499488246087</v>
      </c>
      <c r="T162" s="62">
        <f t="shared" si="142"/>
        <v>233.63061772484252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3.1396993356152239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9.7329629890930809E-21</v>
      </c>
      <c r="AC162" s="24">
        <f t="shared" si="163"/>
        <v>3.1396993356152239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81.868799999999794</v>
      </c>
      <c r="D163" s="12">
        <f t="shared" si="140"/>
        <v>22.593499556623552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806.37564570025052</v>
      </c>
      <c r="H163" s="70">
        <f t="shared" si="110"/>
        <v>475.27183839445229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41.752499488246087</v>
      </c>
      <c r="T163" s="62">
        <f t="shared" si="142"/>
        <v>233.63061772484252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3.078131746671311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6.8822441306254066E-21</v>
      </c>
      <c r="AC163" s="24">
        <f t="shared" si="163"/>
        <v>3.078131746671311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82.380479999999793</v>
      </c>
      <c r="D164" s="12">
        <f t="shared" si="140"/>
        <v>22.718226877103923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811.28826361273059</v>
      </c>
      <c r="H164" s="70">
        <f t="shared" si="110"/>
        <v>476.38024781095561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41.752499488246087</v>
      </c>
      <c r="T164" s="62">
        <f t="shared" si="142"/>
        <v>233.63061772484252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3.0177714605940666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4.8664814945465405E-21</v>
      </c>
      <c r="AC164" s="24">
        <f t="shared" si="163"/>
        <v>3.0177714605940666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82.892159999999791</v>
      </c>
      <c r="D165" s="12">
        <f t="shared" si="140"/>
        <v>22.842864054032304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816.20018568024773</v>
      </c>
      <c r="H165" s="70">
        <f t="shared" si="110"/>
        <v>477.4885002274392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41.752499488246087</v>
      </c>
      <c r="T165" s="62">
        <f t="shared" si="142"/>
        <v>233.63061772484252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2.9585948029106581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3.4411220653127033E-21</v>
      </c>
      <c r="AC165" s="24">
        <f t="shared" si="163"/>
        <v>2.9585948029106581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83.403839999999789</v>
      </c>
      <c r="D166" s="12">
        <f t="shared" si="140"/>
        <v>22.967411708405042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821.11141669645838</v>
      </c>
      <c r="H166" s="70">
        <f t="shared" si="110"/>
        <v>478.59659672547173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41.752499488246087</v>
      </c>
      <c r="T166" s="62">
        <f t="shared" si="142"/>
        <v>233.63061772484252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2.9005785633902241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2.4332407472732702E-21</v>
      </c>
      <c r="AC166" s="24">
        <f t="shared" si="163"/>
        <v>2.9005785633902241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83.915519999999788</v>
      </c>
      <c r="D167" s="12">
        <f t="shared" si="140"/>
        <v>23.09187045315802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826.02196139279715</v>
      </c>
      <c r="H167" s="70">
        <f t="shared" si="110"/>
        <v>479.70453837258316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41.752499488246087</v>
      </c>
      <c r="T167" s="62">
        <f t="shared" si="142"/>
        <v>233.63061772484252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2.8436999869403738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1.7205610326563517E-21</v>
      </c>
      <c r="AC167" s="24">
        <f t="shared" si="163"/>
        <v>2.8436999869403738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84.427199999999786</v>
      </c>
      <c r="D168" s="12">
        <f t="shared" si="140"/>
        <v>23.216240893320059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830.93182443966214</v>
      </c>
      <c r="H168" s="70">
        <f t="shared" si="110"/>
        <v>480.81232622253208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41.752499488246087</v>
      </c>
      <c r="T168" s="62">
        <f t="shared" si="142"/>
        <v>233.63061772484252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2.7879367646821991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1.2166203736366351E-21</v>
      </c>
      <c r="AC168" s="24">
        <f t="shared" si="163"/>
        <v>2.7879367646821991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84.938879999999784</v>
      </c>
      <c r="D169" s="12">
        <f t="shared" si="140"/>
        <v>23.340523626161978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835.8410104475646</v>
      </c>
      <c r="H169" s="70">
        <f t="shared" si="110"/>
        <v>481.91996131556505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41.752499488246087</v>
      </c>
      <c r="T169" s="62">
        <f t="shared" si="142"/>
        <v>233.63061772484252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2.7332670252002997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8.6028051632817583E-22</v>
      </c>
      <c r="AC169" s="24">
        <f t="shared" si="163"/>
        <v>2.7332670252002997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85.450559999999783</v>
      </c>
      <c r="D170" s="12">
        <f t="shared" si="140"/>
        <v>23.464719241342319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840.74952396825495</v>
      </c>
      <c r="H170" s="70">
        <f t="shared" si="110"/>
        <v>483.0274446786708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41.752499488246087</v>
      </c>
      <c r="T170" s="62">
        <f t="shared" si="142"/>
        <v>233.63061772484252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2.679669325964392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6.0831018681831756E-22</v>
      </c>
      <c r="AC170" s="24">
        <f t="shared" si="163"/>
        <v>2.679669325964392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85.962239999999781</v>
      </c>
      <c r="D171" s="12">
        <f t="shared" si="140"/>
        <v>23.588828321049338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845.65736949581776</v>
      </c>
      <c r="H171" s="70">
        <f t="shared" si="110"/>
        <v>484.1347773258272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41.752499488246087</v>
      </c>
      <c r="T171" s="62">
        <f t="shared" si="142"/>
        <v>233.63061772484252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2.6271226449191318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4.3014025816408791E-22</v>
      </c>
      <c r="AC171" s="24">
        <f t="shared" si="163"/>
        <v>2.6271226449191318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86.473919999999779</v>
      </c>
      <c r="D172" s="12">
        <f t="shared" si="140"/>
        <v>23.71285144013947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850.56455146774169</v>
      </c>
      <c r="H172" s="70">
        <f t="shared" si="110"/>
        <v>485.2419602582425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41.752499488246087</v>
      </c>
      <c r="T172" s="62">
        <f t="shared" si="142"/>
        <v>233.63061772484252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2.5756063722388585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3.0415509340915878E-22</v>
      </c>
      <c r="AC172" s="24">
        <f t="shared" si="163"/>
        <v>2.5756063722388585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86.985599999999778</v>
      </c>
      <c r="D173" s="12">
        <f t="shared" si="140"/>
        <v>23.836789166272567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855.47107426596187</v>
      </c>
      <c r="H173" s="70">
        <f t="shared" si="110"/>
        <v>486.34899446459099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41.752499488246087</v>
      </c>
      <c r="T173" s="62">
        <f t="shared" si="142"/>
        <v>233.63061772484252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2.5251003022440215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2.1507012908204396E-22</v>
      </c>
      <c r="AC173" s="24">
        <f t="shared" si="163"/>
        <v>2.5251003022440215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87.497279999999776</v>
      </c>
      <c r="D174" s="12">
        <f t="shared" si="140"/>
        <v>23.960642060043764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860.3769422178799</v>
      </c>
      <c r="H174" s="70">
        <f t="shared" si="110"/>
        <v>487.45588092124251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41.752499488246087</v>
      </c>
      <c r="T174" s="62">
        <f t="shared" si="142"/>
        <v>233.63061772484252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2.4755846254761225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1.5207754670457939E-22</v>
      </c>
      <c r="AC174" s="24">
        <f t="shared" si="163"/>
        <v>2.4755846254761225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88.008959999999774</v>
      </c>
      <c r="D175" s="12">
        <f t="shared" si="140"/>
        <v>24.084410675112149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865.28215959735519</v>
      </c>
      <c r="H175" s="70">
        <f t="shared" si="110"/>
        <v>488.56262059248661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41.752499488246087</v>
      </c>
      <c r="T175" s="62">
        <f t="shared" si="142"/>
        <v>233.63061772484252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2.4270399209280615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1.0753506454102198E-22</v>
      </c>
      <c r="AC175" s="24">
        <f t="shared" si="163"/>
        <v>2.4270399209280615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88.520639999999773</v>
      </c>
      <c r="D176" s="12">
        <f t="shared" si="140"/>
        <v>24.208095558326399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870.18673062567586</v>
      </c>
      <c r="H176" s="70">
        <f t="shared" si="110"/>
        <v>489.66921443075137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41.752499488246087</v>
      </c>
      <c r="T176" s="62">
        <f t="shared" si="142"/>
        <v>233.63061772484252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2.3794471484268418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7.6038773352289695E-23</v>
      </c>
      <c r="AC176" s="24">
        <f t="shared" si="163"/>
        <v>2.3794471484268418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89.032319999999771</v>
      </c>
      <c r="D177" s="12">
        <f t="shared" si="140"/>
        <v>24.331697249847494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875.09065947250531</v>
      </c>
      <c r="H177" s="70">
        <f t="shared" si="110"/>
        <v>490.77566337681731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41.752499488246087</v>
      </c>
      <c r="T177" s="62">
        <f t="shared" si="142"/>
        <v>233.63061772484252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2.3327876411656461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5.3767532270510989E-23</v>
      </c>
      <c r="AC177" s="24">
        <f t="shared" si="163"/>
        <v>2.3327876411656461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89.54399999999977</v>
      </c>
      <c r="D178" s="12">
        <f t="shared" si="140"/>
        <v>24.455216283268346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879.99395025680644</v>
      </c>
      <c r="H178" s="70">
        <f t="shared" si="110"/>
        <v>491.88196836002527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41.752499488246087</v>
      </c>
      <c r="T178" s="62">
        <f t="shared" si="142"/>
        <v>233.63061772484252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2.2870430983823531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3.8019386676144847E-23</v>
      </c>
      <c r="AC178" s="24">
        <f t="shared" si="163"/>
        <v>2.2870430983823531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90.055679999999768</v>
      </c>
      <c r="D179" s="12">
        <f t="shared" si="140"/>
        <v>24.578653185730865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884.89660704774531</v>
      </c>
      <c r="H179" s="70">
        <f t="shared" si="110"/>
        <v>492.98813029848083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41.752499488246087</v>
      </c>
      <c r="T179" s="62">
        <f t="shared" si="142"/>
        <v>233.63061772484252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2.2421955781816245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2.6883766135255495E-23</v>
      </c>
      <c r="AC179" s="24">
        <f t="shared" si="163"/>
        <v>2.2421955781816245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90.567359999999766</v>
      </c>
      <c r="D180" s="12">
        <f t="shared" si="140"/>
        <v>24.702008478040018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889.7986338655702</v>
      </c>
      <c r="H180" s="70">
        <f t="shared" si="110"/>
        <v>494.0941500992526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41.752499488246087</v>
      </c>
      <c r="T180" s="62">
        <f t="shared" si="142"/>
        <v>233.63061772484252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2.1982274904977457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1.9009693338072424E-23</v>
      </c>
      <c r="AC180" s="24">
        <f t="shared" si="163"/>
        <v>2.1982274904977457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91.079039999999765</v>
      </c>
      <c r="D181" s="12">
        <f t="shared" si="140"/>
        <v>24.82528267477543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894.70003468247523</v>
      </c>
      <c r="H181" s="70">
        <f t="shared" si="110"/>
        <v>495.20002865856679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41.752499488246087</v>
      </c>
      <c r="T181" s="62">
        <f t="shared" si="142"/>
        <v>233.63061772484252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2.1551215901954626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1.3441883067627747E-23</v>
      </c>
      <c r="AC181" s="24">
        <f t="shared" si="163"/>
        <v>2.1551215901954626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91.590719999999763</v>
      </c>
      <c r="D182" s="12">
        <f t="shared" si="140"/>
        <v>24.94847628440035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899.60081342343949</v>
      </c>
      <c r="H182" s="70">
        <f t="shared" si="110"/>
        <v>496.30576686199686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41.752499488246087</v>
      </c>
      <c r="T182" s="62">
        <f t="shared" si="142"/>
        <v>233.63061772484252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2.1128609703061039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9.5048466690362119E-24</v>
      </c>
      <c r="AC182" s="24">
        <f t="shared" si="163"/>
        <v>2.1128609703061039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92.102399999999761</v>
      </c>
      <c r="D183" s="12">
        <f t="shared" si="140"/>
        <v>25.071589809368088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904.50097396705007</v>
      </c>
      <c r="H183" s="70">
        <f t="shared" si="110"/>
        <v>497.41136558464899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41.752499488246087</v>
      </c>
      <c r="T183" s="62">
        <f t="shared" si="142"/>
        <v>233.63061772484252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2.0714290553963428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6.7209415338138737E-24</v>
      </c>
      <c r="AC183" s="24">
        <f t="shared" si="163"/>
        <v>2.0714290553963428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92.61407999999976</v>
      </c>
      <c r="D184" s="12">
        <f t="shared" si="140"/>
        <v>25.194623746226039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909.40052014630453</v>
      </c>
      <c r="H184" s="70">
        <f t="shared" si="110"/>
        <v>498.51682569134323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41.752499488246087</v>
      </c>
      <c r="T184" s="62">
        <f t="shared" si="142"/>
        <v>233.63061772484252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2.0308095950669891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4.7524233345181059E-24</v>
      </c>
      <c r="AC184" s="24">
        <f t="shared" si="163"/>
        <v>2.0308095950669891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93.125759999999758</v>
      </c>
      <c r="D185" s="12">
        <f t="shared" si="140"/>
        <v>25.31757858571736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914.29945574939529</v>
      </c>
      <c r="H185" s="70">
        <f t="shared" si="110"/>
        <v>499.62214803679058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41.752499488246087</v>
      </c>
      <c r="T185" s="62">
        <f t="shared" si="142"/>
        <v>233.63061772484252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1.9909866575792698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3.3604707669069368E-24</v>
      </c>
      <c r="AC185" s="24">
        <f t="shared" si="163"/>
        <v>1.9909866575792698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93.637439999999756</v>
      </c>
      <c r="D186" s="12">
        <f t="shared" si="140"/>
        <v>25.440454812880237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919.19778452047728</v>
      </c>
      <c r="H186" s="70">
        <f t="shared" si="110"/>
        <v>500.72733346576592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41.752499488246087</v>
      </c>
      <c r="T186" s="62">
        <f t="shared" si="142"/>
        <v>233.63061772484252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1.9519446236060913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2.376211667259053E-24</v>
      </c>
      <c r="AC186" s="24">
        <f t="shared" si="163"/>
        <v>1.9519446236060913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94.149119999999755</v>
      </c>
      <c r="D187" s="12">
        <f t="shared" si="140"/>
        <v>25.563252907145174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924.09551016041712</v>
      </c>
      <c r="H187" s="70">
        <f t="shared" si="110"/>
        <v>501.83238281327738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41.752499488246087</v>
      </c>
      <c r="T187" s="62">
        <f t="shared" si="142"/>
        <v>233.63061772484252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1.9136681801058375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1.6802353834534684E-24</v>
      </c>
      <c r="AC187" s="24">
        <f t="shared" si="163"/>
        <v>1.9136681801058375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94.660799999999753</v>
      </c>
      <c r="D188" s="12">
        <f t="shared" si="140"/>
        <v>25.685973342429772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928.99263632752627</v>
      </c>
      <c r="H188" s="70">
        <f t="shared" si="110"/>
        <v>502.9372969047314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41.752499488246087</v>
      </c>
      <c r="T188" s="62">
        <f t="shared" si="142"/>
        <v>233.63061772484252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1.8761423143162983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1.1881058336295265E-24</v>
      </c>
      <c r="AC188" s="24">
        <f t="shared" si="163"/>
        <v>1.8761423143162983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95.172479999999751</v>
      </c>
      <c r="D189" s="12">
        <f t="shared" si="140"/>
        <v>25.808616587231686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933.88916663827786</v>
      </c>
      <c r="H189" s="70">
        <f t="shared" si="110"/>
        <v>504.04207655609468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41.752499488246087</v>
      </c>
      <c r="T189" s="62">
        <f t="shared" si="142"/>
        <v>233.63061772484252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1.8393523078663738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8.4011769172673421E-25</v>
      </c>
      <c r="AC189" s="24">
        <f t="shared" si="163"/>
        <v>1.8393523078663738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95.68415999999975</v>
      </c>
      <c r="D190" s="12">
        <f t="shared" si="140"/>
        <v>25.931183104719359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938.78510466800708</v>
      </c>
      <c r="H190" s="70">
        <f t="shared" si="110"/>
        <v>505.14672257405243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41.752499488246087</v>
      </c>
      <c r="T190" s="62">
        <f t="shared" si="142"/>
        <v>233.63061772484252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1.8032837310032441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5.9405291681476324E-25</v>
      </c>
      <c r="AC190" s="24">
        <f t="shared" si="163"/>
        <v>1.8032837310032441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96.195839999999748</v>
      </c>
      <c r="D191" s="12">
        <f t="shared" si="140"/>
        <v>26.053673352820741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943.68045395159686</v>
      </c>
      <c r="H191" s="70">
        <f t="shared" si="110"/>
        <v>506.25123575616232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41.752499488246087</v>
      </c>
      <c r="T191" s="62">
        <f t="shared" si="142"/>
        <v>233.63061772484252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1.7679224369327409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4.200588458633671E-25</v>
      </c>
      <c r="AC191" s="24">
        <f t="shared" si="163"/>
        <v>1.7679224369327409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96.707519999999747</v>
      </c>
      <c r="D192" s="12">
        <f t="shared" si="140"/>
        <v>26.176087784310297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948.5752179841478</v>
      </c>
      <c r="H192" s="70">
        <f t="shared" si="110"/>
        <v>507.35561689100666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41.752499488246087</v>
      </c>
      <c r="T192" s="62">
        <f t="shared" si="142"/>
        <v>233.63061772484252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1.7332545562707005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2.9702645840738162E-25</v>
      </c>
      <c r="AC192" s="24">
        <f t="shared" si="163"/>
        <v>1.7332545562707005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97.219199999999745</v>
      </c>
      <c r="D193" s="12">
        <f t="shared" si="140"/>
        <v>26.298426846893861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953.46940022163483</v>
      </c>
      <c r="H193" s="70">
        <f t="shared" si="110"/>
        <v>508.45986675833967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41.752499488246087</v>
      </c>
      <c r="T193" s="62">
        <f t="shared" si="142"/>
        <v>233.63061772484252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1.6992664916031235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2.1002942293168355E-25</v>
      </c>
      <c r="AC193" s="24">
        <f t="shared" si="163"/>
        <v>1.6992664916031235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97.730879999999743</v>
      </c>
      <c r="D194" s="12">
        <f t="shared" si="140"/>
        <v>26.420690983291692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958.36300408154796</v>
      </c>
      <c r="H194" s="70">
        <f t="shared" si="110"/>
        <v>509.56398612923255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41.752499488246087</v>
      </c>
      <c r="T194" s="62">
        <f t="shared" si="142"/>
        <v>233.63061772484252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1.6659449121530052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1.4851322920369081E-25</v>
      </c>
      <c r="AC194" s="24">
        <f t="shared" si="163"/>
        <v>1.6659449121530052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98.242559999999742</v>
      </c>
      <c r="D195" s="12">
        <f t="shared" si="140"/>
        <v>26.542880631319921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963.25603294352015</v>
      </c>
      <c r="H195" s="70">
        <f t="shared" si="110"/>
        <v>510.66797576621502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41.752499488246087</v>
      </c>
      <c r="T195" s="62">
        <f t="shared" si="142"/>
        <v>233.63061772484252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1.633276748551747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1.0501471146584178E-25</v>
      </c>
      <c r="AC195" s="24">
        <f t="shared" si="163"/>
        <v>1.633276748551747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98.75423999999974</v>
      </c>
      <c r="D196" s="12">
        <f t="shared" si="140"/>
        <v>26.664996223970032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968.14849014994218</v>
      </c>
      <c r="H196" s="70">
        <f t="shared" ref="H196:H203" si="192">(B196+E196+F196)*44/12+(C196+D196)*0.475*44/12</f>
        <v>511.77183642341402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41.752499488246087</v>
      </c>
      <c r="T196" s="62">
        <f t="shared" si="142"/>
        <v>233.63061772484252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1.6012491877130972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7.4256614601845405E-26</v>
      </c>
      <c r="AC196" s="24">
        <f t="shared" si="163"/>
        <v>1.6012491877130972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99.265919999999738</v>
      </c>
      <c r="D197" s="12">
        <f t="shared" ref="D197:D203" si="202">IFERROR(EXP(-1.0587+0.8836*LN(C197)+0.284),0)</f>
        <v>26.787038189486797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973.0403790065626</v>
      </c>
      <c r="H197" s="70">
        <f t="shared" si="192"/>
        <v>512.87556884668902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41.752499488246087</v>
      </c>
      <c r="T197" s="62">
        <f t="shared" ref="T197:T203" si="204">$T$3</f>
        <v>233.63061772484252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1.5698496678076101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5.2507355732920888E-26</v>
      </c>
      <c r="AC197" s="24">
        <f t="shared" si="163"/>
        <v>1.5698496678076101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99.777599999999737</v>
      </c>
      <c r="D198" s="12">
        <f t="shared" si="202"/>
        <v>26.909006951444486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977.93170278307832</v>
      </c>
      <c r="H198" s="70">
        <f t="shared" si="192"/>
        <v>513.9791737737653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41.752499488246087</v>
      </c>
      <c r="T198" s="62">
        <f t="shared" si="204"/>
        <v>233.63061772484252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1.5390658733356537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3.7128307300922703E-26</v>
      </c>
      <c r="AC198" s="24">
        <f t="shared" si="163"/>
        <v>1.5390658733356537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100.28927999999974</v>
      </c>
      <c r="D199" s="12">
        <f t="shared" si="202"/>
        <v>27.030902928821437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982.82246471370729</v>
      </c>
      <c r="H199" s="70">
        <f t="shared" si="192"/>
        <v>515.08265193436353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41.752499488246087</v>
      </c>
      <c r="T199" s="62">
        <f t="shared" si="204"/>
        <v>233.63061772484252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1.5088857302970315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2.6253677866460444E-26</v>
      </c>
      <c r="AC199" s="24">
        <f t="shared" si="163"/>
        <v>1.5088857302970315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100.80095999999973</v>
      </c>
      <c r="D200" s="12">
        <f t="shared" si="202"/>
        <v>27.152726536073256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987.71266799775651</v>
      </c>
      <c r="H200" s="70">
        <f t="shared" si="192"/>
        <v>516.18600405032703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41.752499488246087</v>
      </c>
      <c r="T200" s="62">
        <f t="shared" si="204"/>
        <v>233.63061772484252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1.4792974014553273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1.8564153650461351E-26</v>
      </c>
      <c r="AC200" s="24">
        <f t="shared" si="163"/>
        <v>1.4792974014553273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101.31263999999973</v>
      </c>
      <c r="D201" s="12">
        <f t="shared" si="202"/>
        <v>27.274478183204195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992.60231580017069</v>
      </c>
      <c r="H201" s="70">
        <f t="shared" si="192"/>
        <v>517.28923083574682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41.752499488246087</v>
      </c>
      <c r="T201" s="62">
        <f t="shared" si="204"/>
        <v>233.63061772484252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1.4502892816951103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1.3126838933230222E-26</v>
      </c>
      <c r="AC201" s="24">
        <f t="shared" si="163"/>
        <v>1.4502892816951103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101.82431999999973</v>
      </c>
      <c r="D202" s="12">
        <f t="shared" si="202"/>
        <v>27.396158275837223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997.49141125207495</v>
      </c>
      <c r="H202" s="70">
        <f t="shared" si="192"/>
        <v>518.39233299708269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41.752499488246087</v>
      </c>
      <c r="T202" s="62">
        <f t="shared" si="204"/>
        <v>233.63061772484252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1.4218499934701851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9.2820768252306756E-27</v>
      </c>
      <c r="AC202" s="24">
        <f t="shared" si="163"/>
        <v>1.4218499934701851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102.33599999999973</v>
      </c>
      <c r="D203" s="12">
        <f t="shared" si="202"/>
        <v>27.517767215282685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1002.3799574513027</v>
      </c>
      <c r="H203" s="70">
        <f t="shared" si="192"/>
        <v>519.49531123328347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41.752499488246087</v>
      </c>
      <c r="T203" s="62">
        <f t="shared" si="204"/>
        <v>233.63061772484252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1.3939683823410978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6.563419466615111E-27</v>
      </c>
      <c r="AC203" s="24">
        <f t="shared" si="163"/>
        <v>1.3939683823410978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1.4159242887677255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F1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I-214</v>
      </c>
      <c r="B6" s="155">
        <f>'Données projet'!D9</f>
        <v>8.57</v>
      </c>
      <c r="C6" s="156">
        <f ca="1">IF(OR('Données projet'!B9="",'Données projet'!C9="",'Données projet'!C9=0%),0,Calculateur!S3)</f>
        <v>41.752499488246087</v>
      </c>
      <c r="D6" s="156">
        <f>IF(OR('Données projet'!B9="",'Données projet'!C9="",'Données projet'!C9=0%),0,Calculateur!T3)</f>
        <v>233.63061772484252</v>
      </c>
      <c r="E6" s="156">
        <f ca="1">MIN(C6,D6)</f>
        <v>41.752499488246087</v>
      </c>
      <c r="F6" s="156">
        <f ca="1">E6*B6</f>
        <v>357.81892061426896</v>
      </c>
      <c r="G6" s="156">
        <f ca="1">F6*(100%-'Données projet'!$C$24)*(100%-'Données projet'!$C$25)*(100%-'Données projet'!$C$26)*(100%-'Données projet'!$C$27)</f>
        <v>244.74814170015995</v>
      </c>
      <c r="H6" s="157">
        <f>IF(OR('Données projet'!B9="",'Données projet'!C9="",'Données projet'!C9=0%),0,AVERAGE(Calculateur!$AC$3:$AC$33)*B6)</f>
        <v>223.66055215794546</v>
      </c>
      <c r="I6" s="158">
        <f>H6*(100%-'Données projet'!$C$24)*(100%-'Données projet'!$C$25)*(100%-'Données projet'!$C$26)*(100%-'Données projet'!$C$27)</f>
        <v>152.9838176760347</v>
      </c>
      <c r="J6" s="159">
        <f>IF(OR('Données projet'!B9="",'Données projet'!C9="",'Données projet'!C9=0%),0,SUM(Calculateur!$V$3:$V$33)*VLOOKUP('Données projet'!$B$9,Paramètres!$A$1:$I$89,9,0)*B6)</f>
        <v>2303.8730999999998</v>
      </c>
      <c r="K6" s="160">
        <f>J6*(100%-'Données projet'!$C$24)*(100%-'Données projet'!$C$25)*(100%-'Données projet'!$C$26)*(100%-'Données projet'!$C$27)</f>
        <v>1575.8492004</v>
      </c>
      <c r="L6" s="161">
        <f ca="1">G6+I6+K6</f>
        <v>1973.5811597761947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357.81892061426896</v>
      </c>
      <c r="G16" s="175">
        <f t="shared" ca="1" si="3"/>
        <v>244.74814170015995</v>
      </c>
      <c r="H16" s="176">
        <f t="shared" si="3"/>
        <v>223.66055215794546</v>
      </c>
      <c r="I16" s="176">
        <f t="shared" si="3"/>
        <v>152.9838176760347</v>
      </c>
      <c r="J16" s="177">
        <f t="shared" si="3"/>
        <v>2303.8730999999998</v>
      </c>
      <c r="K16" s="177">
        <f t="shared" si="3"/>
        <v>1575.8492004</v>
      </c>
      <c r="L16" s="178">
        <f t="shared" ca="1" si="3"/>
        <v>1973.5811597761947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I-214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L19" sqref="L19:M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I-214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8.57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I-214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16</v>
      </c>
      <c r="B23" s="193">
        <f>'Données projet'!D36</f>
        <v>261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str">
        <f>IF(O49+1&lt;=MIN('Données projet'!$E$9:$E$18),O49+1,"STOP")</f>
        <v>STOP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2024-10-03T09:32:20Z</dcterms:modified>
</cp:coreProperties>
</file>