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BRASSAC (81) - GF ROUCAN MONTAGOL (La Capte)SWC-E7\Dossier déposé le 12 06 2024\"/>
    </mc:Choice>
  </mc:AlternateContent>
  <xr:revisionPtr revIDLastSave="0" documentId="13_ncr:1_{9A532E2A-1C91-4BFC-9A7D-E444A037222B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EC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FS57" i="2"/>
  <c r="HH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W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HI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A105" i="2"/>
  <c r="EB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HI113" i="2"/>
  <c r="EC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FS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H156" i="2" l="1"/>
  <c r="HG156" i="2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I160" i="2"/>
  <c r="HH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FS161" i="2"/>
  <c r="HH161" i="2"/>
  <c r="ED160" i="2"/>
  <c r="EA161" i="2"/>
  <c r="EB161" i="2"/>
  <c r="AB161" i="2"/>
  <c r="AW161" i="2"/>
  <c r="EC161" i="2"/>
  <c r="ED161" i="2" s="1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C162" i="2"/>
  <c r="EB162" i="2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X164" i="2" l="1"/>
  <c r="FR164" i="2"/>
  <c r="DI163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C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FR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HH168" i="2"/>
  <c r="DG168" i="2"/>
  <c r="EC168" i="2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B172" i="2"/>
  <c r="HG172" i="2"/>
  <c r="EW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HI175" i="2" l="1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B178" i="2"/>
  <c r="EA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HH179" i="2"/>
  <c r="EV179" i="2"/>
  <c r="DF179" i="2"/>
  <c r="EA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EV185" i="2"/>
  <c r="EB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B186" i="2"/>
  <c r="EW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H190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HG192" i="2"/>
  <c r="EA192" i="2"/>
  <c r="HI192" i="2"/>
  <c r="EC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HI193" i="2" l="1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HG194" i="2"/>
  <c r="EB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AA197" i="2"/>
  <c r="EC197" i="2"/>
  <c r="EA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EV199" i="2"/>
  <c r="EB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ED200" i="2"/>
  <c r="EB201" i="2"/>
  <c r="EA201" i="2"/>
  <c r="HH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I202" i="2" l="1"/>
  <c r="FS202" i="2"/>
  <c r="FZ6" i="2"/>
  <c r="EW202" i="2"/>
  <c r="FR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58" i="2" a="1"/>
  <c r="BC58" i="2" s="1"/>
  <c r="DN56" i="2" a="1"/>
  <c r="DN56" i="2" s="1"/>
  <c r="GT115" i="2" a="1"/>
  <c r="GT115" i="2" s="1"/>
  <c r="GT181" i="2" a="1"/>
  <c r="GT181" i="2" s="1"/>
  <c r="GT51" i="2" a="1"/>
  <c r="GT51" i="2" s="1"/>
  <c r="GT122" i="2" a="1"/>
  <c r="GT122" i="2" s="1"/>
  <c r="GT133" i="2" a="1"/>
  <c r="GT133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32" i="2" a="1"/>
  <c r="BC32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AX200" i="2"/>
  <c r="CS105" i="2" l="1" a="1"/>
  <c r="CS105" i="2" s="1"/>
  <c r="CS161" i="2" a="1"/>
  <c r="CS161" i="2" s="1"/>
  <c r="AH166" i="2" a="1"/>
  <c r="AH166" i="2" s="1"/>
  <c r="CS120" i="2" a="1"/>
  <c r="CS120" i="2" s="1"/>
  <c r="CS72" i="2" a="1"/>
  <c r="CS72" i="2" s="1"/>
  <c r="CS56" i="2" a="1"/>
  <c r="CS56" i="2" s="1"/>
  <c r="AH90" i="2" a="1"/>
  <c r="AH90" i="2" s="1"/>
  <c r="CS77" i="2" a="1"/>
  <c r="CS77" i="2" s="1"/>
  <c r="CS114" i="2" a="1"/>
  <c r="CS114" i="2" s="1"/>
  <c r="CS185" i="2" a="1"/>
  <c r="CS185" i="2" s="1"/>
  <c r="CS24" i="2" a="1"/>
  <c r="CS24" i="2" s="1"/>
  <c r="CS134" i="2" a="1"/>
  <c r="CS134" i="2" s="1"/>
  <c r="CS137" i="2" a="1"/>
  <c r="CS137" i="2" s="1"/>
  <c r="CS129" i="2" a="1"/>
  <c r="CS129" i="2" s="1"/>
  <c r="AH19" i="2" a="1"/>
  <c r="AH19" i="2" s="1"/>
  <c r="CS52" i="2" a="1"/>
  <c r="CS52" i="2" s="1"/>
  <c r="CS38" i="2" a="1"/>
  <c r="CS38" i="2" s="1"/>
  <c r="CS116" i="2" a="1"/>
  <c r="CS116" i="2" s="1"/>
  <c r="CS66" i="2" a="1"/>
  <c r="CS66" i="2" s="1"/>
  <c r="BX107" i="2" a="1"/>
  <c r="BX107" i="2" s="1"/>
  <c r="AH151" i="2" a="1"/>
  <c r="AH151" i="2" s="1"/>
  <c r="AH92" i="2" a="1"/>
  <c r="AH92" i="2" s="1"/>
  <c r="AH62" i="2" a="1"/>
  <c r="AH62" i="2" s="1"/>
  <c r="AH163" i="2" a="1"/>
  <c r="AH163" i="2" s="1"/>
  <c r="AH199" i="2" a="1"/>
  <c r="AH199" i="2" s="1"/>
  <c r="BC7" i="2" a="1"/>
  <c r="BC7" i="2" s="1"/>
  <c r="BC114" i="2" a="1"/>
  <c r="BC114" i="2" s="1"/>
  <c r="BC185" i="2" a="1"/>
  <c r="BC185" i="2" s="1"/>
  <c r="GT121" i="2" a="1"/>
  <c r="GT121" i="2" s="1"/>
  <c r="BC126" i="2" a="1"/>
  <c r="BC126" i="2" s="1"/>
  <c r="BC143" i="2" a="1"/>
  <c r="BC143" i="2" s="1"/>
  <c r="BC82" i="2" a="1"/>
  <c r="BC82" i="2" s="1"/>
  <c r="BC31" i="2" a="1"/>
  <c r="BC31" i="2" s="1"/>
  <c r="BC47" i="2" a="1"/>
  <c r="BC47" i="2" s="1"/>
  <c r="HG203" i="2"/>
  <c r="BC84" i="2" a="1"/>
  <c r="BC84" i="2" s="1"/>
  <c r="GT68" i="2" a="1"/>
  <c r="GT68" i="2" s="1"/>
  <c r="BC68" i="2" a="1"/>
  <c r="BC68" i="2" s="1"/>
  <c r="BC164" i="2" a="1"/>
  <c r="BC164" i="2" s="1"/>
  <c r="GT184" i="2" a="1"/>
  <c r="GT184" i="2" s="1"/>
  <c r="BC34" i="2" a="1"/>
  <c r="BC34" i="2" s="1"/>
  <c r="BC18" i="2" a="1"/>
  <c r="BC18" i="2" s="1"/>
  <c r="BC55" i="2" a="1"/>
  <c r="BC55" i="2" s="1"/>
  <c r="BC38" i="2" a="1"/>
  <c r="BC38" i="2" s="1"/>
  <c r="BC130" i="2" a="1"/>
  <c r="BC130" i="2" s="1"/>
  <c r="GT147" i="2" a="1"/>
  <c r="GT147" i="2" s="1"/>
  <c r="BC117" i="2" a="1"/>
  <c r="BC117" i="2" s="1"/>
  <c r="BC192" i="2" a="1"/>
  <c r="BC192" i="2" s="1"/>
  <c r="BC83" i="2" a="1"/>
  <c r="BC83" i="2" s="1"/>
  <c r="GT152" i="2" a="1"/>
  <c r="GT152" i="2" s="1"/>
  <c r="BC181" i="2" a="1"/>
  <c r="BC181" i="2" s="1"/>
  <c r="BC151" i="2" a="1"/>
  <c r="BC151" i="2" s="1"/>
  <c r="GT33" i="2" a="1"/>
  <c r="GT33" i="2" s="1"/>
  <c r="BC65" i="2" a="1"/>
  <c r="BC65" i="2" s="1"/>
  <c r="FS203" i="2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8" i="2"/>
  <c r="FZ9" i="2" s="1"/>
  <c r="FZ10" i="2" s="1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M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<sst xmlns="http://schemas.openxmlformats.org/spreadsheetml/2006/main" count="1171" uniqueCount="324">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</sst>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" fillId="20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2.1741481815660317</c:v>
                </c:pt>
                <c:pt idx="2">
                  <c:v>3.3279919278058419</c:v>
                </c:pt>
                <c:pt idx="3">
                  <c:v>5.0970686122234934</c:v>
                </c:pt>
                <c:pt idx="4">
                  <c:v>7.8108603439262572</c:v>
                </c:pt>
                <c:pt idx="5">
                  <c:v>11.976016001557646</c:v>
                </c:pt>
                <c:pt idx="6">
                  <c:v>18.371970801719861</c:v>
                </c:pt>
                <c:pt idx="7">
                  <c:v>28.198348261169219</c:v>
                </c:pt>
                <c:pt idx="8">
                  <c:v>43.302273190862593</c:v>
                </c:pt>
                <c:pt idx="9">
                  <c:v>66.529046266496863</c:v>
                </c:pt>
                <c:pt idx="10">
                  <c:v>102.26331921155065</c:v>
                </c:pt>
                <c:pt idx="11">
                  <c:v>99.383832042107713</c:v>
                </c:pt>
                <c:pt idx="12">
                  <c:v>127.61811425323567</c:v>
                </c:pt>
                <c:pt idx="13">
                  <c:v>155.70032484556364</c:v>
                </c:pt>
                <c:pt idx="14">
                  <c:v>183.66187873507451</c:v>
                </c:pt>
                <c:pt idx="15">
                  <c:v>211.5237693240953</c:v>
                </c:pt>
                <c:pt idx="16">
                  <c:v>177.273330248728</c:v>
                </c:pt>
                <c:pt idx="17">
                  <c:v>206.80772973999618</c:v>
                </c:pt>
                <c:pt idx="18">
                  <c:v>236.24455995422252</c:v>
                </c:pt>
                <c:pt idx="19">
                  <c:v>265.59769251928259</c:v>
                </c:pt>
                <c:pt idx="20">
                  <c:v>294.87767605242158</c:v>
                </c:pt>
                <c:pt idx="21">
                  <c:v>249.16956379358496</c:v>
                </c:pt>
                <c:pt idx="22">
                  <c:v>274.97481117699641</c:v>
                </c:pt>
                <c:pt idx="23">
                  <c:v>300.72565518272023</c:v>
                </c:pt>
                <c:pt idx="24">
                  <c:v>326.42740643086165</c:v>
                </c:pt>
                <c:pt idx="25">
                  <c:v>352.08447089489545</c:v>
                </c:pt>
                <c:pt idx="26">
                  <c:v>306.3373322127826</c:v>
                </c:pt>
                <c:pt idx="27">
                  <c:v>327.12771904371101</c:v>
                </c:pt>
                <c:pt idx="28">
                  <c:v>347.88893729723378</c:v>
                </c:pt>
                <c:pt idx="29">
                  <c:v>368.62297160187927</c:v>
                </c:pt>
                <c:pt idx="30">
                  <c:v>389.33156517747528</c:v>
                </c:pt>
                <c:pt idx="31">
                  <c:v>349.28757120195638</c:v>
                </c:pt>
                <c:pt idx="32">
                  <c:v>365.13029886543012</c:v>
                </c:pt>
                <c:pt idx="33">
                  <c:v>380.95801656536122</c:v>
                </c:pt>
                <c:pt idx="34">
                  <c:v>396.77143560147573</c:v>
                </c:pt>
                <c:pt idx="35">
                  <c:v>412.57120595911425</c:v>
                </c:pt>
                <c:pt idx="36">
                  <c:v>380.26004138661079</c:v>
                </c:pt>
                <c:pt idx="37">
                  <c:v>392.12187483767138</c:v>
                </c:pt>
                <c:pt idx="38">
                  <c:v>403.97592783450415</c:v>
                </c:pt>
                <c:pt idx="39">
                  <c:v>415.82246089092337</c:v>
                </c:pt>
                <c:pt idx="40">
                  <c:v>427.66171846396492</c:v>
                </c:pt>
                <c:pt idx="41">
                  <c:v>403.74356852619422</c:v>
                </c:pt>
                <c:pt idx="42">
                  <c:v>412.33895235831295</c:v>
                </c:pt>
                <c:pt idx="43">
                  <c:v>420.93047014195105</c:v>
                </c:pt>
                <c:pt idx="44">
                  <c:v>429.51821195249221</c:v>
                </c:pt>
                <c:pt idx="45">
                  <c:v>438.10226396786584</c:v>
                </c:pt>
                <c:pt idx="46">
                  <c:v>419.76967683146569</c:v>
                </c:pt>
                <c:pt idx="47">
                  <c:v>425.80505163704908</c:v>
                </c:pt>
                <c:pt idx="48">
                  <c:v>431.83858635941425</c:v>
                </c:pt>
                <c:pt idx="49">
                  <c:v>437.87031035511887</c:v>
                </c:pt>
                <c:pt idx="50">
                  <c:v>443.90025210533031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353.42725333031763</c:v>
                </c:pt>
                <c:pt idx="47">
                  <c:v>375.61724038320648</c:v>
                </c:pt>
                <c:pt idx="48">
                  <c:v>397.77868431648454</c:v>
                </c:pt>
                <c:pt idx="49">
                  <c:v>419.91339784568589</c:v>
                </c:pt>
                <c:pt idx="50">
                  <c:v>442.02298709837555</c:v>
                </c:pt>
                <c:pt idx="51">
                  <c:v>397.04677419414202</c:v>
                </c:pt>
                <c:pt idx="52">
                  <c:v>419.46841203373424</c:v>
                </c:pt>
                <c:pt idx="53">
                  <c:v>441.86423995233059</c:v>
                </c:pt>
                <c:pt idx="54">
                  <c:v>464.2357490458092</c:v>
                </c:pt>
                <c:pt idx="55">
                  <c:v>486.58427507999835</c:v>
                </c:pt>
                <c:pt idx="56">
                  <c:v>508.9110212072971</c:v>
                </c:pt>
                <c:pt idx="57">
                  <c:v>531.21707649038069</c:v>
                </c:pt>
                <c:pt idx="58">
                  <c:v>553.50343115388478</c:v>
                </c:pt>
                <c:pt idx="59">
                  <c:v>475.80905293653558</c:v>
                </c:pt>
                <c:pt idx="60">
                  <c:v>496.87938425766248</c:v>
                </c:pt>
                <c:pt idx="61">
                  <c:v>517.93079633437981</c:v>
                </c:pt>
                <c:pt idx="62">
                  <c:v>538.96416569474195</c:v>
                </c:pt>
                <c:pt idx="63">
                  <c:v>559.98029493096897</c:v>
                </c:pt>
                <c:pt idx="64">
                  <c:v>580.97992153281746</c:v>
                </c:pt>
                <c:pt idx="65">
                  <c:v>601.96372537813886</c:v>
                </c:pt>
                <c:pt idx="66">
                  <c:v>622.932335125348</c:v>
                </c:pt>
                <c:pt idx="67">
                  <c:v>557.13698805350487</c:v>
                </c:pt>
                <c:pt idx="68">
                  <c:v>573.40296810840198</c:v>
                </c:pt>
                <c:pt idx="69">
                  <c:v>589.65931608140193</c:v>
                </c:pt>
                <c:pt idx="70">
                  <c:v>605.90633475563175</c:v>
                </c:pt>
                <c:pt idx="71">
                  <c:v>622.14430936278279</c:v>
                </c:pt>
                <c:pt idx="72">
                  <c:v>638.37350904146251</c:v>
                </c:pt>
                <c:pt idx="73">
                  <c:v>654.59418813963009</c:v>
                </c:pt>
                <c:pt idx="74">
                  <c:v>670.80658738130876</c:v>
                </c:pt>
                <c:pt idx="75">
                  <c:v>635.38042145276233</c:v>
                </c:pt>
                <c:pt idx="76">
                  <c:v>646.56363932443753</c:v>
                </c:pt>
                <c:pt idx="77">
                  <c:v>657.74286732996552</c:v>
                </c:pt>
                <c:pt idx="78">
                  <c:v>668.91818281738085</c:v>
                </c:pt>
                <c:pt idx="79">
                  <c:v>680.08966034049365</c:v>
                </c:pt>
                <c:pt idx="80">
                  <c:v>691.25737180503893</c:v>
                </c:pt>
                <c:pt idx="81">
                  <c:v>702.42138660489547</c:v>
                </c:pt>
                <c:pt idx="82">
                  <c:v>713.58177174919865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4" t="s">
        <v>291</v>
      </c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</row>
    <row r="13" spans="2:13" ht="15" customHeight="1" x14ac:dyDescent="0.25"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</row>
    <row r="14" spans="2:13" ht="15" customHeight="1" x14ac:dyDescent="0.25"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</row>
    <row r="15" spans="2:13" ht="18.75" customHeight="1" x14ac:dyDescent="0.25"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</row>
    <row r="16" spans="2:13" ht="18.75" customHeight="1" x14ac:dyDescent="0.25"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</row>
    <row r="18" spans="2:13" ht="12" customHeight="1" x14ac:dyDescent="0.25">
      <c r="B18" s="294" t="s">
        <v>292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</row>
    <row r="19" spans="2:13" ht="12" customHeight="1" x14ac:dyDescent="0.25"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</row>
    <row r="20" spans="2:13" ht="12" customHeight="1" x14ac:dyDescent="0.25"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</row>
    <row r="21" spans="2:13" ht="12" customHeight="1" x14ac:dyDescent="0.25"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</row>
    <row r="22" spans="2:13" ht="12" customHeight="1" x14ac:dyDescent="0.25"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</row>
    <row r="23" spans="2:13" ht="12" customHeight="1" x14ac:dyDescent="0.25"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</row>
    <row r="24" spans="2:13" ht="12" customHeight="1" x14ac:dyDescent="0.25"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</row>
    <row r="25" spans="2:13" ht="12" customHeight="1" x14ac:dyDescent="0.25"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</row>
    <row r="26" spans="2:13" ht="12" customHeight="1" x14ac:dyDescent="0.25"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</row>
    <row r="27" spans="2:13" ht="12" customHeight="1" x14ac:dyDescent="0.25"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</row>
    <row r="28" spans="2:13" ht="12" customHeight="1" x14ac:dyDescent="0.25"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</row>
    <row r="29" spans="2:13" ht="12" customHeight="1" x14ac:dyDescent="0.25">
      <c r="B29" s="294"/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294"/>
    </row>
    <row r="30" spans="2:13" ht="12" customHeight="1" x14ac:dyDescent="0.25"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</row>
    <row r="31" spans="2:13" ht="12" customHeight="1" x14ac:dyDescent="0.25">
      <c r="B31" s="294"/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F31" sqref="F3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9" t="s">
        <v>190</v>
      </c>
      <c r="D1" s="299"/>
      <c r="E1" s="299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00" t="s">
        <v>192</v>
      </c>
      <c r="C3" s="301"/>
      <c r="D3" s="301"/>
      <c r="E3" s="301"/>
      <c r="F3" s="302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6" t="s">
        <v>231</v>
      </c>
      <c r="B5" s="306"/>
      <c r="C5" s="26">
        <v>3.15</v>
      </c>
      <c r="D5" s="307" t="s">
        <v>229</v>
      </c>
      <c r="E5" s="308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4" t="s">
        <v>226</v>
      </c>
      <c r="B7" s="304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81</v>
      </c>
      <c r="C9" s="35">
        <v>9.5000000000000001E-2</v>
      </c>
      <c r="D9" s="36">
        <f t="shared" ref="D9:D18" si="0">C9*$C$5</f>
        <v>0.29925000000000002</v>
      </c>
      <c r="E9" s="37">
        <v>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35</v>
      </c>
      <c r="C10" s="35">
        <v>0.22500000000000001</v>
      </c>
      <c r="D10" s="36">
        <f t="shared" si="0"/>
        <v>0.70874999999999999</v>
      </c>
      <c r="E10" s="37">
        <v>82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164</v>
      </c>
      <c r="C11" s="35">
        <v>0.68</v>
      </c>
      <c r="D11" s="36">
        <f>C11*$C$5</f>
        <v>2.1419999999999999</v>
      </c>
      <c r="E11" s="37">
        <v>100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>C12*$C$5</f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>C14*$C$5</f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3.15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3" t="s">
        <v>232</v>
      </c>
      <c r="B22" s="303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5" t="s">
        <v>227</v>
      </c>
      <c r="B30" s="305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Mélèze hybride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10</v>
      </c>
      <c r="B36" s="63">
        <v>83</v>
      </c>
      <c r="C36" s="63">
        <v>1</v>
      </c>
      <c r="D36" s="63">
        <v>26</v>
      </c>
      <c r="E36" s="54"/>
      <c r="F36" s="54"/>
      <c r="G36" s="54">
        <v>1</v>
      </c>
      <c r="H36" s="54"/>
      <c r="I36" s="52">
        <f>IFERROR(B36/A36,"")</f>
        <v>8.3000000000000007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15</v>
      </c>
      <c r="B37" s="63">
        <v>175</v>
      </c>
      <c r="C37" s="63">
        <v>2</v>
      </c>
      <c r="D37" s="63">
        <v>54</v>
      </c>
      <c r="E37" s="54"/>
      <c r="F37" s="54"/>
      <c r="G37" s="54">
        <v>1</v>
      </c>
      <c r="H37" s="54"/>
      <c r="I37" s="56">
        <f t="shared" ref="I37:I45" si="1">IF(A37&lt;&gt;0,(B37-(B36-D36))/(A37-A36),"")</f>
        <v>23.6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20</v>
      </c>
      <c r="B38" s="63">
        <v>246</v>
      </c>
      <c r="C38" s="63">
        <v>3</v>
      </c>
      <c r="D38" s="63">
        <v>61</v>
      </c>
      <c r="E38" s="54"/>
      <c r="F38" s="54">
        <v>0.2</v>
      </c>
      <c r="G38" s="54">
        <v>0.8</v>
      </c>
      <c r="H38" s="54"/>
      <c r="I38" s="56">
        <f t="shared" si="1"/>
        <v>25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25</v>
      </c>
      <c r="B39" s="63">
        <v>295</v>
      </c>
      <c r="C39" s="63">
        <v>4</v>
      </c>
      <c r="D39" s="63">
        <v>57</v>
      </c>
      <c r="E39" s="54"/>
      <c r="F39" s="54">
        <v>0.2</v>
      </c>
      <c r="G39" s="54">
        <v>0.8</v>
      </c>
      <c r="H39" s="54"/>
      <c r="I39" s="52">
        <f t="shared" si="1"/>
        <v>22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30</v>
      </c>
      <c r="B40" s="63">
        <v>327</v>
      </c>
      <c r="C40" s="63">
        <v>5</v>
      </c>
      <c r="D40" s="63">
        <v>48</v>
      </c>
      <c r="E40" s="54">
        <v>0.1</v>
      </c>
      <c r="F40" s="54">
        <v>0.2</v>
      </c>
      <c r="G40" s="54">
        <v>0.7</v>
      </c>
      <c r="H40" s="54"/>
      <c r="I40" s="52">
        <f t="shared" si="1"/>
        <v>17.8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35</v>
      </c>
      <c r="B41" s="63">
        <v>347</v>
      </c>
      <c r="C41" s="63">
        <v>6</v>
      </c>
      <c r="D41" s="63">
        <v>38</v>
      </c>
      <c r="E41" s="54"/>
      <c r="F41" s="54"/>
      <c r="G41" s="54"/>
      <c r="H41" s="54"/>
      <c r="I41" s="56">
        <f t="shared" si="1"/>
        <v>13.6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40</v>
      </c>
      <c r="B42" s="63">
        <v>360</v>
      </c>
      <c r="C42" s="63">
        <v>7</v>
      </c>
      <c r="D42" s="63">
        <v>28</v>
      </c>
      <c r="E42" s="54"/>
      <c r="F42" s="54"/>
      <c r="G42" s="54"/>
      <c r="H42" s="54"/>
      <c r="I42" s="56">
        <f t="shared" si="1"/>
        <v>10.199999999999999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45</v>
      </c>
      <c r="B43" s="63">
        <v>369</v>
      </c>
      <c r="C43" s="63">
        <v>8</v>
      </c>
      <c r="D43" s="63">
        <v>21</v>
      </c>
      <c r="E43" s="54"/>
      <c r="F43" s="54"/>
      <c r="G43" s="54"/>
      <c r="H43" s="54"/>
      <c r="I43" s="52">
        <f t="shared" si="1"/>
        <v>7.4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50</v>
      </c>
      <c r="B44" s="63">
        <v>374</v>
      </c>
      <c r="C44" s="63">
        <v>9</v>
      </c>
      <c r="D44" s="63">
        <v>374</v>
      </c>
      <c r="E44" s="54"/>
      <c r="F44" s="54"/>
      <c r="G44" s="54"/>
      <c r="H44" s="54"/>
      <c r="I44" s="52">
        <f t="shared" si="1"/>
        <v>5.2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ref="I46:I55" si="2">IF(A46&lt;&gt;0,(B46-(B45-D45))/(A46-A45),"")</f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2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2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2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2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2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2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2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2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2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laricio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22</v>
      </c>
      <c r="B62" s="63">
        <v>123</v>
      </c>
      <c r="C62" s="63">
        <v>1</v>
      </c>
      <c r="D62" s="63">
        <v>16</v>
      </c>
      <c r="E62" s="54"/>
      <c r="F62" s="54"/>
      <c r="G62" s="54">
        <v>1</v>
      </c>
      <c r="H62" s="54"/>
      <c r="I62" s="56">
        <f>IFERROR(B62/A62,"")</f>
        <v>5.5909090909090908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144</v>
      </c>
      <c r="C63" s="63">
        <v>2</v>
      </c>
      <c r="D63" s="63">
        <v>17</v>
      </c>
      <c r="E63" s="54"/>
      <c r="F63" s="54"/>
      <c r="G63" s="54">
        <v>1</v>
      </c>
      <c r="H63" s="54"/>
      <c r="I63" s="52">
        <f>IF(A63&lt;&gt;0,(B63-(B62-D62))/(A63-A62),"")</f>
        <v>12.333333333333334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194</v>
      </c>
      <c r="C64" s="63">
        <v>3</v>
      </c>
      <c r="D64" s="63">
        <v>34</v>
      </c>
      <c r="E64" s="54"/>
      <c r="F64" s="54">
        <v>0.5</v>
      </c>
      <c r="G64" s="54">
        <v>0.5</v>
      </c>
      <c r="H64" s="54"/>
      <c r="I64" s="52">
        <f>IF(A64&lt;&gt;0,(B64-(B63-D63))/(A64-A63),"")</f>
        <v>13.4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233</v>
      </c>
      <c r="C65" s="63">
        <v>4</v>
      </c>
      <c r="D65" s="63">
        <v>41</v>
      </c>
      <c r="E65" s="54"/>
      <c r="F65" s="54"/>
      <c r="G65" s="54"/>
      <c r="H65" s="54"/>
      <c r="I65" s="52">
        <f>IF(A65&lt;&gt;0,(B65-(B64-D64))/(A65-A64),"")</f>
        <v>14.6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264</v>
      </c>
      <c r="C66" s="63">
        <v>5</v>
      </c>
      <c r="D66" s="63">
        <v>41</v>
      </c>
      <c r="E66" s="54"/>
      <c r="F66" s="54"/>
      <c r="G66" s="54"/>
      <c r="H66" s="54"/>
      <c r="I66" s="52">
        <f t="shared" ref="I66:I81" si="3">IF(A66&lt;&gt;0,(B66-(B65-D65))/(A66-A65),"")</f>
        <v>14.4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306</v>
      </c>
      <c r="C67" s="63">
        <v>6</v>
      </c>
      <c r="D67" s="63">
        <v>53</v>
      </c>
      <c r="E67" s="54"/>
      <c r="F67" s="54"/>
      <c r="G67" s="54"/>
      <c r="H67" s="54"/>
      <c r="I67" s="52">
        <f t="shared" si="3"/>
        <v>16.600000000000001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340</v>
      </c>
      <c r="C68" s="63">
        <v>7</v>
      </c>
      <c r="D68" s="63">
        <v>53</v>
      </c>
      <c r="E68" s="54"/>
      <c r="F68" s="54"/>
      <c r="G68" s="54"/>
      <c r="H68" s="54"/>
      <c r="I68" s="52">
        <f t="shared" si="3"/>
        <v>17.399999999999999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58</v>
      </c>
      <c r="B69" s="53">
        <v>428</v>
      </c>
      <c r="C69" s="53">
        <v>8</v>
      </c>
      <c r="D69" s="53">
        <v>78</v>
      </c>
      <c r="E69" s="54"/>
      <c r="F69" s="54"/>
      <c r="G69" s="54"/>
      <c r="H69" s="54"/>
      <c r="I69" s="52">
        <f t="shared" si="3"/>
        <v>17.625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66</v>
      </c>
      <c r="B70" s="53">
        <v>483</v>
      </c>
      <c r="C70" s="53">
        <v>9</v>
      </c>
      <c r="D70" s="53">
        <v>65</v>
      </c>
      <c r="E70" s="54"/>
      <c r="F70" s="54"/>
      <c r="G70" s="54"/>
      <c r="H70" s="54"/>
      <c r="I70" s="52">
        <f t="shared" si="3"/>
        <v>16.625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74</v>
      </c>
      <c r="B71" s="53">
        <v>521</v>
      </c>
      <c r="C71" s="53">
        <v>10</v>
      </c>
      <c r="D71" s="53">
        <v>37</v>
      </c>
      <c r="E71" s="54"/>
      <c r="F71" s="54"/>
      <c r="G71" s="54"/>
      <c r="H71" s="54"/>
      <c r="I71" s="52">
        <f t="shared" si="3"/>
        <v>12.875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82</v>
      </c>
      <c r="B72" s="53">
        <v>555</v>
      </c>
      <c r="C72" s="53">
        <v>11</v>
      </c>
      <c r="D72" s="53">
        <v>555</v>
      </c>
      <c r="E72" s="54"/>
      <c r="F72" s="54"/>
      <c r="G72" s="54"/>
      <c r="H72" s="54"/>
      <c r="I72" s="52">
        <f t="shared" si="3"/>
        <v>8.875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3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3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3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3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3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3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3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3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3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Cèdre de l'Atlas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158</v>
      </c>
      <c r="C88" s="63">
        <v>1</v>
      </c>
      <c r="D88" s="63">
        <v>0</v>
      </c>
      <c r="E88" s="54">
        <v>0.4</v>
      </c>
      <c r="F88" s="54">
        <v>0.45</v>
      </c>
      <c r="G88" s="54">
        <v>0.15</v>
      </c>
      <c r="H88" s="93"/>
      <c r="I88" s="56">
        <f>IFERROR(B88/A88,"")</f>
        <v>7.9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250</v>
      </c>
      <c r="C89" s="63">
        <v>2</v>
      </c>
      <c r="D89" s="63">
        <v>0</v>
      </c>
      <c r="E89" s="54">
        <v>0.7</v>
      </c>
      <c r="F89" s="54">
        <v>0.15</v>
      </c>
      <c r="G89" s="54">
        <v>0.15</v>
      </c>
      <c r="H89" s="93"/>
      <c r="I89" s="56">
        <f t="shared" ref="I89:I107" si="4">IF(A89&lt;&gt;0,(B89-(B88-D88))/(A89-A88),"")</f>
        <v>9.1999999999999993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40</v>
      </c>
      <c r="B90" s="63">
        <v>350</v>
      </c>
      <c r="C90" s="63">
        <v>3</v>
      </c>
      <c r="D90" s="63">
        <v>88</v>
      </c>
      <c r="E90" s="93"/>
      <c r="F90" s="93"/>
      <c r="G90" s="93"/>
      <c r="H90" s="93"/>
      <c r="I90" s="56">
        <f t="shared" si="4"/>
        <v>10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50</v>
      </c>
      <c r="B91" s="63">
        <v>377</v>
      </c>
      <c r="C91" s="63">
        <v>4</v>
      </c>
      <c r="D91" s="63">
        <v>0</v>
      </c>
      <c r="E91" s="93"/>
      <c r="F91" s="93"/>
      <c r="G91" s="93"/>
      <c r="H91" s="93"/>
      <c r="I91" s="56">
        <f t="shared" si="4"/>
        <v>11.5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60</v>
      </c>
      <c r="B92" s="63">
        <v>512</v>
      </c>
      <c r="C92" s="63">
        <v>5</v>
      </c>
      <c r="D92" s="63">
        <v>102</v>
      </c>
      <c r="E92" s="93"/>
      <c r="F92" s="93"/>
      <c r="G92" s="93"/>
      <c r="H92" s="93"/>
      <c r="I92" s="56">
        <f t="shared" si="4"/>
        <v>13.5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70</v>
      </c>
      <c r="B93" s="63">
        <v>565</v>
      </c>
      <c r="C93" s="63">
        <v>6</v>
      </c>
      <c r="D93" s="63">
        <v>113</v>
      </c>
      <c r="E93" s="93"/>
      <c r="F93" s="93"/>
      <c r="G93" s="93"/>
      <c r="H93" s="93"/>
      <c r="I93" s="56">
        <f t="shared" si="4"/>
        <v>15.5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80</v>
      </c>
      <c r="B94" s="63">
        <v>622</v>
      </c>
      <c r="C94" s="63">
        <v>7</v>
      </c>
      <c r="D94" s="63">
        <v>124</v>
      </c>
      <c r="E94" s="93"/>
      <c r="F94" s="93"/>
      <c r="G94" s="93"/>
      <c r="H94" s="93"/>
      <c r="I94" s="56">
        <f t="shared" si="4"/>
        <v>17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90</v>
      </c>
      <c r="B95" s="63">
        <v>673</v>
      </c>
      <c r="C95" s="63">
        <v>8</v>
      </c>
      <c r="D95" s="63">
        <v>135</v>
      </c>
      <c r="E95" s="93"/>
      <c r="F95" s="93"/>
      <c r="G95" s="93"/>
      <c r="H95" s="93"/>
      <c r="I95" s="56">
        <f t="shared" si="4"/>
        <v>17.5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100</v>
      </c>
      <c r="B96" s="63">
        <v>723</v>
      </c>
      <c r="C96" s="63">
        <v>9</v>
      </c>
      <c r="D96" s="63">
        <v>723</v>
      </c>
      <c r="E96" s="93"/>
      <c r="F96" s="93"/>
      <c r="G96" s="93"/>
      <c r="H96" s="93"/>
      <c r="I96" s="56">
        <f t="shared" si="4"/>
        <v>18.5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4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4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4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4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4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4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4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4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4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4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4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10</v>
      </c>
      <c r="B114" s="63">
        <v>83</v>
      </c>
      <c r="C114" s="53">
        <v>1</v>
      </c>
      <c r="D114" s="63">
        <v>26</v>
      </c>
      <c r="E114" s="54"/>
      <c r="F114" s="54"/>
      <c r="G114" s="54">
        <v>1</v>
      </c>
      <c r="H114" s="54"/>
      <c r="I114" s="56">
        <f>IFERROR(B114/A114,"")</f>
        <v>8.3000000000000007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15</v>
      </c>
      <c r="B115" s="63">
        <v>175</v>
      </c>
      <c r="C115" s="53">
        <v>2</v>
      </c>
      <c r="D115" s="63">
        <v>54</v>
      </c>
      <c r="E115" s="54"/>
      <c r="F115" s="54"/>
      <c r="G115" s="54">
        <v>1</v>
      </c>
      <c r="H115" s="54"/>
      <c r="I115" s="56">
        <f t="shared" ref="I115:I123" si="5">IF(A115&lt;&gt;0,(B115-(B114-D114))/(A115-A114),"")</f>
        <v>23.6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20</v>
      </c>
      <c r="B116" s="63">
        <v>246</v>
      </c>
      <c r="C116" s="53">
        <v>3</v>
      </c>
      <c r="D116" s="63">
        <v>61</v>
      </c>
      <c r="E116" s="54"/>
      <c r="F116" s="54">
        <v>0.2</v>
      </c>
      <c r="G116" s="54">
        <v>0.8</v>
      </c>
      <c r="H116" s="54"/>
      <c r="I116" s="56">
        <f t="shared" si="5"/>
        <v>25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25</v>
      </c>
      <c r="B117" s="63">
        <v>295</v>
      </c>
      <c r="C117" s="53">
        <v>4</v>
      </c>
      <c r="D117" s="63">
        <v>57</v>
      </c>
      <c r="E117" s="54"/>
      <c r="F117" s="54">
        <v>0.2</v>
      </c>
      <c r="G117" s="54">
        <v>0.8</v>
      </c>
      <c r="H117" s="54"/>
      <c r="I117" s="56">
        <f t="shared" si="5"/>
        <v>22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30</v>
      </c>
      <c r="B118" s="63">
        <v>327</v>
      </c>
      <c r="C118" s="53">
        <v>5</v>
      </c>
      <c r="D118" s="63">
        <v>48</v>
      </c>
      <c r="E118" s="54">
        <v>0.1</v>
      </c>
      <c r="F118" s="54">
        <v>0.2</v>
      </c>
      <c r="G118" s="54">
        <v>0.7</v>
      </c>
      <c r="H118" s="54"/>
      <c r="I118" s="56">
        <f t="shared" si="5"/>
        <v>17.8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35</v>
      </c>
      <c r="B119" s="63">
        <v>347</v>
      </c>
      <c r="C119" s="53">
        <v>6</v>
      </c>
      <c r="D119" s="63">
        <v>38</v>
      </c>
      <c r="E119" s="54"/>
      <c r="F119" s="54"/>
      <c r="G119" s="54"/>
      <c r="H119" s="54"/>
      <c r="I119" s="56">
        <f t="shared" si="5"/>
        <v>13.6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40</v>
      </c>
      <c r="B120" s="63">
        <v>360</v>
      </c>
      <c r="C120" s="63">
        <v>7</v>
      </c>
      <c r="D120" s="63">
        <v>28</v>
      </c>
      <c r="E120" s="93"/>
      <c r="F120" s="93"/>
      <c r="G120" s="93"/>
      <c r="H120" s="93"/>
      <c r="I120" s="56">
        <f t="shared" si="5"/>
        <v>10.199999999999999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45</v>
      </c>
      <c r="B121" s="63">
        <v>369</v>
      </c>
      <c r="C121" s="63">
        <v>8</v>
      </c>
      <c r="D121" s="63">
        <v>21</v>
      </c>
      <c r="E121" s="93"/>
      <c r="F121" s="93"/>
      <c r="G121" s="93"/>
      <c r="H121" s="93"/>
      <c r="I121" s="56">
        <f t="shared" si="5"/>
        <v>7.4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50</v>
      </c>
      <c r="B122" s="63">
        <v>374</v>
      </c>
      <c r="C122" s="63">
        <v>9</v>
      </c>
      <c r="D122" s="63">
        <v>374</v>
      </c>
      <c r="E122" s="93"/>
      <c r="F122" s="93"/>
      <c r="G122" s="93"/>
      <c r="H122" s="93"/>
      <c r="I122" s="56">
        <f t="shared" si="5"/>
        <v>5.2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5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ref="I124:I133" si="6">IF(A124&lt;&gt;0,(B124-(B123-D123))/(A124-A123),"")</f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6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6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6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6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6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6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6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6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6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7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7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7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7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7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7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7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7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7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7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7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7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7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7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7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7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7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7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8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8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8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8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8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8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8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8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8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8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8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8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8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8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8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8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8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8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8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9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9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9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9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9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9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9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9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9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9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9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9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9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9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9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9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9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9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9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10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10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10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10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10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10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10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10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10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10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10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10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10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10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10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10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10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10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10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11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11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11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11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1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1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1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1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1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1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11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1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1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1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1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1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1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2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2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2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2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2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2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2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2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2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2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2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2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2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2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2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2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2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2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G20" sqref="G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0" t="s">
        <v>191</v>
      </c>
      <c r="C2" s="311"/>
      <c r="D2" s="311"/>
      <c r="E2" s="311"/>
      <c r="F2" s="311"/>
      <c r="G2" s="312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9"/>
      <c r="C4" s="309"/>
      <c r="D4" s="309"/>
      <c r="E4" s="309"/>
      <c r="F4" s="309"/>
      <c r="G4" s="309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6" t="s">
        <v>176</v>
      </c>
      <c r="C1" s="317"/>
      <c r="D1" s="317"/>
      <c r="E1" s="317"/>
      <c r="F1" s="317"/>
      <c r="G1" s="317"/>
      <c r="H1" s="318"/>
      <c r="I1" s="313" t="str">
        <f>IF('Données projet'!$B$9="","",'Données projet'!$B$9)</f>
        <v>Mélèze hybride</v>
      </c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5"/>
      <c r="AD1" s="314" t="str">
        <f>IF('Données projet'!$B$10="","",'Données projet'!$B$10)</f>
        <v>Pin laricio</v>
      </c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5"/>
      <c r="AY1" s="313" t="str">
        <f>IF('Données projet'!$B$11="","",'Données projet'!$B$11)</f>
        <v>Cèdre de l'Atlas</v>
      </c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5"/>
      <c r="BT1" s="313" t="str">
        <f>IF('Données projet'!$B$12="","",'Données projet'!$B$12)</f>
        <v/>
      </c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5"/>
      <c r="CO1" s="313" t="str">
        <f>IF('Données projet'!$B$13="","",'Données projet'!$B$13)</f>
        <v/>
      </c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5"/>
      <c r="DJ1" s="313" t="str">
        <f>IF('Données projet'!$B$14="","",'Données projet'!$B$14)</f>
        <v/>
      </c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5"/>
      <c r="EE1" s="313" t="str">
        <f>IF('Données projet'!$B$15="","",'Données projet'!$B$15)</f>
        <v/>
      </c>
      <c r="EF1" s="314"/>
      <c r="EG1" s="314"/>
      <c r="EH1" s="314"/>
      <c r="EI1" s="314"/>
      <c r="EJ1" s="314"/>
      <c r="EK1" s="314"/>
      <c r="EL1" s="314"/>
      <c r="EM1" s="314"/>
      <c r="EN1" s="314"/>
      <c r="EO1" s="314"/>
      <c r="EP1" s="314"/>
      <c r="EQ1" s="314"/>
      <c r="ER1" s="314"/>
      <c r="ES1" s="314"/>
      <c r="ET1" s="314"/>
      <c r="EU1" s="314"/>
      <c r="EV1" s="314"/>
      <c r="EW1" s="314"/>
      <c r="EX1" s="314"/>
      <c r="EY1" s="315"/>
      <c r="EZ1" s="313" t="str">
        <f>IF('Données projet'!$B$16="","",'Données projet'!$B$16)</f>
        <v/>
      </c>
      <c r="FA1" s="314"/>
      <c r="FB1" s="314"/>
      <c r="FC1" s="314"/>
      <c r="FD1" s="314"/>
      <c r="FE1" s="314"/>
      <c r="FF1" s="314"/>
      <c r="FG1" s="314"/>
      <c r="FH1" s="314"/>
      <c r="FI1" s="314"/>
      <c r="FJ1" s="314"/>
      <c r="FK1" s="314"/>
      <c r="FL1" s="314"/>
      <c r="FM1" s="314"/>
      <c r="FN1" s="314"/>
      <c r="FO1" s="314"/>
      <c r="FP1" s="314"/>
      <c r="FQ1" s="314"/>
      <c r="FR1" s="314"/>
      <c r="FS1" s="314"/>
      <c r="FT1" s="315"/>
      <c r="FU1" s="313" t="str">
        <f>IF('Données projet'!$B$17="","",'Données projet'!$B$17)</f>
        <v/>
      </c>
      <c r="FV1" s="314"/>
      <c r="FW1" s="314"/>
      <c r="FX1" s="314"/>
      <c r="FY1" s="314"/>
      <c r="FZ1" s="314"/>
      <c r="GA1" s="314"/>
      <c r="GB1" s="314"/>
      <c r="GC1" s="314"/>
      <c r="GD1" s="314"/>
      <c r="GE1" s="314"/>
      <c r="GF1" s="314"/>
      <c r="GG1" s="314"/>
      <c r="GH1" s="314"/>
      <c r="GI1" s="314"/>
      <c r="GJ1" s="314"/>
      <c r="GK1" s="314"/>
      <c r="GL1" s="314"/>
      <c r="GM1" s="314"/>
      <c r="GN1" s="314"/>
      <c r="GO1" s="315"/>
      <c r="GP1" s="313" t="str">
        <f>IF('Données projet'!$B$18="","",'Données projet'!$B$18)</f>
        <v/>
      </c>
      <c r="GQ1" s="314"/>
      <c r="GR1" s="314"/>
      <c r="GS1" s="314"/>
      <c r="GT1" s="314"/>
      <c r="GU1" s="314"/>
      <c r="GV1" s="314"/>
      <c r="GW1" s="314"/>
      <c r="GX1" s="314"/>
      <c r="GY1" s="314"/>
      <c r="GZ1" s="314"/>
      <c r="HA1" s="314"/>
      <c r="HB1" s="314"/>
      <c r="HC1" s="314"/>
      <c r="HD1" s="314"/>
      <c r="HE1" s="314"/>
      <c r="HF1" s="314"/>
      <c r="HG1" s="314"/>
      <c r="HH1" s="314"/>
      <c r="HI1" s="314"/>
      <c r="HJ1" s="315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240.19940780300527</v>
      </c>
      <c r="T3" s="62">
        <f>IF('Données projet'!E9&gt;30,$R$33-$H$33,LOOKUP('Données projet'!$E$9,$A$3:$A$203,R3:R203)-LOOKUP('Données projet'!$E$9,$A$3:$A$203,$H$3:$H$203))</f>
        <v>355.71054384071715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287.69656598881124</v>
      </c>
      <c r="AO3" s="62">
        <f>IF('Données projet'!E10&gt;30,$AM$33-$H$33,LOOKUP('Données projet'!$E$10,$A$3:$A$203,AM3:AM203)-LOOKUP('Données projet'!$E$10,$A$3:$A$203,$H$3:$H$203))</f>
        <v>221.9773436301067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310.95287409903602</v>
      </c>
      <c r="BJ3" s="62">
        <f>IF('Données projet'!E11&gt;30,$BH$33-$H$33,LOOKUP('Données projet'!$E$11,$A$3:$A$203,BH3:BH203)-LOOKUP('Données projet'!$E$11,$A$3:$A$203,$H$3:$H$203))</f>
        <v>224.10083380795163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8.3000000000000007</v>
      </c>
      <c r="N4" s="14">
        <f>IF('Données projet'!$A$36&gt;35,N3+M4-V3,IF(A4&lt;'Données projet'!$A$36,$K$205^A4,IF(A4='Données projet'!$A$36,'Données projet'!$B$36,N3+M4-V3)))</f>
        <v>1.5556353708263266</v>
      </c>
      <c r="O4" s="14">
        <f>N4*VLOOKUP('Données projet'!$B$9,Paramètres!$A$1:$I$89,3,0)*VLOOKUP('Données projet'!$B$9,Paramètres!$A$1:$I$89,5,0)</f>
        <v>0.84937691247117442</v>
      </c>
      <c r="P4" s="14">
        <f>EXP(-1.0587+0.8836*LN(O4)+0.284)</f>
        <v>0.39893783292559054</v>
      </c>
      <c r="Q4" s="22">
        <f t="shared" ref="Q4:Q34" si="2">(O4+P4)*0.475*44/12</f>
        <v>2.1741481815660317</v>
      </c>
      <c r="R4" s="62">
        <f t="shared" si="0"/>
        <v>295.50748151489933</v>
      </c>
      <c r="S4" s="62">
        <f ca="1">AVERAGE(OFFSET($R$3,0,0,'Données projet'!$E$9+1,1))-AVERAGE(OFFSET($H$3,0,0,'Données projet'!$E$9+1,1))</f>
        <v>240.19940780300527</v>
      </c>
      <c r="T4" s="62">
        <f>$T$3</f>
        <v>355.71054384071715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5.5909090909090908</v>
      </c>
      <c r="AI4" s="14">
        <f>IF('Données projet'!$A$62&gt;35,AI3+AH4-AQ3,IF(A4&lt;'Données projet'!$A$62,$AF$205^A4,IF(A4='Données projet'!$A$62,'Données projet'!$B$62,AI3+AH4-AQ3)))</f>
        <v>1.244502252163008</v>
      </c>
      <c r="AJ4" s="14">
        <f>AI4*VLOOKUP('Données projet'!$B$10,Paramètres!$A$1:$I$89,3,0)*VLOOKUP('Données projet'!$B$10,Paramètres!$A$1:$I$89,5,0)</f>
        <v>0.74421234679347892</v>
      </c>
      <c r="AK4" s="14">
        <f>EXP(-1.0587+0.8836*LN(AJ4)+0.284)</f>
        <v>0.3549632728022305</v>
      </c>
      <c r="AL4" s="22">
        <f t="shared" ref="AL4:AL67" si="4">(AJ4+AK4)*0.475*44/12</f>
        <v>1.9143975374625271</v>
      </c>
      <c r="AM4" s="62">
        <f t="shared" ref="AM4:AM67" si="5">AL4+(AD4+AE4)*44/12</f>
        <v>295.24773087079586</v>
      </c>
      <c r="AN4" s="62">
        <f ca="1">AVERAGE(OFFSET($AM$3,0,0,'Données projet'!$E$10+1,1))-AVERAGE(OFFSET($H$3,0,0,'Données projet'!$E$10+1,1))</f>
        <v>287.69656598881124</v>
      </c>
      <c r="AO4" s="62">
        <f>$AO$3</f>
        <v>221.9773436301067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7.9</v>
      </c>
      <c r="BD4" s="13">
        <f>IF('Données projet'!$A$88&gt;35,BD3+BC4-BL3,IF(A4&lt;'Données projet'!$A$88,$BA$205^A4,IF(A4='Données projet'!$A$88,'Données projet'!$B$88,BD3+BC4-BL3)))</f>
        <v>1.2880503926580862</v>
      </c>
      <c r="BE4" s="14">
        <f>BD4*VLOOKUP('Données projet'!$B$11,Paramètres!$A$1:$I$89,3,0)*VLOOKUP('Données projet'!$B$11,Paramètres!$A$1:$I$89,5,0)</f>
        <v>0.60280758376398436</v>
      </c>
      <c r="BF4" s="14">
        <f>EXP(-1.0587+0.8836*LN(BE4)+0.284)</f>
        <v>0.29465781953181042</v>
      </c>
      <c r="BG4" s="22">
        <f t="shared" ref="BG4:BG67" si="7">(BE4+BF4)*0.475*44/12</f>
        <v>1.5630855774068424</v>
      </c>
      <c r="BH4" s="62">
        <f t="shared" ref="BH4:BH67" si="8">BG4+(AY4+AZ4)*44/12</f>
        <v>294.89641891074018</v>
      </c>
      <c r="BI4" s="62">
        <f ca="1">AVERAGE(OFFSET($BH$3,0,0,'Données projet'!$E$11+1,1))-AVERAGE(OFFSET($H$3,0,0,'Données projet'!$E$11+1,1))</f>
        <v>310.95287409903602</v>
      </c>
      <c r="BJ4" s="62">
        <f>$BJ$3</f>
        <v>224.10083380795163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8.3000000000000007</v>
      </c>
      <c r="BY4" s="13">
        <f>IF('Données projet'!$A$114&gt;35,BY3+BX4-CG3,IF(A4&lt;'Données projet'!$A$114,$BV$205^A4,IF(A4='Données projet'!$A$114,'Données projet'!$B$114,BY3+BX4-CG3)))</f>
        <v>1.5556353708263266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8.3000000000000007</v>
      </c>
      <c r="N5" s="14">
        <f>IF('Données projet'!$A$36&gt;35,N4+M5-V4,IF(A5&lt;'Données projet'!$A$36,$K$205^A5,IF(A5='Données projet'!$A$36,'Données projet'!$B$36,N4+M5-V4)))</f>
        <v>2.4200014069659628</v>
      </c>
      <c r="O5" s="14">
        <f>N5*VLOOKUP('Données projet'!$B$9,Paramètres!$A$1:$I$89,3,0)*VLOOKUP('Données projet'!$B$9,Paramètres!$A$1:$I$89,5,0)</f>
        <v>1.3213207682034156</v>
      </c>
      <c r="P5" s="14">
        <f t="shared" ref="P5:P68" si="33">EXP(-1.0587+0.8836*LN(O5)+0.284)</f>
        <v>0.58948799417314446</v>
      </c>
      <c r="Q5" s="22">
        <f t="shared" si="2"/>
        <v>3.3279919278058419</v>
      </c>
      <c r="R5" s="62">
        <f t="shared" si="0"/>
        <v>296.66132526113915</v>
      </c>
      <c r="S5" s="62">
        <f ca="1">AVERAGE(OFFSET($R$3,0,0,'Données projet'!$E$9+1,1))-AVERAGE(OFFSET($H$3,0,0,'Données projet'!$E$9+1,1))</f>
        <v>240.19940780300527</v>
      </c>
      <c r="T5" s="62">
        <f t="shared" ref="T5:T68" si="34">$T$3</f>
        <v>355.71054384071715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5.5909090909090908</v>
      </c>
      <c r="AI5" s="14">
        <f>IF('Données projet'!$A$62&gt;35,AI4+AH5-AQ4,IF(A5&lt;'Données projet'!$A$62,$AF$205^A5,IF(A5='Données projet'!$A$62,'Données projet'!$B$62,AI4+AH5-AQ4)))</f>
        <v>1.5487858556387992</v>
      </c>
      <c r="AJ5" s="14">
        <f>AI5*VLOOKUP('Données projet'!$B$10,Paramètres!$A$1:$I$89,3,0)*VLOOKUP('Données projet'!$B$10,Paramètres!$A$1:$I$89,5,0)</f>
        <v>0.92617394167200195</v>
      </c>
      <c r="AK5" s="14">
        <f t="shared" ref="AK5:AK68" si="35">EXP(-1.0587+0.8836*LN(AJ5)+0.284)</f>
        <v>0.43064718121421069</v>
      </c>
      <c r="AL5" s="22">
        <f t="shared" si="4"/>
        <v>2.3631301223601535</v>
      </c>
      <c r="AM5" s="62">
        <f t="shared" si="5"/>
        <v>295.69646345569345</v>
      </c>
      <c r="AN5" s="62">
        <f ca="1">AVERAGE(OFFSET($AM$3,0,0,'Données projet'!$E$10+1,1))-AVERAGE(OFFSET($H$3,0,0,'Données projet'!$E$10+1,1))</f>
        <v>287.69656598881124</v>
      </c>
      <c r="AO5" s="62">
        <f t="shared" ref="AO5:AO68" si="36">$AO$3</f>
        <v>221.9773436301067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7.9</v>
      </c>
      <c r="BD5" s="13">
        <f>IF('Données projet'!$A$88&gt;35,BD4+BC5-BL4,IF(A5&lt;'Données projet'!$A$88,$BA$205^A5,IF(A5='Données projet'!$A$88,'Données projet'!$B$88,BD4+BC5-BL4)))</f>
        <v>1.6590738140266501</v>
      </c>
      <c r="BE5" s="14">
        <f>BD5*VLOOKUP('Données projet'!$B$11,Paramètres!$A$1:$I$89,3,0)*VLOOKUP('Données projet'!$B$11,Paramètres!$A$1:$I$89,5,0)</f>
        <v>0.77644654496447219</v>
      </c>
      <c r="BF5" s="14">
        <f t="shared" ref="BF5:BF68" si="37">EXP(-1.0587+0.8836*LN(BE5)+0.284)</f>
        <v>0.36851455096495994</v>
      </c>
      <c r="BG5" s="22">
        <f t="shared" si="7"/>
        <v>1.9941405754104276</v>
      </c>
      <c r="BH5" s="62">
        <f t="shared" si="8"/>
        <v>295.32747390874374</v>
      </c>
      <c r="BI5" s="62">
        <f ca="1">AVERAGE(OFFSET($BH$3,0,0,'Données projet'!$E$11+1,1))-AVERAGE(OFFSET($H$3,0,0,'Données projet'!$E$11+1,1))</f>
        <v>310.95287409903602</v>
      </c>
      <c r="BJ5" s="62">
        <f t="shared" ref="BJ5:BJ68" si="38">$BJ$3</f>
        <v>224.10083380795163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8.3000000000000007</v>
      </c>
      <c r="BY5" s="13">
        <f>IF('Données projet'!$A$114&gt;35,BY4+BX5-CG4,IF(A5&lt;'Données projet'!$A$114,$BV$205^A5,IF(A5='Données projet'!$A$114,'Données projet'!$B$114,BY4+BX5-CG4)))</f>
        <v>2.4200014069659628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8.3000000000000007</v>
      </c>
      <c r="N6" s="14">
        <f>IF('Données projet'!$A$36&gt;35,N5+M6-V5,IF(A6&lt;'Données projet'!$A$36,$K$205^A6,IF(A6='Données projet'!$A$36,'Données projet'!$B$36,N5+M6-V5)))</f>
        <v>3.7646397861257279</v>
      </c>
      <c r="O6" s="14">
        <f>N6*VLOOKUP('Données projet'!$B$9,Paramètres!$A$1:$I$89,3,0)*VLOOKUP('Données projet'!$B$9,Paramètres!$A$1:$I$89,5,0)</f>
        <v>2.0554933232246473</v>
      </c>
      <c r="P6" s="14">
        <f t="shared" si="33"/>
        <v>0.8710532483869281</v>
      </c>
      <c r="Q6" s="22">
        <f t="shared" si="2"/>
        <v>5.0970686122234934</v>
      </c>
      <c r="R6" s="62">
        <f t="shared" si="0"/>
        <v>298.43040194555681</v>
      </c>
      <c r="S6" s="62">
        <f ca="1">AVERAGE(OFFSET($R$3,0,0,'Données projet'!$E$9+1,1))-AVERAGE(OFFSET($H$3,0,0,'Données projet'!$E$9+1,1))</f>
        <v>240.19940780300527</v>
      </c>
      <c r="T6" s="62">
        <f t="shared" si="34"/>
        <v>355.71054384071715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5.5909090909090908</v>
      </c>
      <c r="AI6" s="14">
        <f>IF('Données projet'!$A$62&gt;35,AI5+AH6-AQ5,IF(A6&lt;'Données projet'!$A$62,$AF$205^A6,IF(A6='Données projet'!$A$62,'Données projet'!$B$62,AI5+AH6-AQ5)))</f>
        <v>1.927467485460697</v>
      </c>
      <c r="AJ6" s="14">
        <f>AI6*VLOOKUP('Données projet'!$B$10,Paramètres!$A$1:$I$89,3,0)*VLOOKUP('Données projet'!$B$10,Paramètres!$A$1:$I$89,5,0)</f>
        <v>1.152625556305497</v>
      </c>
      <c r="AK6" s="14">
        <f t="shared" si="35"/>
        <v>0.52246812247269758</v>
      </c>
      <c r="AL6" s="22">
        <f t="shared" si="4"/>
        <v>2.9174548238720219</v>
      </c>
      <c r="AM6" s="62">
        <f t="shared" si="5"/>
        <v>296.25078815720536</v>
      </c>
      <c r="AN6" s="62">
        <f ca="1">AVERAGE(OFFSET($AM$3,0,0,'Données projet'!$E$10+1,1))-AVERAGE(OFFSET($H$3,0,0,'Données projet'!$E$10+1,1))</f>
        <v>287.69656598881124</v>
      </c>
      <c r="AO6" s="62">
        <f t="shared" si="36"/>
        <v>221.9773436301067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7.9</v>
      </c>
      <c r="BD6" s="13">
        <f>IF('Données projet'!$A$88&gt;35,BD5+BC6-BL5,IF(A6&lt;'Données projet'!$A$88,$BA$205^A6,IF(A6='Données projet'!$A$88,'Données projet'!$B$88,BD5+BC6-BL5)))</f>
        <v>2.1369706776057753</v>
      </c>
      <c r="BE6" s="14">
        <f>BD6*VLOOKUP('Données projet'!$B$11,Paramètres!$A$1:$I$89,3,0)*VLOOKUP('Données projet'!$B$11,Paramètres!$A$1:$I$89,5,0)</f>
        <v>1.0001022771195029</v>
      </c>
      <c r="BF6" s="14">
        <f t="shared" si="37"/>
        <v>0.46088365986243646</v>
      </c>
      <c r="BG6" s="22">
        <f t="shared" si="7"/>
        <v>2.5445505069102112</v>
      </c>
      <c r="BH6" s="62">
        <f t="shared" si="8"/>
        <v>295.8778838402435</v>
      </c>
      <c r="BI6" s="62">
        <f ca="1">AVERAGE(OFFSET($BH$3,0,0,'Données projet'!$E$11+1,1))-AVERAGE(OFFSET($H$3,0,0,'Données projet'!$E$11+1,1))</f>
        <v>310.95287409903602</v>
      </c>
      <c r="BJ6" s="62">
        <f t="shared" si="38"/>
        <v>224.10083380795163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8.3000000000000007</v>
      </c>
      <c r="BY6" s="13">
        <f>IF('Données projet'!$A$114&gt;35,BY5+BX6-CG5,IF(A6&lt;'Données projet'!$A$114,$BV$205^A6,IF(A6='Données projet'!$A$114,'Données projet'!$B$114,BY5+BX6-CG5)))</f>
        <v>3.7646397861257279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8.3000000000000007</v>
      </c>
      <c r="N7" s="14">
        <f>IF('Données projet'!$A$36&gt;35,N6+M7-V6,IF(A7&lt;'Données projet'!$A$36,$K$205^A7,IF(A7='Données projet'!$A$36,'Données projet'!$B$36,N6+M7-V6)))</f>
        <v>5.8564068097172397</v>
      </c>
      <c r="O7" s="14">
        <f>N7*VLOOKUP('Données projet'!$B$9,Paramètres!$A$1:$I$89,3,0)*VLOOKUP('Données projet'!$B$9,Paramètres!$A$1:$I$89,5,0)</f>
        <v>3.197598118105613</v>
      </c>
      <c r="P7" s="14">
        <f t="shared" si="33"/>
        <v>1.2871063855841041</v>
      </c>
      <c r="Q7" s="22">
        <f t="shared" si="2"/>
        <v>7.8108603439262572</v>
      </c>
      <c r="R7" s="62">
        <f t="shared" si="0"/>
        <v>301.14419367725958</v>
      </c>
      <c r="S7" s="62">
        <f ca="1">AVERAGE(OFFSET($R$3,0,0,'Données projet'!$E$9+1,1))-AVERAGE(OFFSET($H$3,0,0,'Données projet'!$E$9+1,1))</f>
        <v>240.19940780300527</v>
      </c>
      <c r="T7" s="62">
        <f t="shared" si="34"/>
        <v>355.71054384071715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5.5909090909090908</v>
      </c>
      <c r="AI7" s="14">
        <f>IF('Données projet'!$A$62&gt;35,AI6+AH7-AQ6,IF(A7&lt;'Données projet'!$A$62,$AF$205^A7,IF(A7='Données projet'!$A$62,'Données projet'!$B$62,AI6+AH7-AQ6)))</f>
        <v>2.3987376266268075</v>
      </c>
      <c r="AJ7" s="14">
        <f>AI7*VLOOKUP('Données projet'!$B$10,Paramètres!$A$1:$I$89,3,0)*VLOOKUP('Données projet'!$B$10,Paramètres!$A$1:$I$89,5,0)</f>
        <v>1.4344451007228309</v>
      </c>
      <c r="AK7" s="14">
        <f t="shared" si="35"/>
        <v>0.63386677286612625</v>
      </c>
      <c r="AL7" s="22">
        <f t="shared" si="4"/>
        <v>3.6023098465007668</v>
      </c>
      <c r="AM7" s="62">
        <f t="shared" si="5"/>
        <v>296.93564317983407</v>
      </c>
      <c r="AN7" s="62">
        <f ca="1">AVERAGE(OFFSET($AM$3,0,0,'Données projet'!$E$10+1,1))-AVERAGE(OFFSET($H$3,0,0,'Données projet'!$E$10+1,1))</f>
        <v>287.69656598881124</v>
      </c>
      <c r="AO7" s="62">
        <f t="shared" si="36"/>
        <v>221.9773436301067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7.9</v>
      </c>
      <c r="BD7" s="13">
        <f>IF('Données projet'!$A$88&gt;35,BD6+BC7-BL6,IF(A7&lt;'Données projet'!$A$88,$BA$205^A7,IF(A7='Données projet'!$A$88,'Données projet'!$B$88,BD6+BC7-BL6)))</f>
        <v>2.7525259203889356</v>
      </c>
      <c r="BE7" s="14">
        <f>BD7*VLOOKUP('Données projet'!$B$11,Paramètres!$A$1:$I$89,3,0)*VLOOKUP('Données projet'!$B$11,Paramètres!$A$1:$I$89,5,0)</f>
        <v>1.2881821307420218</v>
      </c>
      <c r="BF7" s="14">
        <f t="shared" si="37"/>
        <v>0.57640532069082717</v>
      </c>
      <c r="BG7" s="22">
        <f t="shared" si="7"/>
        <v>3.2474898112455457</v>
      </c>
      <c r="BH7" s="62">
        <f t="shared" si="8"/>
        <v>296.58082314457886</v>
      </c>
      <c r="BI7" s="62">
        <f ca="1">AVERAGE(OFFSET($BH$3,0,0,'Données projet'!$E$11+1,1))-AVERAGE(OFFSET($H$3,0,0,'Données projet'!$E$11+1,1))</f>
        <v>310.95287409903602</v>
      </c>
      <c r="BJ7" s="62">
        <f t="shared" si="38"/>
        <v>224.10083380795163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8.3000000000000007</v>
      </c>
      <c r="BY7" s="13">
        <f>IF('Données projet'!$A$114&gt;35,BY6+BX7-CG6,IF(A7&lt;'Données projet'!$A$114,$BV$205^A7,IF(A7='Données projet'!$A$114,'Données projet'!$B$114,BY6+BX7-CG6)))</f>
        <v>5.8564068097172397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8.3000000000000007</v>
      </c>
      <c r="N8" s="14">
        <f>IF('Données projet'!$A$36&gt;35,N7+M8-V7,IF(A8&lt;'Données projet'!$A$36,$K$205^A8,IF(A8='Données projet'!$A$36,'Données projet'!$B$36,N7+M8-V7)))</f>
        <v>9.1104335791443027</v>
      </c>
      <c r="O8" s="14">
        <f>N8*VLOOKUP('Données projet'!$B$9,Paramètres!$A$1:$I$89,3,0)*VLOOKUP('Données projet'!$B$9,Paramètres!$A$1:$I$89,5,0)</f>
        <v>4.9742967342127891</v>
      </c>
      <c r="P8" s="14">
        <f t="shared" si="33"/>
        <v>1.9018847020882517</v>
      </c>
      <c r="Q8" s="22">
        <f t="shared" si="2"/>
        <v>11.976016001557646</v>
      </c>
      <c r="R8" s="62">
        <f t="shared" si="0"/>
        <v>305.30934933489095</v>
      </c>
      <c r="S8" s="62">
        <f ca="1">AVERAGE(OFFSET($R$3,0,0,'Données projet'!$E$9+1,1))-AVERAGE(OFFSET($H$3,0,0,'Données projet'!$E$9+1,1))</f>
        <v>240.19940780300527</v>
      </c>
      <c r="T8" s="62">
        <f t="shared" si="34"/>
        <v>355.71054384071715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5.5909090909090908</v>
      </c>
      <c r="AI8" s="14">
        <f>IF('Données projet'!$A$62&gt;35,AI7+AH8-AQ7,IF(A8&lt;'Données projet'!$A$62,$AF$205^A8,IF(A8='Données projet'!$A$62,'Données projet'!$B$62,AI7+AH8-AQ7)))</f>
        <v>2.9852343786852105</v>
      </c>
      <c r="AJ8" s="14">
        <f>AI8*VLOOKUP('Données projet'!$B$10,Paramètres!$A$1:$I$89,3,0)*VLOOKUP('Données projet'!$B$10,Paramètres!$A$1:$I$89,5,0)</f>
        <v>1.785170158453756</v>
      </c>
      <c r="AK8" s="14">
        <f t="shared" si="35"/>
        <v>0.7690174164926461</v>
      </c>
      <c r="AL8" s="22">
        <f t="shared" si="4"/>
        <v>4.4485433596983173</v>
      </c>
      <c r="AM8" s="62">
        <f t="shared" si="5"/>
        <v>297.78187669303162</v>
      </c>
      <c r="AN8" s="62">
        <f ca="1">AVERAGE(OFFSET($AM$3,0,0,'Données projet'!$E$10+1,1))-AVERAGE(OFFSET($H$3,0,0,'Données projet'!$E$10+1,1))</f>
        <v>287.69656598881124</v>
      </c>
      <c r="AO8" s="62">
        <f t="shared" si="36"/>
        <v>221.9773436301067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7.9</v>
      </c>
      <c r="BD8" s="13">
        <f>IF('Données projet'!$A$88&gt;35,BD7+BC8-BL7,IF(A8&lt;'Données projet'!$A$88,$BA$205^A8,IF(A8='Données projet'!$A$88,'Données projet'!$B$88,BD7+BC8-BL7)))</f>
        <v>3.5453920925585285</v>
      </c>
      <c r="BE8" s="14">
        <f>BD8*VLOOKUP('Données projet'!$B$11,Paramètres!$A$1:$I$89,3,0)*VLOOKUP('Données projet'!$B$11,Paramètres!$A$1:$I$89,5,0)</f>
        <v>1.6592434993173915</v>
      </c>
      <c r="BF8" s="14">
        <f t="shared" si="37"/>
        <v>0.72088277944126433</v>
      </c>
      <c r="BG8" s="22">
        <f t="shared" si="7"/>
        <v>4.1453866021713255</v>
      </c>
      <c r="BH8" s="62">
        <f t="shared" si="8"/>
        <v>297.47871993550461</v>
      </c>
      <c r="BI8" s="62">
        <f ca="1">AVERAGE(OFFSET($BH$3,0,0,'Données projet'!$E$11+1,1))-AVERAGE(OFFSET($H$3,0,0,'Données projet'!$E$11+1,1))</f>
        <v>310.95287409903602</v>
      </c>
      <c r="BJ8" s="62">
        <f t="shared" si="38"/>
        <v>224.10083380795163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8.3000000000000007</v>
      </c>
      <c r="BY8" s="13">
        <f>IF('Données projet'!$A$114&gt;35,BY7+BX8-CG7,IF(A8&lt;'Données projet'!$A$114,$BV$205^A8,IF(A8='Données projet'!$A$114,'Données projet'!$B$114,BY7+BX8-CG7)))</f>
        <v>9.1104335791443027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8.3000000000000007</v>
      </c>
      <c r="N9" s="14">
        <f>IF('Données projet'!$A$36&gt;35,N8+M9-V8,IF(A9&lt;'Données projet'!$A$36,$K$205^A9,IF(A9='Données projet'!$A$36,'Données projet'!$B$36,N8+M9-V8)))</f>
        <v>14.172512719280766</v>
      </c>
      <c r="O9" s="14">
        <f>N9*VLOOKUP('Données projet'!$B$9,Paramètres!$A$1:$I$89,3,0)*VLOOKUP('Données projet'!$B$9,Paramètres!$A$1:$I$89,5,0)</f>
        <v>7.7381919447272978</v>
      </c>
      <c r="P9" s="14">
        <f t="shared" si="33"/>
        <v>2.8103080371214273</v>
      </c>
      <c r="Q9" s="22">
        <f t="shared" si="2"/>
        <v>18.371970801719861</v>
      </c>
      <c r="R9" s="62">
        <f t="shared" si="0"/>
        <v>311.70530413505315</v>
      </c>
      <c r="S9" s="62">
        <f ca="1">AVERAGE(OFFSET($R$3,0,0,'Données projet'!$E$9+1,1))-AVERAGE(OFFSET($H$3,0,0,'Données projet'!$E$9+1,1))</f>
        <v>240.19940780300527</v>
      </c>
      <c r="T9" s="62">
        <f t="shared" si="34"/>
        <v>355.71054384071715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5.5909090909090908</v>
      </c>
      <c r="AI9" s="14">
        <f>IF('Données projet'!$A$62&gt;35,AI8+AH9-AQ8,IF(A9&lt;'Données projet'!$A$62,$AF$205^A9,IF(A9='Données projet'!$A$62,'Données projet'!$B$62,AI8+AH9-AQ8)))</f>
        <v>3.7151309075081826</v>
      </c>
      <c r="AJ9" s="14">
        <f>AI9*VLOOKUP('Données projet'!$B$10,Paramètres!$A$1:$I$89,3,0)*VLOOKUP('Données projet'!$B$10,Paramètres!$A$1:$I$89,5,0)</f>
        <v>2.2216482826898933</v>
      </c>
      <c r="AK9" s="14">
        <f t="shared" si="35"/>
        <v>0.93298436230530435</v>
      </c>
      <c r="AL9" s="22">
        <f t="shared" si="4"/>
        <v>5.4943185233666361</v>
      </c>
      <c r="AM9" s="62">
        <f t="shared" si="5"/>
        <v>298.82765185669996</v>
      </c>
      <c r="AN9" s="62">
        <f ca="1">AVERAGE(OFFSET($AM$3,0,0,'Données projet'!$E$10+1,1))-AVERAGE(OFFSET($H$3,0,0,'Données projet'!$E$10+1,1))</f>
        <v>287.69656598881124</v>
      </c>
      <c r="AO9" s="62">
        <f t="shared" si="36"/>
        <v>221.9773436301067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7.9</v>
      </c>
      <c r="BD9" s="13">
        <f>IF('Données projet'!$A$88&gt;35,BD8+BC9-BL8,IF(A9&lt;'Données projet'!$A$88,$BA$205^A9,IF(A9='Données projet'!$A$88,'Données projet'!$B$88,BD8+BC9-BL8)))</f>
        <v>4.566643676946887</v>
      </c>
      <c r="BE9" s="14">
        <f>BD9*VLOOKUP('Données projet'!$B$11,Paramètres!$A$1:$I$89,3,0)*VLOOKUP('Données projet'!$B$11,Paramètres!$A$1:$I$89,5,0)</f>
        <v>2.1371892408111433</v>
      </c>
      <c r="BF9" s="14">
        <f t="shared" si="37"/>
        <v>0.9015738804633705</v>
      </c>
      <c r="BG9" s="22">
        <f t="shared" si="7"/>
        <v>5.292512436219778</v>
      </c>
      <c r="BH9" s="62">
        <f t="shared" si="8"/>
        <v>298.62584576955311</v>
      </c>
      <c r="BI9" s="62">
        <f ca="1">AVERAGE(OFFSET($BH$3,0,0,'Données projet'!$E$11+1,1))-AVERAGE(OFFSET($H$3,0,0,'Données projet'!$E$11+1,1))</f>
        <v>310.95287409903602</v>
      </c>
      <c r="BJ9" s="62">
        <f t="shared" si="38"/>
        <v>224.10083380795163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8.3000000000000007</v>
      </c>
      <c r="BY9" s="13">
        <f>IF('Données projet'!$A$114&gt;35,BY8+BX9-CG8,IF(A9&lt;'Données projet'!$A$114,$BV$205^A9,IF(A9='Données projet'!$A$114,'Données projet'!$B$114,BY8+BX9-CG8)))</f>
        <v>14.172512719280766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8.3000000000000007</v>
      </c>
      <c r="N10" s="14">
        <f>IF('Données projet'!$A$36&gt;35,N9+M10-V9,IF(A10&lt;'Données projet'!$A$36,$K$205^A10,IF(A10='Données projet'!$A$36,'Données projet'!$B$36,N9+M10-V9)))</f>
        <v>22.047262079599165</v>
      </c>
      <c r="O10" s="14">
        <f>N10*VLOOKUP('Données projet'!$B$9,Paramètres!$A$1:$I$89,3,0)*VLOOKUP('Données projet'!$B$9,Paramètres!$A$1:$I$89,5,0)</f>
        <v>12.037805095461144</v>
      </c>
      <c r="P10" s="14">
        <f t="shared" si="33"/>
        <v>4.1526340975546745</v>
      </c>
      <c r="Q10" s="22">
        <f t="shared" si="2"/>
        <v>28.198348261169219</v>
      </c>
      <c r="R10" s="62">
        <f t="shared" si="0"/>
        <v>321.53168159450252</v>
      </c>
      <c r="S10" s="62">
        <f ca="1">AVERAGE(OFFSET($R$3,0,0,'Données projet'!$E$9+1,1))-AVERAGE(OFFSET($H$3,0,0,'Données projet'!$E$9+1,1))</f>
        <v>240.19940780300527</v>
      </c>
      <c r="T10" s="62">
        <f t="shared" si="34"/>
        <v>355.71054384071715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5.5909090909090908</v>
      </c>
      <c r="AI10" s="14">
        <f>IF('Données projet'!$A$62&gt;35,AI9+AH10-AQ9,IF(A10&lt;'Données projet'!$A$62,$AF$205^A10,IF(A10='Données projet'!$A$62,'Données projet'!$B$62,AI9+AH10-AQ9)))</f>
        <v>4.6234887814743333</v>
      </c>
      <c r="AJ10" s="14">
        <f>AI10*VLOOKUP('Données projet'!$B$10,Paramètres!$A$1:$I$89,3,0)*VLOOKUP('Données projet'!$B$10,Paramètres!$A$1:$I$89,5,0)</f>
        <v>2.7648462913216516</v>
      </c>
      <c r="AK10" s="14">
        <f t="shared" si="35"/>
        <v>1.1319117118000401</v>
      </c>
      <c r="AL10" s="22">
        <f t="shared" si="4"/>
        <v>6.7868535221036126</v>
      </c>
      <c r="AM10" s="62">
        <f t="shared" si="5"/>
        <v>300.12018685543694</v>
      </c>
      <c r="AN10" s="62">
        <f ca="1">AVERAGE(OFFSET($AM$3,0,0,'Données projet'!$E$10+1,1))-AVERAGE(OFFSET($H$3,0,0,'Données projet'!$E$10+1,1))</f>
        <v>287.69656598881124</v>
      </c>
      <c r="AO10" s="62">
        <f t="shared" si="36"/>
        <v>221.9773436301067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7.9</v>
      </c>
      <c r="BD10" s="13">
        <f>IF('Données projet'!$A$88&gt;35,BD9+BC10-BL9,IF(A10&lt;'Données projet'!$A$88,$BA$205^A10,IF(A10='Données projet'!$A$88,'Données projet'!$B$88,BD9+BC10-BL9)))</f>
        <v>5.8820671812210037</v>
      </c>
      <c r="BE10" s="14">
        <f>BD10*VLOOKUP('Données projet'!$B$11,Paramètres!$A$1:$I$89,3,0)*VLOOKUP('Données projet'!$B$11,Paramètres!$A$1:$I$89,5,0)</f>
        <v>2.7528074408114294</v>
      </c>
      <c r="BF10" s="14">
        <f t="shared" si="37"/>
        <v>1.1275556652411438</v>
      </c>
      <c r="BG10" s="22">
        <f t="shared" si="7"/>
        <v>6.7582990763748976</v>
      </c>
      <c r="BH10" s="62">
        <f t="shared" si="8"/>
        <v>300.09163240970821</v>
      </c>
      <c r="BI10" s="62">
        <f ca="1">AVERAGE(OFFSET($BH$3,0,0,'Données projet'!$E$11+1,1))-AVERAGE(OFFSET($H$3,0,0,'Données projet'!$E$11+1,1))</f>
        <v>310.95287409903602</v>
      </c>
      <c r="BJ10" s="62">
        <f t="shared" si="38"/>
        <v>224.10083380795163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8.3000000000000007</v>
      </c>
      <c r="BY10" s="13">
        <f>IF('Données projet'!$A$114&gt;35,BY9+BX10-CG9,IF(A10&lt;'Données projet'!$A$114,$BV$205^A10,IF(A10='Données projet'!$A$114,'Données projet'!$B$114,BY9+BX10-CG9)))</f>
        <v>22.047262079599165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8.3000000000000007</v>
      </c>
      <c r="N11" s="14">
        <f>IF('Données projet'!$A$36&gt;35,N10+M11-V10,IF(A11&lt;'Données projet'!$A$36,$K$205^A11,IF(A11='Données projet'!$A$36,'Données projet'!$B$36,N10+M11-V10)))</f>
        <v>34.297500720902455</v>
      </c>
      <c r="O11" s="14">
        <f>N11*VLOOKUP('Données projet'!$B$9,Paramètres!$A$1:$I$89,3,0)*VLOOKUP('Données projet'!$B$9,Paramètres!$A$1:$I$89,5,0)</f>
        <v>18.726435393612743</v>
      </c>
      <c r="P11" s="14">
        <f t="shared" si="33"/>
        <v>6.1361138068825287</v>
      </c>
      <c r="Q11" s="22">
        <f t="shared" si="2"/>
        <v>43.302273190862593</v>
      </c>
      <c r="R11" s="62">
        <f t="shared" si="0"/>
        <v>336.63560652419591</v>
      </c>
      <c r="S11" s="62">
        <f ca="1">AVERAGE(OFFSET($R$3,0,0,'Données projet'!$E$9+1,1))-AVERAGE(OFFSET($H$3,0,0,'Données projet'!$E$9+1,1))</f>
        <v>240.19940780300527</v>
      </c>
      <c r="T11" s="62">
        <f t="shared" si="34"/>
        <v>355.71054384071715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5.5909090909090908</v>
      </c>
      <c r="AI11" s="14">
        <f>IF('Données projet'!$A$62&gt;35,AI10+AH11-AQ10,IF(A11&lt;'Données projet'!$A$62,$AF$205^A11,IF(A11='Données projet'!$A$62,'Données projet'!$B$62,AI10+AH11-AQ10)))</f>
        <v>5.7539422013952093</v>
      </c>
      <c r="AJ11" s="14">
        <f>AI11*VLOOKUP('Données projet'!$B$10,Paramètres!$A$1:$I$89,3,0)*VLOOKUP('Données projet'!$B$10,Paramètres!$A$1:$I$89,5,0)</f>
        <v>3.4408574364343356</v>
      </c>
      <c r="AK11" s="14">
        <f t="shared" si="35"/>
        <v>1.3732535882427113</v>
      </c>
      <c r="AL11" s="22">
        <f t="shared" si="4"/>
        <v>8.3845767013125236</v>
      </c>
      <c r="AM11" s="62">
        <f t="shared" si="5"/>
        <v>301.71791003464585</v>
      </c>
      <c r="AN11" s="62">
        <f ca="1">AVERAGE(OFFSET($AM$3,0,0,'Données projet'!$E$10+1,1))-AVERAGE(OFFSET($H$3,0,0,'Données projet'!$E$10+1,1))</f>
        <v>287.69656598881124</v>
      </c>
      <c r="AO11" s="62">
        <f t="shared" si="36"/>
        <v>221.9773436301067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7.9</v>
      </c>
      <c r="BD11" s="13">
        <f>IF('Données projet'!$A$88&gt;35,BD10+BC11-BL10,IF(A11&lt;'Données projet'!$A$88,$BA$205^A11,IF(A11='Données projet'!$A$88,'Données projet'!$B$88,BD10+BC11-BL10)))</f>
        <v>7.5763989424129567</v>
      </c>
      <c r="BE11" s="14">
        <f>BD11*VLOOKUP('Données projet'!$B$11,Paramètres!$A$1:$I$89,3,0)*VLOOKUP('Données projet'!$B$11,Paramètres!$A$1:$I$89,5,0)</f>
        <v>3.5457547050492639</v>
      </c>
      <c r="BF11" s="14">
        <f t="shared" si="37"/>
        <v>1.4101803587787649</v>
      </c>
      <c r="BG11" s="22">
        <f t="shared" si="7"/>
        <v>8.631586902833817</v>
      </c>
      <c r="BH11" s="62">
        <f t="shared" si="8"/>
        <v>301.96492023616713</v>
      </c>
      <c r="BI11" s="62">
        <f ca="1">AVERAGE(OFFSET($BH$3,0,0,'Données projet'!$E$11+1,1))-AVERAGE(OFFSET($H$3,0,0,'Données projet'!$E$11+1,1))</f>
        <v>310.95287409903602</v>
      </c>
      <c r="BJ11" s="62">
        <f t="shared" si="38"/>
        <v>224.10083380795163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8.3000000000000007</v>
      </c>
      <c r="BY11" s="13">
        <f>IF('Données projet'!$A$114&gt;35,BY10+BX11-CG10,IF(A11&lt;'Données projet'!$A$114,$BV$205^A11,IF(A11='Données projet'!$A$114,'Données projet'!$B$114,BY10+BX11-CG10)))</f>
        <v>34.297500720902455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8.3000000000000007</v>
      </c>
      <c r="N12" s="14">
        <f>IF('Données projet'!$A$36&gt;35,N11+M12-V11,IF(A12&lt;'Données projet'!$A$36,$K$205^A12,IF(A12='Données projet'!$A$36,'Données projet'!$B$36,N11+M12-V11)))</f>
        <v>53.354405252377298</v>
      </c>
      <c r="O12" s="14">
        <f>N12*VLOOKUP('Données projet'!$B$9,Paramètres!$A$1:$I$89,3,0)*VLOOKUP('Données projet'!$B$9,Paramètres!$A$1:$I$89,5,0)</f>
        <v>29.131505267798005</v>
      </c>
      <c r="P12" s="14">
        <f t="shared" si="33"/>
        <v>9.0669901962193347</v>
      </c>
      <c r="Q12" s="22">
        <f t="shared" si="2"/>
        <v>66.529046266496863</v>
      </c>
      <c r="R12" s="62">
        <f t="shared" si="0"/>
        <v>359.86237959983021</v>
      </c>
      <c r="S12" s="62">
        <f ca="1">AVERAGE(OFFSET($R$3,0,0,'Données projet'!$E$9+1,1))-AVERAGE(OFFSET($H$3,0,0,'Données projet'!$E$9+1,1))</f>
        <v>240.19940780300527</v>
      </c>
      <c r="T12" s="62">
        <f t="shared" si="34"/>
        <v>355.71054384071715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5.5909090909090908</v>
      </c>
      <c r="AI12" s="14">
        <f>IF('Données projet'!$A$62&gt;35,AI11+AH12-AQ11,IF(A12&lt;'Données projet'!$A$62,$AF$205^A12,IF(A12='Données projet'!$A$62,'Données projet'!$B$62,AI11+AH12-AQ11)))</f>
        <v>7.1607940284521145</v>
      </c>
      <c r="AJ12" s="14">
        <f>AI12*VLOOKUP('Données projet'!$B$10,Paramètres!$A$1:$I$89,3,0)*VLOOKUP('Données projet'!$B$10,Paramètres!$A$1:$I$89,5,0)</f>
        <v>4.2821548290143649</v>
      </c>
      <c r="AK12" s="14">
        <f t="shared" si="35"/>
        <v>1.6660534544894132</v>
      </c>
      <c r="AL12" s="22">
        <f t="shared" si="4"/>
        <v>10.359796093769079</v>
      </c>
      <c r="AM12" s="62">
        <f t="shared" si="5"/>
        <v>303.69312942710241</v>
      </c>
      <c r="AN12" s="62">
        <f ca="1">AVERAGE(OFFSET($AM$3,0,0,'Données projet'!$E$10+1,1))-AVERAGE(OFFSET($H$3,0,0,'Données projet'!$E$10+1,1))</f>
        <v>287.69656598881124</v>
      </c>
      <c r="AO12" s="62">
        <f t="shared" si="36"/>
        <v>221.9773436301067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7.9</v>
      </c>
      <c r="BD12" s="13">
        <f>IF('Données projet'!$A$88&gt;35,BD11+BC12-BL11,IF(A12&lt;'Données projet'!$A$88,$BA$205^A12,IF(A12='Données projet'!$A$88,'Données projet'!$B$88,BD11+BC12-BL11)))</f>
        <v>9.7587836327093171</v>
      </c>
      <c r="BE12" s="14">
        <f>BD12*VLOOKUP('Données projet'!$B$11,Paramètres!$A$1:$I$89,3,0)*VLOOKUP('Données projet'!$B$11,Paramètres!$A$1:$I$89,5,0)</f>
        <v>4.5671107401079603</v>
      </c>
      <c r="BF12" s="14">
        <f t="shared" si="37"/>
        <v>1.763645650133036</v>
      </c>
      <c r="BG12" s="22">
        <f t="shared" si="7"/>
        <v>11.026067379669733</v>
      </c>
      <c r="BH12" s="62">
        <f t="shared" si="8"/>
        <v>304.35940071300303</v>
      </c>
      <c r="BI12" s="62">
        <f ca="1">AVERAGE(OFFSET($BH$3,0,0,'Données projet'!$E$11+1,1))-AVERAGE(OFFSET($H$3,0,0,'Données projet'!$E$11+1,1))</f>
        <v>310.95287409903602</v>
      </c>
      <c r="BJ12" s="62">
        <f t="shared" si="38"/>
        <v>224.10083380795163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8.3000000000000007</v>
      </c>
      <c r="BY12" s="13">
        <f>IF('Données projet'!$A$114&gt;35,BY11+BX12-CG11,IF(A12&lt;'Données projet'!$A$114,$BV$205^A12,IF(A12='Données projet'!$A$114,'Données projet'!$B$114,BY11+BX12-CG11)))</f>
        <v>53.354405252377298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>
        <f>VLOOKUP(A13,'Données projet'!$A$35:$I$55,2,0)</f>
        <v>83</v>
      </c>
      <c r="L13" s="13">
        <f>VLOOKUP(A13,'Données projet'!$A$35:$I$55,9,0)</f>
        <v>8.3000000000000007</v>
      </c>
      <c r="M13" s="13">
        <f t="array" ref="M13">INDEX(L:L,MIN(IF(ISNUMBER(L13:L209),ROW(L13:L209),"")))</f>
        <v>8.3000000000000007</v>
      </c>
      <c r="N13" s="14">
        <f>IF('Données projet'!$A$36&gt;35,N12+M13-V12,IF(A13&lt;'Données projet'!$A$36,$K$205^A13,IF(A13='Données projet'!$A$36,'Données projet'!$B$36,N12+M13-V12)))</f>
        <v>83</v>
      </c>
      <c r="O13" s="14">
        <f>N13*VLOOKUP('Données projet'!$B$9,Paramètres!$A$1:$I$89,3,0)*VLOOKUP('Données projet'!$B$9,Paramètres!$A$1:$I$89,5,0)</f>
        <v>45.317999999999998</v>
      </c>
      <c r="P13" s="14">
        <f t="shared" si="33"/>
        <v>13.397781365483629</v>
      </c>
      <c r="Q13" s="22">
        <f t="shared" si="2"/>
        <v>102.26331921155065</v>
      </c>
      <c r="R13" s="62">
        <f t="shared" si="0"/>
        <v>395.59665254488397</v>
      </c>
      <c r="S13" s="62">
        <f ca="1">AVERAGE(OFFSET($R$3,0,0,'Données projet'!$E$9+1,1))-AVERAGE(OFFSET($H$3,0,0,'Données projet'!$E$9+1,1))</f>
        <v>240.19940780300527</v>
      </c>
      <c r="T13" s="62">
        <f t="shared" si="34"/>
        <v>355.71054384071715</v>
      </c>
      <c r="U13" s="16">
        <f>IF(ISNA(VLOOKUP(A13,'Données projet'!$A$35:$I$55,3,0)),0,VLOOKUP(A13,'Données projet'!$A$35:$I$55,3,0))</f>
        <v>1</v>
      </c>
      <c r="V13" s="16">
        <f>IF(ISNA(VLOOKUP(A13,'Données projet'!$A$35:$I$55,4,0)),0,VLOOKUP(A13,'Données projet'!$A$35:$I$55,4,0))</f>
        <v>26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1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16.073169695685706</v>
      </c>
      <c r="AC13" s="24">
        <f t="shared" si="3"/>
        <v>16.073169695685706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5.5909090909090908</v>
      </c>
      <c r="AI13" s="14">
        <f>IF('Données projet'!$A$62&gt;35,AI12+AH13-AQ12,IF(A13&lt;'Données projet'!$A$62,$AF$205^A13,IF(A13='Données projet'!$A$62,'Données projet'!$B$62,AI12+AH13-AQ12)))</f>
        <v>8.9116242956840761</v>
      </c>
      <c r="AJ13" s="14">
        <f>AI13*VLOOKUP('Données projet'!$B$10,Paramètres!$A$1:$I$89,3,0)*VLOOKUP('Données projet'!$B$10,Paramètres!$A$1:$I$89,5,0)</f>
        <v>5.3291513288190782</v>
      </c>
      <c r="AK13" s="14">
        <f t="shared" si="35"/>
        <v>2.0212829858817885</v>
      </c>
      <c r="AL13" s="22">
        <f t="shared" si="4"/>
        <v>12.802006431437341</v>
      </c>
      <c r="AM13" s="62">
        <f t="shared" si="5"/>
        <v>306.13533976477066</v>
      </c>
      <c r="AN13" s="62">
        <f ca="1">AVERAGE(OFFSET($AM$3,0,0,'Données projet'!$E$10+1,1))-AVERAGE(OFFSET($H$3,0,0,'Données projet'!$E$10+1,1))</f>
        <v>287.69656598881124</v>
      </c>
      <c r="AO13" s="62">
        <f t="shared" si="36"/>
        <v>221.9773436301067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7.9</v>
      </c>
      <c r="BD13" s="13">
        <f>IF('Données projet'!$A$88&gt;35,BD12+BC13-BL12,IF(A13&lt;'Données projet'!$A$88,$BA$205^A13,IF(A13='Données projet'!$A$88,'Données projet'!$B$88,BD12+BC13-BL12)))</f>
        <v>12.569805089976542</v>
      </c>
      <c r="BE13" s="14">
        <f>BD13*VLOOKUP('Données projet'!$B$11,Paramètres!$A$1:$I$89,3,0)*VLOOKUP('Données projet'!$B$11,Paramètres!$A$1:$I$89,5,0)</f>
        <v>5.8826687821090227</v>
      </c>
      <c r="BF13" s="14">
        <f t="shared" si="37"/>
        <v>2.2057079152108381</v>
      </c>
      <c r="BG13" s="22">
        <f t="shared" si="7"/>
        <v>14.087256081165423</v>
      </c>
      <c r="BH13" s="62">
        <f t="shared" si="8"/>
        <v>307.42058941449875</v>
      </c>
      <c r="BI13" s="62">
        <f ca="1">AVERAGE(OFFSET($BH$3,0,0,'Données projet'!$E$11+1,1))-AVERAGE(OFFSET($H$3,0,0,'Données projet'!$E$11+1,1))</f>
        <v>310.95287409903602</v>
      </c>
      <c r="BJ13" s="62">
        <f t="shared" si="38"/>
        <v>224.10083380795163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>
        <f>VLOOKUP(A13,'Données projet'!$A$113:$I$133,2,0)</f>
        <v>83</v>
      </c>
      <c r="BW13" s="13">
        <f>VLOOKUP(A13,'Données projet'!$A$113:$I$133,9,0)</f>
        <v>8.3000000000000007</v>
      </c>
      <c r="BX13" s="13">
        <f t="array" ref="BX13">INDEX(BW:BW,MIN(IF(ISNUMBER(BW13:BW209),ROW(BW13:BW209),"")))</f>
        <v>8.3000000000000007</v>
      </c>
      <c r="BY13" s="13">
        <f>IF('Données projet'!$A$114&gt;35,BY12+BX13-CG12,IF(A13&lt;'Données projet'!$A$114,$BV$205^A13,IF(A13='Données projet'!$A$114,'Données projet'!$B$114,BY12+BX13-CG12)))</f>
        <v>83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1</v>
      </c>
      <c r="CG13" s="16">
        <f>IF(ISNA(VLOOKUP(A13,'Données projet'!$A$113:$I$133,4,0)),0,VLOOKUP(A13,'Données projet'!$A$113:$I$133,4,0))</f>
        <v>26</v>
      </c>
      <c r="CH13" s="17" t="e">
        <f>IF(ISNA(VLOOKUP(A13,'Données projet'!$A$113:$I$133,5,0)),0%,VLOOKUP(A13,'Données projet'!$A$113:$I$133,5,0)*VLOOKUP('Données projet'!$B$12,Paramètres!$A$1:$I$89,7,0))</f>
        <v>#N/A</v>
      </c>
      <c r="CI13" s="17" t="e">
        <f>IF(ISNA(VLOOKUP(A13,'Données projet'!$A$113:$I$133,6,0)),0%,VLOOKUP(A13,'Données projet'!$A$113:$I$133,6,0)*VLOOKUP('Données projet'!$B$12,Paramètres!$A$1:$I$89,7,0))</f>
        <v>#N/A</v>
      </c>
      <c r="CJ13" s="17">
        <f>IF(ISNA(VLOOKUP(A13,'Données projet'!$A$113:$I$133,7,0)),0%,VLOOKUP(A13,'Données projet'!$A$113:$I$133,7,0))</f>
        <v>1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23.6</v>
      </c>
      <c r="N14" s="14">
        <f>IF('Données projet'!$A$36&gt;35,N13+M14-V13,IF(A14&lt;'Données projet'!$A$36,$K$205^A14,IF(A14='Données projet'!$A$36,'Données projet'!$B$36,N13+M14-V13)))</f>
        <v>80.599999999999994</v>
      </c>
      <c r="O14" s="14">
        <f>N14*VLOOKUP('Données projet'!$B$9,Paramètres!$A$1:$I$89,3,0)*VLOOKUP('Données projet'!$B$9,Paramètres!$A$1:$I$89,5,0)</f>
        <v>44.007599999999996</v>
      </c>
      <c r="P14" s="14">
        <f t="shared" si="33"/>
        <v>13.054887296903958</v>
      </c>
      <c r="Q14" s="22">
        <f t="shared" si="2"/>
        <v>99.383832042107713</v>
      </c>
      <c r="R14" s="62">
        <f t="shared" si="0"/>
        <v>392.71716537544103</v>
      </c>
      <c r="S14" s="62">
        <f ca="1">AVERAGE(OFFSET($R$3,0,0,'Données projet'!$E$9+1,1))-AVERAGE(OFFSET($H$3,0,0,'Données projet'!$E$9+1,1))</f>
        <v>240.19940780300527</v>
      </c>
      <c r="T14" s="62">
        <f t="shared" si="34"/>
        <v>355.71054384071715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11.36544728698148</v>
      </c>
      <c r="AC14" s="24">
        <f t="shared" si="3"/>
        <v>11.36544728698148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5.5909090909090908</v>
      </c>
      <c r="AI14" s="14">
        <f>IF('Données projet'!$A$62&gt;35,AI13+AH14-AQ13,IF(A14&lt;'Données projet'!$A$62,$AF$205^A14,IF(A14='Données projet'!$A$62,'Données projet'!$B$62,AI13+AH14-AQ13)))</f>
        <v>11.090536506409412</v>
      </c>
      <c r="AJ14" s="14">
        <f>AI14*VLOOKUP('Données projet'!$B$10,Paramètres!$A$1:$I$89,3,0)*VLOOKUP('Données projet'!$B$10,Paramètres!$A$1:$I$89,5,0)</f>
        <v>6.6321408308328289</v>
      </c>
      <c r="AK14" s="14">
        <f t="shared" si="35"/>
        <v>2.4522531963221348</v>
      </c>
      <c r="AL14" s="22">
        <f t="shared" si="4"/>
        <v>15.821986263961561</v>
      </c>
      <c r="AM14" s="62">
        <f t="shared" si="5"/>
        <v>309.15531959729486</v>
      </c>
      <c r="AN14" s="62">
        <f ca="1">AVERAGE(OFFSET($AM$3,0,0,'Données projet'!$E$10+1,1))-AVERAGE(OFFSET($H$3,0,0,'Données projet'!$E$10+1,1))</f>
        <v>287.69656598881124</v>
      </c>
      <c r="AO14" s="62">
        <f t="shared" si="36"/>
        <v>221.9773436301067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7.9</v>
      </c>
      <c r="BD14" s="13">
        <f>IF('Données projet'!$A$88&gt;35,BD13+BC14-BL13,IF(A14&lt;'Données projet'!$A$88,$BA$205^A14,IF(A14='Données projet'!$A$88,'Données projet'!$B$88,BD13+BC14-BL13)))</f>
        <v>16.190542381779895</v>
      </c>
      <c r="BE14" s="14">
        <f>BD14*VLOOKUP('Données projet'!$B$11,Paramètres!$A$1:$I$89,3,0)*VLOOKUP('Données projet'!$B$11,Paramètres!$A$1:$I$89,5,0)</f>
        <v>7.5771738346729904</v>
      </c>
      <c r="BF14" s="14">
        <f t="shared" si="37"/>
        <v>2.7585742106736397</v>
      </c>
      <c r="BG14" s="22">
        <f t="shared" si="7"/>
        <v>18.001427845645381</v>
      </c>
      <c r="BH14" s="62">
        <f t="shared" si="8"/>
        <v>311.33476117897868</v>
      </c>
      <c r="BI14" s="62">
        <f ca="1">AVERAGE(OFFSET($BH$3,0,0,'Données projet'!$E$11+1,1))-AVERAGE(OFFSET($H$3,0,0,'Données projet'!$E$11+1,1))</f>
        <v>310.95287409903602</v>
      </c>
      <c r="BJ14" s="62">
        <f t="shared" si="38"/>
        <v>224.10083380795163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23.6</v>
      </c>
      <c r="BY14" s="13">
        <f>IF('Données projet'!$A$114&gt;35,BY13+BX14-CG13,IF(A14&lt;'Données projet'!$A$114,$BV$205^A14,IF(A14='Données projet'!$A$114,'Données projet'!$B$114,BY13+BX14-CG13)))</f>
        <v>80.599999999999994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23.6</v>
      </c>
      <c r="N15" s="14">
        <f>IF('Données projet'!$A$36&gt;35,N14+M15-V14,IF(A15&lt;'Données projet'!$A$36,$K$205^A15,IF(A15='Données projet'!$A$36,'Données projet'!$B$36,N14+M15-V14)))</f>
        <v>104.19999999999999</v>
      </c>
      <c r="O15" s="14">
        <f>N15*VLOOKUP('Données projet'!$B$9,Paramètres!$A$1:$I$89,3,0)*VLOOKUP('Données projet'!$B$9,Paramètres!$A$1:$I$89,5,0)</f>
        <v>56.893199999999993</v>
      </c>
      <c r="P15" s="14">
        <f t="shared" si="33"/>
        <v>16.380358422910444</v>
      </c>
      <c r="Q15" s="22">
        <f t="shared" si="2"/>
        <v>127.61811425323567</v>
      </c>
      <c r="R15" s="62">
        <f t="shared" si="0"/>
        <v>420.95144758656897</v>
      </c>
      <c r="S15" s="62">
        <f ca="1">AVERAGE(OFFSET($R$3,0,0,'Données projet'!$E$9+1,1))-AVERAGE(OFFSET($H$3,0,0,'Données projet'!$E$9+1,1))</f>
        <v>240.19940780300527</v>
      </c>
      <c r="T15" s="62">
        <f t="shared" si="34"/>
        <v>355.71054384071715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8.036584847842855</v>
      </c>
      <c r="AC15" s="24">
        <f t="shared" si="3"/>
        <v>8.036584847842855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5.5909090909090908</v>
      </c>
      <c r="AI15" s="14">
        <f>IF('Données projet'!$A$62&gt;35,AI14+AH15-AQ14,IF(A15&lt;'Données projet'!$A$62,$AF$205^A15,IF(A15='Données projet'!$A$62,'Données projet'!$B$62,AI14+AH15-AQ14)))</f>
        <v>13.802197659922571</v>
      </c>
      <c r="AJ15" s="14">
        <f>AI15*VLOOKUP('Données projet'!$B$10,Paramètres!$A$1:$I$89,3,0)*VLOOKUP('Données projet'!$B$10,Paramètres!$A$1:$I$89,5,0)</f>
        <v>8.2537142006336985</v>
      </c>
      <c r="AK15" s="14">
        <f t="shared" si="35"/>
        <v>2.9751132230743558</v>
      </c>
      <c r="AL15" s="22">
        <f t="shared" si="4"/>
        <v>19.556874429624859</v>
      </c>
      <c r="AM15" s="62">
        <f t="shared" si="5"/>
        <v>312.8902077629582</v>
      </c>
      <c r="AN15" s="62">
        <f ca="1">AVERAGE(OFFSET($AM$3,0,0,'Données projet'!$E$10+1,1))-AVERAGE(OFFSET($H$3,0,0,'Données projet'!$E$10+1,1))</f>
        <v>287.69656598881124</v>
      </c>
      <c r="AO15" s="62">
        <f t="shared" si="36"/>
        <v>221.9773436301067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7.9</v>
      </c>
      <c r="BD15" s="13">
        <f>IF('Données projet'!$A$88&gt;35,BD14+BC15-BL14,IF(A15&lt;'Données projet'!$A$88,$BA$205^A15,IF(A15='Données projet'!$A$88,'Données projet'!$B$88,BD14+BC15-BL14)))</f>
        <v>20.854234472198982</v>
      </c>
      <c r="BE15" s="14">
        <f>BD15*VLOOKUP('Données projet'!$B$11,Paramètres!$A$1:$I$89,3,0)*VLOOKUP('Données projet'!$B$11,Paramètres!$A$1:$I$89,5,0)</f>
        <v>9.7597817329891239</v>
      </c>
      <c r="BF15" s="14">
        <f t="shared" si="37"/>
        <v>3.4500178483814818</v>
      </c>
      <c r="BG15" s="22">
        <f t="shared" si="7"/>
        <v>23.00706760422047</v>
      </c>
      <c r="BH15" s="62">
        <f t="shared" si="8"/>
        <v>316.3404009375538</v>
      </c>
      <c r="BI15" s="62">
        <f ca="1">AVERAGE(OFFSET($BH$3,0,0,'Données projet'!$E$11+1,1))-AVERAGE(OFFSET($H$3,0,0,'Données projet'!$E$11+1,1))</f>
        <v>310.95287409903602</v>
      </c>
      <c r="BJ15" s="62">
        <f t="shared" si="38"/>
        <v>224.10083380795163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23.6</v>
      </c>
      <c r="BY15" s="13">
        <f>IF('Données projet'!$A$114&gt;35,BY14+BX15-CG14,IF(A15&lt;'Données projet'!$A$114,$BV$205^A15,IF(A15='Données projet'!$A$114,'Données projet'!$B$114,BY14+BX15-CG14)))</f>
        <v>104.19999999999999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23.6</v>
      </c>
      <c r="N16" s="14">
        <f>IF('Données projet'!$A$36&gt;35,N15+M16-V15,IF(A16&lt;'Données projet'!$A$36,$K$205^A16,IF(A16='Données projet'!$A$36,'Données projet'!$B$36,N15+M16-V15)))</f>
        <v>127.79999999999998</v>
      </c>
      <c r="O16" s="14">
        <f>N16*VLOOKUP('Données projet'!$B$9,Paramètres!$A$1:$I$89,3,0)*VLOOKUP('Données projet'!$B$9,Paramètres!$A$1:$I$89,5,0)</f>
        <v>69.77879999999999</v>
      </c>
      <c r="P16" s="14">
        <f t="shared" si="33"/>
        <v>19.618515700802106</v>
      </c>
      <c r="Q16" s="22">
        <f t="shared" si="2"/>
        <v>155.70032484556364</v>
      </c>
      <c r="R16" s="62">
        <f t="shared" si="0"/>
        <v>449.03365817889699</v>
      </c>
      <c r="S16" s="62">
        <f ca="1">AVERAGE(OFFSET($R$3,0,0,'Données projet'!$E$9+1,1))-AVERAGE(OFFSET($H$3,0,0,'Données projet'!$E$9+1,1))</f>
        <v>240.19940780300527</v>
      </c>
      <c r="T16" s="62">
        <f t="shared" si="34"/>
        <v>355.71054384071715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5.6827236434907418</v>
      </c>
      <c r="AC16" s="24">
        <f t="shared" si="3"/>
        <v>5.6827236434907418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5.5909090909090908</v>
      </c>
      <c r="AI16" s="14">
        <f>IF('Données projet'!$A$62&gt;35,AI15+AH16-AQ15,IF(A16&lt;'Données projet'!$A$62,$AF$205^A16,IF(A16='Données projet'!$A$62,'Données projet'!$B$62,AI15+AH16-AQ15)))</f>
        <v>17.17686607257264</v>
      </c>
      <c r="AJ16" s="14">
        <f>AI16*VLOOKUP('Données projet'!$B$10,Paramètres!$A$1:$I$89,3,0)*VLOOKUP('Données projet'!$B$10,Paramètres!$A$1:$I$89,5,0)</f>
        <v>10.27176591139844</v>
      </c>
      <c r="AK16" s="14">
        <f t="shared" si="35"/>
        <v>3.609455460548272</v>
      </c>
      <c r="AL16" s="22">
        <f t="shared" si="4"/>
        <v>24.176460556140523</v>
      </c>
      <c r="AM16" s="62">
        <f t="shared" si="5"/>
        <v>317.50979388947383</v>
      </c>
      <c r="AN16" s="62">
        <f ca="1">AVERAGE(OFFSET($AM$3,0,0,'Données projet'!$E$10+1,1))-AVERAGE(OFFSET($H$3,0,0,'Données projet'!$E$10+1,1))</f>
        <v>287.69656598881124</v>
      </c>
      <c r="AO16" s="62">
        <f t="shared" si="36"/>
        <v>221.9773436301067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7.9</v>
      </c>
      <c r="BD16" s="13">
        <f>IF('Données projet'!$A$88&gt;35,BD15+BC16-BL15,IF(A16&lt;'Données projet'!$A$88,$BA$205^A16,IF(A16='Données projet'!$A$88,'Données projet'!$B$88,BD15+BC16-BL15)))</f>
        <v>26.861304900499697</v>
      </c>
      <c r="BE16" s="14">
        <f>BD16*VLOOKUP('Données projet'!$B$11,Paramètres!$A$1:$I$89,3,0)*VLOOKUP('Données projet'!$B$11,Paramètres!$A$1:$I$89,5,0)</f>
        <v>12.571090693433858</v>
      </c>
      <c r="BF16" s="14">
        <f t="shared" si="37"/>
        <v>4.3147735914069099</v>
      </c>
      <c r="BG16" s="22">
        <f t="shared" si="7"/>
        <v>29.409546962764335</v>
      </c>
      <c r="BH16" s="62">
        <f t="shared" si="8"/>
        <v>322.74288029609767</v>
      </c>
      <c r="BI16" s="62">
        <f ca="1">AVERAGE(OFFSET($BH$3,0,0,'Données projet'!$E$11+1,1))-AVERAGE(OFFSET($H$3,0,0,'Données projet'!$E$11+1,1))</f>
        <v>310.95287409903602</v>
      </c>
      <c r="BJ16" s="62">
        <f t="shared" si="38"/>
        <v>224.10083380795163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23.6</v>
      </c>
      <c r="BY16" s="13">
        <f>IF('Données projet'!$A$114&gt;35,BY15+BX16-CG15,IF(A16&lt;'Données projet'!$A$114,$BV$205^A16,IF(A16='Données projet'!$A$114,'Données projet'!$B$114,BY15+BX16-CG15)))</f>
        <v>127.79999999999998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23.6</v>
      </c>
      <c r="N17" s="14">
        <f>IF('Données projet'!$A$36&gt;35,N16+M17-V16,IF(A17&lt;'Données projet'!$A$36,$K$205^A17,IF(A17='Données projet'!$A$36,'Données projet'!$B$36,N16+M17-V16)))</f>
        <v>151.39999999999998</v>
      </c>
      <c r="O17" s="14">
        <f>N17*VLOOKUP('Données projet'!$B$9,Paramètres!$A$1:$I$89,3,0)*VLOOKUP('Données projet'!$B$9,Paramètres!$A$1:$I$89,5,0)</f>
        <v>82.664399999999986</v>
      </c>
      <c r="P17" s="14">
        <f t="shared" si="33"/>
        <v>22.787396402913611</v>
      </c>
      <c r="Q17" s="22">
        <f t="shared" si="2"/>
        <v>183.66187873507451</v>
      </c>
      <c r="R17" s="62">
        <f t="shared" si="0"/>
        <v>476.9952120684078</v>
      </c>
      <c r="S17" s="62">
        <f ca="1">AVERAGE(OFFSET($R$3,0,0,'Données projet'!$E$9+1,1))-AVERAGE(OFFSET($H$3,0,0,'Données projet'!$E$9+1,1))</f>
        <v>240.19940780300527</v>
      </c>
      <c r="T17" s="62">
        <f t="shared" si="34"/>
        <v>355.71054384071715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4.0182924239214284</v>
      </c>
      <c r="AC17" s="24">
        <f t="shared" si="3"/>
        <v>4.0182924239214284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5.5909090909090908</v>
      </c>
      <c r="AI17" s="14">
        <f>IF('Données projet'!$A$62&gt;35,AI16+AH17-AQ16,IF(A17&lt;'Données projet'!$A$62,$AF$205^A17,IF(A17='Données projet'!$A$62,'Données projet'!$B$62,AI16+AH17-AQ16)))</f>
        <v>21.376648512419013</v>
      </c>
      <c r="AJ17" s="14">
        <f>AI17*VLOOKUP('Données projet'!$B$10,Paramètres!$A$1:$I$89,3,0)*VLOOKUP('Données projet'!$B$10,Paramètres!$A$1:$I$89,5,0)</f>
        <v>12.783235810426572</v>
      </c>
      <c r="AK17" s="14">
        <f t="shared" si="35"/>
        <v>4.3790497183898731</v>
      </c>
      <c r="AL17" s="22">
        <f t="shared" si="4"/>
        <v>29.890980629355308</v>
      </c>
      <c r="AM17" s="62">
        <f t="shared" si="5"/>
        <v>323.2243139626886</v>
      </c>
      <c r="AN17" s="62">
        <f ca="1">AVERAGE(OFFSET($AM$3,0,0,'Données projet'!$E$10+1,1))-AVERAGE(OFFSET($H$3,0,0,'Données projet'!$E$10+1,1))</f>
        <v>287.69656598881124</v>
      </c>
      <c r="AO17" s="62">
        <f t="shared" si="36"/>
        <v>221.9773436301067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7.9</v>
      </c>
      <c r="BD17" s="13">
        <f>IF('Données projet'!$A$88&gt;35,BD16+BC17-BL16,IF(A17&lt;'Données projet'!$A$88,$BA$205^A17,IF(A17='Données projet'!$A$88,'Données projet'!$B$88,BD16+BC17-BL16)))</f>
        <v>34.598714324397214</v>
      </c>
      <c r="BE17" s="14">
        <f>BD17*VLOOKUP('Données projet'!$B$11,Paramètres!$A$1:$I$89,3,0)*VLOOKUP('Données projet'!$B$11,Paramètres!$A$1:$I$89,5,0)</f>
        <v>16.192198303817896</v>
      </c>
      <c r="BF17" s="14">
        <f t="shared" si="37"/>
        <v>5.3962825594761723</v>
      </c>
      <c r="BG17" s="22">
        <f t="shared" si="7"/>
        <v>37.599937503570509</v>
      </c>
      <c r="BH17" s="62">
        <f t="shared" si="8"/>
        <v>330.93327083690383</v>
      </c>
      <c r="BI17" s="62">
        <f ca="1">AVERAGE(OFFSET($BH$3,0,0,'Données projet'!$E$11+1,1))-AVERAGE(OFFSET($H$3,0,0,'Données projet'!$E$11+1,1))</f>
        <v>310.95287409903602</v>
      </c>
      <c r="BJ17" s="62">
        <f t="shared" si="38"/>
        <v>224.10083380795163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23.6</v>
      </c>
      <c r="BY17" s="13">
        <f>IF('Données projet'!$A$114&gt;35,BY16+BX17-CG16,IF(A17&lt;'Données projet'!$A$114,$BV$205^A17,IF(A17='Données projet'!$A$114,'Données projet'!$B$114,BY16+BX17-CG16)))</f>
        <v>151.39999999999998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175</v>
      </c>
      <c r="L18" s="13">
        <f>VLOOKUP(A18,'Données projet'!$A$35:$I$55,9,0)</f>
        <v>23.6</v>
      </c>
      <c r="M18" s="13">
        <f t="array" ref="M18">INDEX(L:L,MIN(IF(ISNUMBER(L18:L214),ROW(L18:L214),"")))</f>
        <v>23.6</v>
      </c>
      <c r="N18" s="14">
        <f>IF('Données projet'!$A$36&gt;35,N17+M18-V17,IF(A18&lt;'Données projet'!$A$36,$K$205^A18,IF(A18='Données projet'!$A$36,'Données projet'!$B$36,N17+M18-V17)))</f>
        <v>174.99999999999997</v>
      </c>
      <c r="O18" s="14">
        <f>N18*VLOOKUP('Données projet'!$B$9,Paramètres!$A$1:$I$89,3,0)*VLOOKUP('Données projet'!$B$9,Paramètres!$A$1:$I$89,5,0)</f>
        <v>95.549999999999983</v>
      </c>
      <c r="P18" s="14">
        <f t="shared" si="33"/>
        <v>25.899054157375318</v>
      </c>
      <c r="Q18" s="22">
        <f t="shared" si="2"/>
        <v>211.5237693240953</v>
      </c>
      <c r="R18" s="62">
        <f t="shared" si="0"/>
        <v>504.85710265742864</v>
      </c>
      <c r="S18" s="62">
        <f ca="1">AVERAGE(OFFSET($R$3,0,0,'Données projet'!$E$9+1,1))-AVERAGE(OFFSET($H$3,0,0,'Données projet'!$E$9+1,1))</f>
        <v>240.19940780300527</v>
      </c>
      <c r="T18" s="62">
        <f t="shared" si="34"/>
        <v>355.71054384071715</v>
      </c>
      <c r="U18" s="16">
        <f>IF(ISNA(VLOOKUP(A18,'Données projet'!$A$35:$I$55,3,0)),0,VLOOKUP(A18,'Données projet'!$A$35:$I$55,3,0))</f>
        <v>2</v>
      </c>
      <c r="V18" s="16">
        <f>IF(ISNA(VLOOKUP(A18,'Données projet'!$A$35:$I$55,4,0)),0,VLOOKUP(A18,'Données projet'!$A$35:$I$55,4,0))</f>
        <v>54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1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36.224098882015696</v>
      </c>
      <c r="AC18" s="24">
        <f t="shared" si="3"/>
        <v>36.224098882015696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5.5909090909090908</v>
      </c>
      <c r="AI18" s="14">
        <f>IF('Données projet'!$A$62&gt;35,AI17+AH18-AQ17,IF(A18&lt;'Données projet'!$A$62,$AF$205^A18,IF(A18='Données projet'!$A$62,'Données projet'!$B$62,AI17+AH18-AQ17)))</f>
        <v>26.603287217402478</v>
      </c>
      <c r="AJ18" s="14">
        <f>AI18*VLOOKUP('Données projet'!$B$10,Paramètres!$A$1:$I$89,3,0)*VLOOKUP('Données projet'!$B$10,Paramètres!$A$1:$I$89,5,0)</f>
        <v>15.908765756006684</v>
      </c>
      <c r="AK18" s="14">
        <f t="shared" si="35"/>
        <v>5.312733913945455</v>
      </c>
      <c r="AL18" s="22">
        <f t="shared" si="4"/>
        <v>36.960778591833304</v>
      </c>
      <c r="AM18" s="62">
        <f t="shared" si="5"/>
        <v>330.29411192516659</v>
      </c>
      <c r="AN18" s="62">
        <f ca="1">AVERAGE(OFFSET($AM$3,0,0,'Données projet'!$E$10+1,1))-AVERAGE(OFFSET($H$3,0,0,'Données projet'!$E$10+1,1))</f>
        <v>287.69656598881124</v>
      </c>
      <c r="AO18" s="62">
        <f t="shared" si="36"/>
        <v>221.9773436301067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7.9</v>
      </c>
      <c r="BD18" s="13">
        <f>IF('Données projet'!$A$88&gt;35,BD17+BC18-BL17,IF(A18&lt;'Données projet'!$A$88,$BA$205^A18,IF(A18='Données projet'!$A$88,'Données projet'!$B$88,BD17+BC18-BL17)))</f>
        <v>44.564887571004775</v>
      </c>
      <c r="BE18" s="14">
        <f>BD18*VLOOKUP('Données projet'!$B$11,Paramètres!$A$1:$I$89,3,0)*VLOOKUP('Données projet'!$B$11,Paramètres!$A$1:$I$89,5,0)</f>
        <v>20.856367383230236</v>
      </c>
      <c r="BF18" s="14">
        <f t="shared" si="37"/>
        <v>6.7488744993944465</v>
      </c>
      <c r="BG18" s="22">
        <f t="shared" si="7"/>
        <v>48.079129612237985</v>
      </c>
      <c r="BH18" s="62">
        <f t="shared" si="8"/>
        <v>341.41246294557129</v>
      </c>
      <c r="BI18" s="62">
        <f ca="1">AVERAGE(OFFSET($BH$3,0,0,'Données projet'!$E$11+1,1))-AVERAGE(OFFSET($H$3,0,0,'Données projet'!$E$11+1,1))</f>
        <v>310.95287409903602</v>
      </c>
      <c r="BJ18" s="62">
        <f t="shared" si="38"/>
        <v>224.10083380795163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>
        <f>VLOOKUP(A18,'Données projet'!$A$113:$I$133,2,0)</f>
        <v>175</v>
      </c>
      <c r="BW18" s="13">
        <f>VLOOKUP(A18,'Données projet'!$A$113:$I$133,9,0)</f>
        <v>23.6</v>
      </c>
      <c r="BX18" s="13">
        <f t="array" ref="BX18">INDEX(BW:BW,MIN(IF(ISNUMBER(BW18:BW214),ROW(BW18:BW214),"")))</f>
        <v>23.6</v>
      </c>
      <c r="BY18" s="13">
        <f>IF('Données projet'!$A$114&gt;35,BY17+BX18-CG17,IF(A18&lt;'Données projet'!$A$114,$BV$205^A18,IF(A18='Données projet'!$A$114,'Données projet'!$B$114,BY17+BX18-CG17)))</f>
        <v>174.99999999999997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2</v>
      </c>
      <c r="CG18" s="16">
        <f>IF(ISNA(VLOOKUP(A18,'Données projet'!$A$113:$I$133,4,0)),0,VLOOKUP(A18,'Données projet'!$A$113:$I$133,4,0))</f>
        <v>54</v>
      </c>
      <c r="CH18" s="17" t="e">
        <f>IF(ISNA(VLOOKUP(A18,'Données projet'!$A$113:$I$133,5,0)),0%,VLOOKUP(A18,'Données projet'!$A$113:$I$133,5,0)*VLOOKUP('Données projet'!$B$12,Paramètres!$A$1:$I$89,7,0))</f>
        <v>#N/A</v>
      </c>
      <c r="CI18" s="17" t="e">
        <f>IF(ISNA(VLOOKUP(A18,'Données projet'!$A$113:$I$133,6,0)),0%,VLOOKUP(A18,'Données projet'!$A$113:$I$133,6,0)*VLOOKUP('Données projet'!$B$12,Paramètres!$A$1:$I$89,7,0))</f>
        <v>#N/A</v>
      </c>
      <c r="CJ18" s="17">
        <f>IF(ISNA(VLOOKUP(A18,'Données projet'!$A$113:$I$133,7,0)),0%,VLOOKUP(A18,'Données projet'!$A$113:$I$133,7,0))</f>
        <v>1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25</v>
      </c>
      <c r="N19" s="14">
        <f>IF('Données projet'!$A$36&gt;35,N18+M19-V18,IF(A19&lt;'Données projet'!$A$36,$K$205^A19,IF(A19='Données projet'!$A$36,'Données projet'!$B$36,N18+M19-V18)))</f>
        <v>145.99999999999997</v>
      </c>
      <c r="O19" s="14">
        <f>N19*VLOOKUP('Données projet'!$B$9,Paramètres!$A$1:$I$89,3,0)*VLOOKUP('Données projet'!$B$9,Paramètres!$A$1:$I$89,5,0)</f>
        <v>79.71599999999998</v>
      </c>
      <c r="P19" s="14">
        <f t="shared" si="33"/>
        <v>22.067730286351033</v>
      </c>
      <c r="Q19" s="22">
        <f t="shared" si="2"/>
        <v>177.273330248728</v>
      </c>
      <c r="R19" s="62">
        <f t="shared" si="0"/>
        <v>470.60666358206129</v>
      </c>
      <c r="S19" s="62">
        <f ca="1">AVERAGE(OFFSET($R$3,0,0,'Données projet'!$E$9+1,1))-AVERAGE(OFFSET($H$3,0,0,'Données projet'!$E$9+1,1))</f>
        <v>240.19940780300527</v>
      </c>
      <c r="T19" s="62">
        <f t="shared" si="34"/>
        <v>355.71054384071715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25.614305961845336</v>
      </c>
      <c r="AC19" s="24">
        <f t="shared" si="3"/>
        <v>25.614305961845336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5.5909090909090908</v>
      </c>
      <c r="AI19" s="14">
        <f>IF('Données projet'!$A$62&gt;35,AI18+AH19-AQ18,IF(A19&lt;'Données projet'!$A$62,$AF$205^A19,IF(A19='Données projet'!$A$62,'Données projet'!$B$62,AI18+AH19-AQ18)))</f>
        <v>33.107850856996748</v>
      </c>
      <c r="AJ19" s="14">
        <f>AI19*VLOOKUP('Données projet'!$B$10,Paramètres!$A$1:$I$89,3,0)*VLOOKUP('Données projet'!$B$10,Paramètres!$A$1:$I$89,5,0)</f>
        <v>19.798494812484059</v>
      </c>
      <c r="AK19" s="14">
        <f t="shared" si="35"/>
        <v>6.4454946747588586</v>
      </c>
      <c r="AL19" s="22">
        <f t="shared" si="4"/>
        <v>45.70828169028141</v>
      </c>
      <c r="AM19" s="62">
        <f t="shared" si="5"/>
        <v>339.04161502361472</v>
      </c>
      <c r="AN19" s="62">
        <f ca="1">AVERAGE(OFFSET($AM$3,0,0,'Données projet'!$E$10+1,1))-AVERAGE(OFFSET($H$3,0,0,'Données projet'!$E$10+1,1))</f>
        <v>287.69656598881124</v>
      </c>
      <c r="AO19" s="62">
        <f t="shared" si="36"/>
        <v>221.9773436301067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7.9</v>
      </c>
      <c r="BD19" s="13">
        <f>IF('Données projet'!$A$88&gt;35,BD18+BC19-BL18,IF(A19&lt;'Données projet'!$A$88,$BA$205^A19,IF(A19='Données projet'!$A$88,'Données projet'!$B$88,BD18+BC19-BL18)))</f>
        <v>57.401820934596167</v>
      </c>
      <c r="BE19" s="14">
        <f>BD19*VLOOKUP('Données projet'!$B$11,Paramètres!$A$1:$I$89,3,0)*VLOOKUP('Données projet'!$B$11,Paramètres!$A$1:$I$89,5,0)</f>
        <v>26.864052197391008</v>
      </c>
      <c r="BF19" s="14">
        <f t="shared" si="37"/>
        <v>8.4404970471001413</v>
      </c>
      <c r="BG19" s="22">
        <f t="shared" si="7"/>
        <v>61.488756600822086</v>
      </c>
      <c r="BH19" s="62">
        <f t="shared" si="8"/>
        <v>354.82208993415543</v>
      </c>
      <c r="BI19" s="62">
        <f ca="1">AVERAGE(OFFSET($BH$3,0,0,'Données projet'!$E$11+1,1))-AVERAGE(OFFSET($H$3,0,0,'Données projet'!$E$11+1,1))</f>
        <v>310.95287409903602</v>
      </c>
      <c r="BJ19" s="62">
        <f t="shared" si="38"/>
        <v>224.10083380795163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25</v>
      </c>
      <c r="BY19" s="13">
        <f>IF('Données projet'!$A$114&gt;35,BY18+BX19-CG18,IF(A19&lt;'Données projet'!$A$114,$BV$205^A19,IF(A19='Données projet'!$A$114,'Données projet'!$B$114,BY18+BX19-CG18)))</f>
        <v>145.99999999999997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25</v>
      </c>
      <c r="N20" s="14">
        <f>IF('Données projet'!$A$36&gt;35,N19+M20-V19,IF(A20&lt;'Données projet'!$A$36,$K$205^A20,IF(A20='Données projet'!$A$36,'Données projet'!$B$36,N19+M20-V19)))</f>
        <v>170.99999999999997</v>
      </c>
      <c r="O20" s="14">
        <f>N20*VLOOKUP('Données projet'!$B$9,Paramètres!$A$1:$I$89,3,0)*VLOOKUP('Données projet'!$B$9,Paramètres!$A$1:$I$89,5,0)</f>
        <v>93.365999999999971</v>
      </c>
      <c r="P20" s="14">
        <f t="shared" si="33"/>
        <v>25.375280233490678</v>
      </c>
      <c r="Q20" s="22">
        <f t="shared" si="2"/>
        <v>206.80772973999618</v>
      </c>
      <c r="R20" s="62">
        <f t="shared" si="0"/>
        <v>500.14106307332952</v>
      </c>
      <c r="S20" s="62">
        <f ca="1">AVERAGE(OFFSET($R$3,0,0,'Données projet'!$E$9+1,1))-AVERAGE(OFFSET($H$3,0,0,'Données projet'!$E$9+1,1))</f>
        <v>240.19940780300527</v>
      </c>
      <c r="T20" s="62">
        <f t="shared" si="34"/>
        <v>355.71054384071715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18.112049441007851</v>
      </c>
      <c r="AC20" s="24">
        <f t="shared" si="3"/>
        <v>18.112049441007851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5.5909090909090908</v>
      </c>
      <c r="AI20" s="14">
        <f>IF('Données projet'!$A$62&gt;35,AI19+AH20-AQ19,IF(A20&lt;'Données projet'!$A$62,$AF$205^A20,IF(A20='Données projet'!$A$62,'Données projet'!$B$62,AI19+AH20-AQ19)))</f>
        <v>41.202794955809431</v>
      </c>
      <c r="AJ20" s="14">
        <f>AI20*VLOOKUP('Données projet'!$B$10,Paramètres!$A$1:$I$89,3,0)*VLOOKUP('Données projet'!$B$10,Paramètres!$A$1:$I$89,5,0)</f>
        <v>24.639271383574041</v>
      </c>
      <c r="AK20" s="14">
        <f t="shared" si="35"/>
        <v>7.8197783429910519</v>
      </c>
      <c r="AL20" s="22">
        <f t="shared" si="4"/>
        <v>56.532844940434195</v>
      </c>
      <c r="AM20" s="62">
        <f t="shared" si="5"/>
        <v>349.8661782737675</v>
      </c>
      <c r="AN20" s="62">
        <f ca="1">AVERAGE(OFFSET($AM$3,0,0,'Données projet'!$E$10+1,1))-AVERAGE(OFFSET($H$3,0,0,'Données projet'!$E$10+1,1))</f>
        <v>287.69656598881124</v>
      </c>
      <c r="AO20" s="62">
        <f t="shared" si="36"/>
        <v>221.9773436301067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7.9</v>
      </c>
      <c r="BD20" s="13">
        <f>IF('Données projet'!$A$88&gt;35,BD19+BC20-BL19,IF(A20&lt;'Données projet'!$A$88,$BA$205^A20,IF(A20='Données projet'!$A$88,'Données projet'!$B$88,BD19+BC20-BL19)))</f>
        <v>73.936437994095741</v>
      </c>
      <c r="BE20" s="14">
        <f>BD20*VLOOKUP('Données projet'!$B$11,Paramètres!$A$1:$I$89,3,0)*VLOOKUP('Données projet'!$B$11,Paramètres!$A$1:$I$89,5,0)</f>
        <v>34.602252981236802</v>
      </c>
      <c r="BF20" s="14">
        <f t="shared" si="37"/>
        <v>10.556129086190376</v>
      </c>
      <c r="BG20" s="22">
        <f t="shared" si="7"/>
        <v>78.650848767435647</v>
      </c>
      <c r="BH20" s="62">
        <f t="shared" si="8"/>
        <v>371.98418210076898</v>
      </c>
      <c r="BI20" s="62">
        <f ca="1">AVERAGE(OFFSET($BH$3,0,0,'Données projet'!$E$11+1,1))-AVERAGE(OFFSET($H$3,0,0,'Données projet'!$E$11+1,1))</f>
        <v>310.95287409903602</v>
      </c>
      <c r="BJ20" s="62">
        <f t="shared" si="38"/>
        <v>224.10083380795163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25</v>
      </c>
      <c r="BY20" s="13">
        <f>IF('Données projet'!$A$114&gt;35,BY19+BX20-CG19,IF(A20&lt;'Données projet'!$A$114,$BV$205^A20,IF(A20='Données projet'!$A$114,'Données projet'!$B$114,BY19+BX20-CG19)))</f>
        <v>170.99999999999997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25</v>
      </c>
      <c r="N21" s="14">
        <f>IF('Données projet'!$A$36&gt;35,N20+M21-V20,IF(A21&lt;'Données projet'!$A$36,$K$205^A21,IF(A21='Données projet'!$A$36,'Données projet'!$B$36,N20+M21-V20)))</f>
        <v>195.99999999999997</v>
      </c>
      <c r="O21" s="14">
        <f>N21*VLOOKUP('Données projet'!$B$9,Paramètres!$A$1:$I$89,3,0)*VLOOKUP('Données projet'!$B$9,Paramètres!$A$1:$I$89,5,0)</f>
        <v>107.01599999999998</v>
      </c>
      <c r="P21" s="14">
        <f t="shared" si="33"/>
        <v>28.626809543094307</v>
      </c>
      <c r="Q21" s="22">
        <f t="shared" si="2"/>
        <v>236.24455995422252</v>
      </c>
      <c r="R21" s="62">
        <f t="shared" si="0"/>
        <v>529.57789328755587</v>
      </c>
      <c r="S21" s="62">
        <f ca="1">AVERAGE(OFFSET($R$3,0,0,'Données projet'!$E$9+1,1))-AVERAGE(OFFSET($H$3,0,0,'Données projet'!$E$9+1,1))</f>
        <v>240.19940780300527</v>
      </c>
      <c r="T21" s="62">
        <f t="shared" si="34"/>
        <v>355.71054384071715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12.80715298092267</v>
      </c>
      <c r="AC21" s="24">
        <f t="shared" si="3"/>
        <v>12.80715298092267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5.5909090909090908</v>
      </c>
      <c r="AI21" s="14">
        <f>IF('Données projet'!$A$62&gt;35,AI20+AH21-AQ20,IF(A21&lt;'Données projet'!$A$62,$AF$205^A21,IF(A21='Données projet'!$A$62,'Données projet'!$B$62,AI20+AH21-AQ20)))</f>
        <v>51.276971117915458</v>
      </c>
      <c r="AJ21" s="14">
        <f>AI21*VLOOKUP('Données projet'!$B$10,Paramètres!$A$1:$I$89,3,0)*VLOOKUP('Données projet'!$B$10,Paramètres!$A$1:$I$89,5,0)</f>
        <v>30.663628728513448</v>
      </c>
      <c r="AK21" s="14">
        <f t="shared" si="35"/>
        <v>9.4870815071768995</v>
      </c>
      <c r="AL21" s="22">
        <f t="shared" si="4"/>
        <v>69.929153660494023</v>
      </c>
      <c r="AM21" s="62">
        <f t="shared" si="5"/>
        <v>363.26248699382734</v>
      </c>
      <c r="AN21" s="62">
        <f ca="1">AVERAGE(OFFSET($AM$3,0,0,'Données projet'!$E$10+1,1))-AVERAGE(OFFSET($H$3,0,0,'Données projet'!$E$10+1,1))</f>
        <v>287.69656598881124</v>
      </c>
      <c r="AO21" s="62">
        <f t="shared" si="36"/>
        <v>221.9773436301067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7.9</v>
      </c>
      <c r="BD21" s="13">
        <f>IF('Données projet'!$A$88&gt;35,BD20+BC21-BL20,IF(A21&lt;'Données projet'!$A$88,$BA$205^A21,IF(A21='Données projet'!$A$88,'Données projet'!$B$88,BD20+BC21-BL20)))</f>
        <v>95.233857990035276</v>
      </c>
      <c r="BE21" s="14">
        <f>BD21*VLOOKUP('Données projet'!$B$11,Paramètres!$A$1:$I$89,3,0)*VLOOKUP('Données projet'!$B$11,Paramètres!$A$1:$I$89,5,0)</f>
        <v>44.569445539336513</v>
      </c>
      <c r="BF21" s="14">
        <f t="shared" si="37"/>
        <v>13.202049673437019</v>
      </c>
      <c r="BG21" s="22">
        <f t="shared" si="7"/>
        <v>100.61868749558056</v>
      </c>
      <c r="BH21" s="62">
        <f t="shared" si="8"/>
        <v>393.95202082891387</v>
      </c>
      <c r="BI21" s="62">
        <f ca="1">AVERAGE(OFFSET($BH$3,0,0,'Données projet'!$E$11+1,1))-AVERAGE(OFFSET($H$3,0,0,'Données projet'!$E$11+1,1))</f>
        <v>310.95287409903602</v>
      </c>
      <c r="BJ21" s="62">
        <f t="shared" si="38"/>
        <v>224.10083380795163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25</v>
      </c>
      <c r="BY21" s="13">
        <f>IF('Données projet'!$A$114&gt;35,BY20+BX21-CG20,IF(A21&lt;'Données projet'!$A$114,$BV$205^A21,IF(A21='Données projet'!$A$114,'Données projet'!$B$114,BY20+BX21-CG20)))</f>
        <v>195.99999999999997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25</v>
      </c>
      <c r="N22" s="14">
        <f>IF('Données projet'!$A$36&gt;35,N21+M22-V21,IF(A22&lt;'Données projet'!$A$36,$K$205^A22,IF(A22='Données projet'!$A$36,'Données projet'!$B$36,N21+M22-V21)))</f>
        <v>220.99999999999997</v>
      </c>
      <c r="O22" s="14">
        <f>N22*VLOOKUP('Données projet'!$B$9,Paramètres!$A$1:$I$89,3,0)*VLOOKUP('Données projet'!$B$9,Paramètres!$A$1:$I$89,5,0)</f>
        <v>120.66599999999998</v>
      </c>
      <c r="P22" s="14">
        <f t="shared" si="33"/>
        <v>31.830282786190971</v>
      </c>
      <c r="Q22" s="22">
        <f t="shared" si="2"/>
        <v>265.59769251928259</v>
      </c>
      <c r="R22" s="62">
        <f t="shared" si="0"/>
        <v>558.9310258526159</v>
      </c>
      <c r="S22" s="62">
        <f ca="1">AVERAGE(OFFSET($R$3,0,0,'Données projet'!$E$9+1,1))-AVERAGE(OFFSET($H$3,0,0,'Données projet'!$E$9+1,1))</f>
        <v>240.19940780300527</v>
      </c>
      <c r="T22" s="62">
        <f t="shared" si="34"/>
        <v>355.71054384071715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9.0560247205039275</v>
      </c>
      <c r="AC22" s="24">
        <f t="shared" si="3"/>
        <v>9.0560247205039275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5.5909090909090908</v>
      </c>
      <c r="AI22" s="14">
        <f>IF('Données projet'!$A$62&gt;35,AI21+AH22-AQ21,IF(A22&lt;'Données projet'!$A$62,$AF$205^A22,IF(A22='Données projet'!$A$62,'Données projet'!$B$62,AI21+AH22-AQ21)))</f>
        <v>63.814306040343304</v>
      </c>
      <c r="AJ22" s="14">
        <f>AI22*VLOOKUP('Données projet'!$B$10,Paramètres!$A$1:$I$89,3,0)*VLOOKUP('Données projet'!$B$10,Paramètres!$A$1:$I$89,5,0)</f>
        <v>38.160955012125299</v>
      </c>
      <c r="AK22" s="14">
        <f t="shared" si="35"/>
        <v>11.509880661066306</v>
      </c>
      <c r="AL22" s="22">
        <f t="shared" si="4"/>
        <v>86.510038797475374</v>
      </c>
      <c r="AM22" s="62">
        <f t="shared" si="5"/>
        <v>379.84337213080869</v>
      </c>
      <c r="AN22" s="62">
        <f ca="1">AVERAGE(OFFSET($AM$3,0,0,'Données projet'!$E$10+1,1))-AVERAGE(OFFSET($H$3,0,0,'Données projet'!$E$10+1,1))</f>
        <v>287.69656598881124</v>
      </c>
      <c r="AO22" s="62">
        <f t="shared" si="36"/>
        <v>221.9773436301067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7.9</v>
      </c>
      <c r="BD22" s="13">
        <f>IF('Données projet'!$A$88&gt;35,BD21+BC22-BL21,IF(A22&lt;'Données projet'!$A$88,$BA$205^A22,IF(A22='Données projet'!$A$88,'Données projet'!$B$88,BD21+BC22-BL21)))</f>
        <v>122.66600817840934</v>
      </c>
      <c r="BE22" s="14">
        <f>BD22*VLOOKUP('Données projet'!$B$11,Paramètres!$A$1:$I$89,3,0)*VLOOKUP('Données projet'!$B$11,Paramètres!$A$1:$I$89,5,0)</f>
        <v>57.407691827495569</v>
      </c>
      <c r="BF22" s="14">
        <f t="shared" si="37"/>
        <v>16.511176981334152</v>
      </c>
      <c r="BG22" s="22">
        <f t="shared" si="7"/>
        <v>128.7420298420451</v>
      </c>
      <c r="BH22" s="62">
        <f t="shared" si="8"/>
        <v>422.07536317537841</v>
      </c>
      <c r="BI22" s="62">
        <f ca="1">AVERAGE(OFFSET($BH$3,0,0,'Données projet'!$E$11+1,1))-AVERAGE(OFFSET($H$3,0,0,'Données projet'!$E$11+1,1))</f>
        <v>310.95287409903602</v>
      </c>
      <c r="BJ22" s="62">
        <f t="shared" si="38"/>
        <v>224.10083380795163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25</v>
      </c>
      <c r="BY22" s="13">
        <f>IF('Données projet'!$A$114&gt;35,BY21+BX22-CG21,IF(A22&lt;'Données projet'!$A$114,$BV$205^A22,IF(A22='Données projet'!$A$114,'Données projet'!$B$114,BY21+BX22-CG21)))</f>
        <v>220.99999999999997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246</v>
      </c>
      <c r="L23" s="13">
        <f>VLOOKUP(A23,'Données projet'!$A$35:$I$55,9,0)</f>
        <v>25</v>
      </c>
      <c r="M23" s="13">
        <f t="array" ref="M23">INDEX(L:L,MIN(IF(ISNUMBER(L23:L219),ROW(L23:L219),"")))</f>
        <v>25</v>
      </c>
      <c r="N23" s="14">
        <f>IF('Données projet'!$A$36&gt;35,N22+M23-V22,IF(A23&lt;'Données projet'!$A$36,$K$205^A23,IF(A23='Données projet'!$A$36,'Données projet'!$B$36,N22+M23-V22)))</f>
        <v>245.99999999999997</v>
      </c>
      <c r="O23" s="14">
        <f>N23*VLOOKUP('Données projet'!$B$9,Paramètres!$A$1:$I$89,3,0)*VLOOKUP('Données projet'!$B$9,Paramètres!$A$1:$I$89,5,0)</f>
        <v>134.31599999999997</v>
      </c>
      <c r="P23" s="14">
        <f t="shared" si="33"/>
        <v>34.991756585122445</v>
      </c>
      <c r="Q23" s="22">
        <f t="shared" si="2"/>
        <v>294.87767605242158</v>
      </c>
      <c r="R23" s="62">
        <f t="shared" si="0"/>
        <v>588.21100938575489</v>
      </c>
      <c r="S23" s="62">
        <f ca="1">AVERAGE(OFFSET($R$3,0,0,'Données projet'!$E$9+1,1))-AVERAGE(OFFSET($H$3,0,0,'Données projet'!$E$9+1,1))</f>
        <v>240.19940780300527</v>
      </c>
      <c r="T23" s="62">
        <f t="shared" si="34"/>
        <v>355.71054384071715</v>
      </c>
      <c r="U23" s="16">
        <f>IF(ISNA(VLOOKUP(A23,'Données projet'!$A$35:$I$55,3,0)),0,VLOOKUP(A23,'Données projet'!$A$35:$I$55,3,0))</f>
        <v>3</v>
      </c>
      <c r="V23" s="16">
        <f>IF(ISNA(VLOOKUP(A23,'Données projet'!$A$35:$I$55,4,0)),0,VLOOKUP(A23,'Données projet'!$A$35:$I$55,4,0))</f>
        <v>61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0.12</v>
      </c>
      <c r="Y23" s="17">
        <f>IF(ISNA(VLOOKUP(A23,'Données projet'!$A$35:$I$55,7,0)),0%,VLOOKUP(A23,'Données projet'!$A$35:$I$55,7,0))</f>
        <v>0.8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5.2810310635196052</v>
      </c>
      <c r="AB23" s="23">
        <f>EXP(-LN(2)/2)*AB22+(1-EXP(-LN(2)/2))/(LN(2)/2)*V23*Y23*VLOOKUP('Données projet'!$B$9,Paramètres!$A$1:$I$89,3,0)*0.475*44/12</f>
        <v>36.571679611594512</v>
      </c>
      <c r="AC23" s="24">
        <f t="shared" si="3"/>
        <v>41.852710675114118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5.5909090909090908</v>
      </c>
      <c r="AI23" s="14">
        <f>IF('Données projet'!$A$62&gt;35,AI22+AH23-AQ22,IF(A23&lt;'Données projet'!$A$62,$AF$205^A23,IF(A23='Données projet'!$A$62,'Données projet'!$B$62,AI22+AH23-AQ22)))</f>
        <v>79.417047587426694</v>
      </c>
      <c r="AJ23" s="14">
        <f>AI23*VLOOKUP('Données projet'!$B$10,Paramètres!$A$1:$I$89,3,0)*VLOOKUP('Données projet'!$B$10,Paramètres!$A$1:$I$89,5,0)</f>
        <v>47.49139445728116</v>
      </c>
      <c r="AK23" s="14">
        <f t="shared" si="35"/>
        <v>13.96397329692701</v>
      </c>
      <c r="AL23" s="22">
        <f t="shared" si="4"/>
        <v>107.03476550524589</v>
      </c>
      <c r="AM23" s="62">
        <f t="shared" si="5"/>
        <v>400.36809883857921</v>
      </c>
      <c r="AN23" s="62">
        <f ca="1">AVERAGE(OFFSET($AM$3,0,0,'Données projet'!$E$10+1,1))-AVERAGE(OFFSET($H$3,0,0,'Données projet'!$E$10+1,1))</f>
        <v>287.69656598881124</v>
      </c>
      <c r="AO23" s="62">
        <f t="shared" si="36"/>
        <v>221.9773436301067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158</v>
      </c>
      <c r="BB23" s="13">
        <f>VLOOKUP(A23,'Données projet'!$A$87:$I$107,9,0)</f>
        <v>7.9</v>
      </c>
      <c r="BC23" s="13">
        <f t="array" ref="BC23">INDEX(BB:BB,MIN(IF(ISNUMBER(BB23:BB219),ROW(BB23:BB219),"")))</f>
        <v>7.9</v>
      </c>
      <c r="BD23" s="13">
        <f>IF('Données projet'!$A$88&gt;35,BD22+BC23-BL22,IF(A23&lt;'Données projet'!$A$88,$BA$205^A23,IF(A23='Données projet'!$A$88,'Données projet'!$B$88,BD22+BC23-BL22)))</f>
        <v>158</v>
      </c>
      <c r="BE23" s="14">
        <f>BD23*VLOOKUP('Données projet'!$B$11,Paramètres!$A$1:$I$89,3,0)*VLOOKUP('Données projet'!$B$11,Paramètres!$A$1:$I$89,5,0)</f>
        <v>73.944000000000003</v>
      </c>
      <c r="BF23" s="14">
        <f t="shared" si="37"/>
        <v>20.649745460165708</v>
      </c>
      <c r="BG23" s="22">
        <f t="shared" si="7"/>
        <v>164.75077334312192</v>
      </c>
      <c r="BH23" s="62">
        <f t="shared" si="8"/>
        <v>458.08410667645524</v>
      </c>
      <c r="BI23" s="62">
        <f ca="1">AVERAGE(OFFSET($BH$3,0,0,'Données projet'!$E$11+1,1))-AVERAGE(OFFSET($H$3,0,0,'Données projet'!$E$11+1,1))</f>
        <v>310.95287409903602</v>
      </c>
      <c r="BJ23" s="62">
        <f t="shared" si="38"/>
        <v>224.10083380795163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0.22000000000000003</v>
      </c>
      <c r="BN23" s="17">
        <f>IF(ISNA(VLOOKUP(A23,'Données projet'!$A$87:$I$107,6,0)),0%,VLOOKUP(A23,'Données projet'!$A$87:$I$107,6,0)*VLOOKUP('Données projet'!$B$11,Paramètres!$A$1:$I$89,7,0))</f>
        <v>0.24750000000000003</v>
      </c>
      <c r="BO23" s="17">
        <f>IF(ISNA(VLOOKUP(A23,'Données projet'!$A$87:$I$107,7,0)),0%,VLOOKUP(A23,'Données projet'!$A$87:$I$107,7,0))</f>
        <v>0.15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246</v>
      </c>
      <c r="BW23" s="13">
        <f>VLOOKUP(A23,'Données projet'!$A$113:$I$133,9,0)</f>
        <v>25</v>
      </c>
      <c r="BX23" s="13">
        <f t="array" ref="BX23">INDEX(BW:BW,MIN(IF(ISNUMBER(BW23:BW219),ROW(BW23:BW219),"")))</f>
        <v>25</v>
      </c>
      <c r="BY23" s="13">
        <f>IF('Données projet'!$A$114&gt;35,BY22+BX23-CG22,IF(A23&lt;'Données projet'!$A$114,$BV$205^A23,IF(A23='Données projet'!$A$114,'Données projet'!$B$114,BY22+BX23-CG22)))</f>
        <v>245.99999999999997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3</v>
      </c>
      <c r="CG23" s="16">
        <f>IF(ISNA(VLOOKUP(A23,'Données projet'!$A$113:$I$133,4,0)),0,VLOOKUP(A23,'Données projet'!$A$113:$I$133,4,0))</f>
        <v>61</v>
      </c>
      <c r="CH23" s="17" t="e">
        <f>IF(ISNA(VLOOKUP(A23,'Données projet'!$A$113:$I$133,5,0)),0%,VLOOKUP(A23,'Données projet'!$A$113:$I$133,5,0)*VLOOKUP('Données projet'!$B$12,Paramètres!$A$1:$I$89,7,0))</f>
        <v>#N/A</v>
      </c>
      <c r="CI23" s="17" t="e">
        <f>IF(ISNA(VLOOKUP(A23,'Données projet'!$A$113:$I$133,6,0)),0%,VLOOKUP(A23,'Données projet'!$A$113:$I$133,6,0)*VLOOKUP('Données projet'!$B$12,Paramètres!$A$1:$I$89,7,0))</f>
        <v>#N/A</v>
      </c>
      <c r="CJ23" s="17">
        <f>IF(ISNA(VLOOKUP(A23,'Données projet'!$A$113:$I$133,7,0)),0%,VLOOKUP(A23,'Données projet'!$A$113:$I$133,7,0))</f>
        <v>0.8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22</v>
      </c>
      <c r="N24" s="14">
        <f>IF('Données projet'!$A$36&gt;35,N23+M24-V23,IF(A24&lt;'Données projet'!$A$36,$K$205^A24,IF(A24='Données projet'!$A$36,'Données projet'!$B$36,N23+M24-V23)))</f>
        <v>207</v>
      </c>
      <c r="O24" s="14">
        <f>N24*VLOOKUP('Données projet'!$B$9,Paramètres!$A$1:$I$89,3,0)*VLOOKUP('Données projet'!$B$9,Paramètres!$A$1:$I$89,5,0)</f>
        <v>113.02200000000001</v>
      </c>
      <c r="P24" s="14">
        <f t="shared" si="33"/>
        <v>30.041864379091852</v>
      </c>
      <c r="Q24" s="22">
        <f t="shared" si="2"/>
        <v>249.16956379358496</v>
      </c>
      <c r="R24" s="62">
        <f t="shared" si="0"/>
        <v>542.50289712691824</v>
      </c>
      <c r="S24" s="62">
        <f ca="1">AVERAGE(OFFSET($R$3,0,0,'Données projet'!$E$9+1,1))-AVERAGE(OFFSET($H$3,0,0,'Données projet'!$E$9+1,1))</f>
        <v>240.19940780300527</v>
      </c>
      <c r="T24" s="62">
        <f t="shared" si="34"/>
        <v>355.71054384071715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5.1366209913703083</v>
      </c>
      <c r="AB24" s="23">
        <f>EXP(-LN(2)/2)*AB23+(1-EXP(-LN(2)/2))/(LN(2)/2)*V24*Y24*VLOOKUP('Données projet'!$B$9,Paramètres!$A$1:$I$89,3,0)*0.475*44/12</f>
        <v>25.860082652740282</v>
      </c>
      <c r="AC24" s="24">
        <f t="shared" si="3"/>
        <v>30.996703644110589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5.5909090909090908</v>
      </c>
      <c r="AI24" s="14">
        <f>IF('Données projet'!$A$62&gt;35,AI23+AH24-AQ23,IF(A24&lt;'Données projet'!$A$62,$AF$205^A24,IF(A24='Données projet'!$A$62,'Données projet'!$B$62,AI23+AH24-AQ23)))</f>
        <v>98.834694582689295</v>
      </c>
      <c r="AJ24" s="14">
        <f>AI24*VLOOKUP('Données projet'!$B$10,Paramètres!$A$1:$I$89,3,0)*VLOOKUP('Données projet'!$B$10,Paramètres!$A$1:$I$89,5,0)</f>
        <v>59.103147360448204</v>
      </c>
      <c r="AK24" s="14">
        <f t="shared" si="35"/>
        <v>16.94131815778756</v>
      </c>
      <c r="AL24" s="22">
        <f t="shared" si="4"/>
        <v>132.44411077759398</v>
      </c>
      <c r="AM24" s="62">
        <f t="shared" si="5"/>
        <v>425.77744411092726</v>
      </c>
      <c r="AN24" s="62">
        <f ca="1">AVERAGE(OFFSET($AM$3,0,0,'Données projet'!$E$10+1,1))-AVERAGE(OFFSET($H$3,0,0,'Données projet'!$E$10+1,1))</f>
        <v>287.69656598881124</v>
      </c>
      <c r="AO24" s="62">
        <f t="shared" si="36"/>
        <v>221.9773436301067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9.1999999999999993</v>
      </c>
      <c r="BD24" s="13">
        <f>IF('Données projet'!$A$88&gt;35,BD23+BC24-BL23,IF(A24&lt;'Données projet'!$A$88,$BA$205^A24,IF(A24='Données projet'!$A$88,'Données projet'!$B$88,BD23+BC24-BL23)))</f>
        <v>167.2</v>
      </c>
      <c r="BE24" s="14">
        <f>BD24*VLOOKUP('Données projet'!$B$11,Paramètres!$A$1:$I$89,3,0)*VLOOKUP('Données projet'!$B$11,Paramètres!$A$1:$I$89,5,0)</f>
        <v>78.249599999999987</v>
      </c>
      <c r="BF24" s="14">
        <f t="shared" si="37"/>
        <v>21.708652740239781</v>
      </c>
      <c r="BG24" s="22">
        <f t="shared" si="7"/>
        <v>174.09395685591758</v>
      </c>
      <c r="BH24" s="62">
        <f t="shared" si="8"/>
        <v>467.42729018925093</v>
      </c>
      <c r="BI24" s="62">
        <f ca="1">AVERAGE(OFFSET($BH$3,0,0,'Données projet'!$E$11+1,1))-AVERAGE(OFFSET($H$3,0,0,'Données projet'!$E$11+1,1))</f>
        <v>310.95287409903602</v>
      </c>
      <c r="BJ24" s="62">
        <f t="shared" si="38"/>
        <v>224.10083380795163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22</v>
      </c>
      <c r="BY24" s="13">
        <f>IF('Données projet'!$A$114&gt;35,BY23+BX24-CG23,IF(A24&lt;'Données projet'!$A$114,$BV$205^A24,IF(A24='Données projet'!$A$114,'Données projet'!$B$114,BY23+BX24-CG23)))</f>
        <v>207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22</v>
      </c>
      <c r="N25" s="14">
        <f>IF('Données projet'!$A$36&gt;35,N24+M25-V24,IF(A25&lt;'Données projet'!$A$36,$K$205^A25,IF(A25='Données projet'!$A$36,'Données projet'!$B$36,N24+M25-V24)))</f>
        <v>229</v>
      </c>
      <c r="O25" s="14">
        <f>N25*VLOOKUP('Données projet'!$B$9,Paramètres!$A$1:$I$89,3,0)*VLOOKUP('Données projet'!$B$9,Paramètres!$A$1:$I$89,5,0)</f>
        <v>125.03399999999999</v>
      </c>
      <c r="P25" s="14">
        <f t="shared" si="33"/>
        <v>32.846274359997985</v>
      </c>
      <c r="Q25" s="22">
        <f t="shared" si="2"/>
        <v>274.97481117699641</v>
      </c>
      <c r="R25" s="62">
        <f t="shared" si="0"/>
        <v>568.30814451032973</v>
      </c>
      <c r="S25" s="62">
        <f ca="1">AVERAGE(OFFSET($R$3,0,0,'Données projet'!$E$9+1,1))-AVERAGE(OFFSET($H$3,0,0,'Données projet'!$E$9+1,1))</f>
        <v>240.19940780300527</v>
      </c>
      <c r="T25" s="62">
        <f t="shared" si="34"/>
        <v>355.71054384071715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4.9961598202381294</v>
      </c>
      <c r="AB25" s="23">
        <f>EXP(-LN(2)/2)*AB24+(1-EXP(-LN(2)/2))/(LN(2)/2)*V25*Y25*VLOOKUP('Données projet'!$B$9,Paramètres!$A$1:$I$89,3,0)*0.475*44/12</f>
        <v>18.285839805797256</v>
      </c>
      <c r="AC25" s="24">
        <f t="shared" si="3"/>
        <v>23.281999626035386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>
        <f>VLOOKUP(A25,'Données projet'!$A$61:$I$81,2,0)</f>
        <v>123</v>
      </c>
      <c r="AG25" s="13">
        <f>VLOOKUP(A25,'Données projet'!$A$61:$I$81,9,0)</f>
        <v>5.5909090909090908</v>
      </c>
      <c r="AH25" s="13">
        <f t="array" ref="AH25">INDEX(AG:AG,MIN(IF(ISNUMBER(AG25:AG221),ROW(AG25:AG221),"")))</f>
        <v>5.5909090909090908</v>
      </c>
      <c r="AI25" s="14">
        <f>IF('Données projet'!$A$62&gt;35,AI24+AH25-AQ24,IF(A25&lt;'Données projet'!$A$62,$AF$205^A25,IF(A25='Données projet'!$A$62,'Données projet'!$B$62,AI24+AH25-AQ24)))</f>
        <v>123</v>
      </c>
      <c r="AJ25" s="14">
        <f>AI25*VLOOKUP('Données projet'!$B$10,Paramètres!$A$1:$I$89,3,0)*VLOOKUP('Données projet'!$B$10,Paramètres!$A$1:$I$89,5,0)</f>
        <v>73.554000000000016</v>
      </c>
      <c r="AK25" s="14">
        <f t="shared" si="35"/>
        <v>20.553481077376691</v>
      </c>
      <c r="AL25" s="22">
        <f t="shared" si="4"/>
        <v>163.90386287643108</v>
      </c>
      <c r="AM25" s="62">
        <f t="shared" si="5"/>
        <v>457.23719620976442</v>
      </c>
      <c r="AN25" s="62">
        <f ca="1">AVERAGE(OFFSET($AM$3,0,0,'Données projet'!$E$10+1,1))-AVERAGE(OFFSET($H$3,0,0,'Données projet'!$E$10+1,1))</f>
        <v>287.69656598881124</v>
      </c>
      <c r="AO25" s="62">
        <f t="shared" si="36"/>
        <v>221.9773436301067</v>
      </c>
      <c r="AP25" s="16">
        <f>IF(ISNA(VLOOKUP(A25,'Données projet'!$A$61:$I$81,3,0)),0,VLOOKUP(A25,'Données projet'!$A$61:$I$81,3,0))</f>
        <v>1</v>
      </c>
      <c r="AQ25" s="16">
        <f>IF(ISNA(VLOOKUP(A25,'Données projet'!$A$61:$I$81,4,0)),0,VLOOKUP(A25,'Données projet'!$A$61:$I$81,4,0))</f>
        <v>16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1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10.833198622733226</v>
      </c>
      <c r="AX25" s="23">
        <f t="shared" si="6"/>
        <v>10.833198622733226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9.1999999999999993</v>
      </c>
      <c r="BD25" s="13">
        <f>IF('Données projet'!$A$88&gt;35,BD24+BC25-BL24,IF(A25&lt;'Données projet'!$A$88,$BA$205^A25,IF(A25='Données projet'!$A$88,'Données projet'!$B$88,BD24+BC25-BL24)))</f>
        <v>176.39999999999998</v>
      </c>
      <c r="BE25" s="14">
        <f>BD25*VLOOKUP('Données projet'!$B$11,Paramètres!$A$1:$I$89,3,0)*VLOOKUP('Données projet'!$B$11,Paramètres!$A$1:$I$89,5,0)</f>
        <v>82.555199999999985</v>
      </c>
      <c r="BF25" s="14">
        <f t="shared" si="37"/>
        <v>22.760796016854769</v>
      </c>
      <c r="BG25" s="22">
        <f t="shared" si="7"/>
        <v>183.42535972935536</v>
      </c>
      <c r="BH25" s="62">
        <f t="shared" si="8"/>
        <v>476.75869306268868</v>
      </c>
      <c r="BI25" s="62">
        <f ca="1">AVERAGE(OFFSET($BH$3,0,0,'Données projet'!$E$11+1,1))-AVERAGE(OFFSET($H$3,0,0,'Données projet'!$E$11+1,1))</f>
        <v>310.95287409903602</v>
      </c>
      <c r="BJ25" s="62">
        <f t="shared" si="38"/>
        <v>224.10083380795163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22</v>
      </c>
      <c r="BY25" s="13">
        <f>IF('Données projet'!$A$114&gt;35,BY24+BX25-CG24,IF(A25&lt;'Données projet'!$A$114,$BV$205^A25,IF(A25='Données projet'!$A$114,'Données projet'!$B$114,BY24+BX25-CG24)))</f>
        <v>229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22</v>
      </c>
      <c r="N26" s="14">
        <f>IF('Données projet'!$A$36&gt;35,N25+M26-V25,IF(A26&lt;'Données projet'!$A$36,$K$205^A26,IF(A26='Données projet'!$A$36,'Données projet'!$B$36,N25+M26-V25)))</f>
        <v>251</v>
      </c>
      <c r="O26" s="14">
        <f>N26*VLOOKUP('Données projet'!$B$9,Paramètres!$A$1:$I$89,3,0)*VLOOKUP('Données projet'!$B$9,Paramètres!$A$1:$I$89,5,0)</f>
        <v>137.04600000000002</v>
      </c>
      <c r="P26" s="14">
        <f t="shared" si="33"/>
        <v>35.619447951801043</v>
      </c>
      <c r="Q26" s="22">
        <f t="shared" si="2"/>
        <v>300.72565518272023</v>
      </c>
      <c r="R26" s="62">
        <f t="shared" si="0"/>
        <v>594.05898851605355</v>
      </c>
      <c r="S26" s="62">
        <f ca="1">AVERAGE(OFFSET($R$3,0,0,'Données projet'!$E$9+1,1))-AVERAGE(OFFSET($H$3,0,0,'Données projet'!$E$9+1,1))</f>
        <v>240.19940780300527</v>
      </c>
      <c r="T26" s="62">
        <f t="shared" si="34"/>
        <v>355.71054384071715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4.8595395672170918</v>
      </c>
      <c r="AB26" s="23">
        <f>EXP(-LN(2)/2)*AB25+(1-EXP(-LN(2)/2))/(LN(2)/2)*V26*Y26*VLOOKUP('Données projet'!$B$9,Paramètres!$A$1:$I$89,3,0)*0.475*44/12</f>
        <v>12.930041326370141</v>
      </c>
      <c r="AC26" s="24">
        <f t="shared" si="3"/>
        <v>17.789580893587232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12.333333333333334</v>
      </c>
      <c r="AI26" s="14">
        <f>IF('Données projet'!$A$62&gt;35,AI25+AH26-AQ25,IF(A26&lt;'Données projet'!$A$62,$AF$205^A26,IF(A26='Données projet'!$A$62,'Données projet'!$B$62,AI25+AH26-AQ25)))</f>
        <v>119.33333333333334</v>
      </c>
      <c r="AJ26" s="14">
        <f>AI26*VLOOKUP('Données projet'!$B$10,Paramètres!$A$1:$I$89,3,0)*VLOOKUP('Données projet'!$B$10,Paramètres!$A$1:$I$89,5,0)</f>
        <v>71.361333333333349</v>
      </c>
      <c r="AK26" s="14">
        <f t="shared" si="35"/>
        <v>20.011144716858571</v>
      </c>
      <c r="AL26" s="22">
        <f t="shared" si="4"/>
        <v>159.14039927075092</v>
      </c>
      <c r="AM26" s="62">
        <f t="shared" si="5"/>
        <v>452.47373260408426</v>
      </c>
      <c r="AN26" s="62">
        <f ca="1">AVERAGE(OFFSET($AM$3,0,0,'Données projet'!$E$10+1,1))-AVERAGE(OFFSET($H$3,0,0,'Données projet'!$E$10+1,1))</f>
        <v>287.69656598881124</v>
      </c>
      <c r="AO26" s="62">
        <f t="shared" si="36"/>
        <v>221.9773436301067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7.6602282080754316</v>
      </c>
      <c r="AX26" s="23">
        <f t="shared" si="6"/>
        <v>7.6602282080754316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9.1999999999999993</v>
      </c>
      <c r="BD26" s="13">
        <f>IF('Données projet'!$A$88&gt;35,BD25+BC26-BL25,IF(A26&lt;'Données projet'!$A$88,$BA$205^A26,IF(A26='Données projet'!$A$88,'Données projet'!$B$88,BD25+BC26-BL25)))</f>
        <v>185.59999999999997</v>
      </c>
      <c r="BE26" s="14">
        <f>BD26*VLOOKUP('Données projet'!$B$11,Paramètres!$A$1:$I$89,3,0)*VLOOKUP('Données projet'!$B$11,Paramètres!$A$1:$I$89,5,0)</f>
        <v>86.860799999999983</v>
      </c>
      <c r="BF26" s="14">
        <f t="shared" si="37"/>
        <v>23.806568296036275</v>
      </c>
      <c r="BG26" s="22">
        <f t="shared" si="7"/>
        <v>192.7456664489298</v>
      </c>
      <c r="BH26" s="62">
        <f t="shared" si="8"/>
        <v>486.07899978226311</v>
      </c>
      <c r="BI26" s="62">
        <f ca="1">AVERAGE(OFFSET($BH$3,0,0,'Données projet'!$E$11+1,1))-AVERAGE(OFFSET($H$3,0,0,'Données projet'!$E$11+1,1))</f>
        <v>310.95287409903602</v>
      </c>
      <c r="BJ26" s="62">
        <f t="shared" si="38"/>
        <v>224.10083380795163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22</v>
      </c>
      <c r="BY26" s="13">
        <f>IF('Données projet'!$A$114&gt;35,BY25+BX26-CG25,IF(A26&lt;'Données projet'!$A$114,$BV$205^A26,IF(A26='Données projet'!$A$114,'Données projet'!$B$114,BY25+BX26-CG25)))</f>
        <v>251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22</v>
      </c>
      <c r="N27" s="14">
        <f>IF('Données projet'!$A$36&gt;35,N26+M27-V26,IF(A27&lt;'Données projet'!$A$36,$K$205^A27,IF(A27='Données projet'!$A$36,'Données projet'!$B$36,N26+M27-V26)))</f>
        <v>273</v>
      </c>
      <c r="O27" s="14">
        <f>N27*VLOOKUP('Données projet'!$B$9,Paramètres!$A$1:$I$89,3,0)*VLOOKUP('Données projet'!$B$9,Paramètres!$A$1:$I$89,5,0)</f>
        <v>149.05799999999999</v>
      </c>
      <c r="P27" s="14">
        <f t="shared" si="33"/>
        <v>38.364434314370335</v>
      </c>
      <c r="Q27" s="22">
        <f t="shared" si="2"/>
        <v>326.42740643086165</v>
      </c>
      <c r="R27" s="62">
        <f t="shared" si="0"/>
        <v>619.76073976419502</v>
      </c>
      <c r="S27" s="62">
        <f ca="1">AVERAGE(OFFSET($R$3,0,0,'Données projet'!$E$9+1,1))-AVERAGE(OFFSET($H$3,0,0,'Données projet'!$E$9+1,1))</f>
        <v>240.19940780300527</v>
      </c>
      <c r="T27" s="62">
        <f t="shared" si="34"/>
        <v>355.71054384071715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4.7266552021994608</v>
      </c>
      <c r="AB27" s="23">
        <f>EXP(-LN(2)/2)*AB26+(1-EXP(-LN(2)/2))/(LN(2)/2)*V27*Y27*VLOOKUP('Données projet'!$B$9,Paramètres!$A$1:$I$89,3,0)*0.475*44/12</f>
        <v>9.1429199028986279</v>
      </c>
      <c r="AC27" s="24">
        <f t="shared" si="3"/>
        <v>13.86957510509809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12.333333333333334</v>
      </c>
      <c r="AI27" s="14">
        <f>IF('Données projet'!$A$62&gt;35,AI26+AH27-AQ26,IF(A27&lt;'Données projet'!$A$62,$AF$205^A27,IF(A27='Données projet'!$A$62,'Données projet'!$B$62,AI26+AH27-AQ26)))</f>
        <v>131.66666666666669</v>
      </c>
      <c r="AJ27" s="14">
        <f>AI27*VLOOKUP('Données projet'!$B$10,Paramètres!$A$1:$I$89,3,0)*VLOOKUP('Données projet'!$B$10,Paramètres!$A$1:$I$89,5,0)</f>
        <v>78.736666666666679</v>
      </c>
      <c r="AK27" s="14">
        <f t="shared" si="35"/>
        <v>21.828006984037064</v>
      </c>
      <c r="AL27" s="22">
        <f t="shared" si="4"/>
        <v>175.15013994164235</v>
      </c>
      <c r="AM27" s="62">
        <f t="shared" si="5"/>
        <v>468.48347327497567</v>
      </c>
      <c r="AN27" s="62">
        <f ca="1">AVERAGE(OFFSET($AM$3,0,0,'Données projet'!$E$10+1,1))-AVERAGE(OFFSET($H$3,0,0,'Données projet'!$E$10+1,1))</f>
        <v>287.69656598881124</v>
      </c>
      <c r="AO27" s="62">
        <f t="shared" si="36"/>
        <v>221.9773436301067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5.416599311366614</v>
      </c>
      <c r="AX27" s="23">
        <f t="shared" si="6"/>
        <v>5.416599311366614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9.1999999999999993</v>
      </c>
      <c r="BD27" s="13">
        <f>IF('Données projet'!$A$88&gt;35,BD26+BC27-BL26,IF(A27&lt;'Données projet'!$A$88,$BA$205^A27,IF(A27='Données projet'!$A$88,'Données projet'!$B$88,BD26+BC27-BL26)))</f>
        <v>194.79999999999995</v>
      </c>
      <c r="BE27" s="14">
        <f>BD27*VLOOKUP('Données projet'!$B$11,Paramètres!$A$1:$I$89,3,0)*VLOOKUP('Données projet'!$B$11,Paramètres!$A$1:$I$89,5,0)</f>
        <v>91.166399999999982</v>
      </c>
      <c r="BF27" s="14">
        <f t="shared" si="37"/>
        <v>24.846321420979159</v>
      </c>
      <c r="BG27" s="22">
        <f t="shared" si="7"/>
        <v>202.05548980820535</v>
      </c>
      <c r="BH27" s="62">
        <f t="shared" si="8"/>
        <v>495.38882314153864</v>
      </c>
      <c r="BI27" s="62">
        <f ca="1">AVERAGE(OFFSET($BH$3,0,0,'Données projet'!$E$11+1,1))-AVERAGE(OFFSET($H$3,0,0,'Données projet'!$E$11+1,1))</f>
        <v>310.95287409903602</v>
      </c>
      <c r="BJ27" s="62">
        <f t="shared" si="38"/>
        <v>224.10083380795163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22</v>
      </c>
      <c r="BY27" s="13">
        <f>IF('Données projet'!$A$114&gt;35,BY26+BX27-CG26,IF(A27&lt;'Données projet'!$A$114,$BV$205^A27,IF(A27='Données projet'!$A$114,'Données projet'!$B$114,BY26+BX27-CG26)))</f>
        <v>273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295</v>
      </c>
      <c r="L28" s="13">
        <f>VLOOKUP(A28,'Données projet'!$A$35:$I$55,9,0)</f>
        <v>22</v>
      </c>
      <c r="M28" s="13">
        <f t="array" ref="M28">INDEX(L:L,MIN(IF(ISNUMBER(L28:L224),ROW(L28:L224),"")))</f>
        <v>22</v>
      </c>
      <c r="N28" s="14">
        <f>IF('Données projet'!$A$36&gt;35,N27+M28-V27,IF(A28&lt;'Données projet'!$A$36,$K$205^A28,IF(A28='Données projet'!$A$36,'Données projet'!$B$36,N27+M28-V27)))</f>
        <v>295</v>
      </c>
      <c r="O28" s="14">
        <f>N28*VLOOKUP('Données projet'!$B$9,Paramètres!$A$1:$I$89,3,0)*VLOOKUP('Données projet'!$B$9,Paramètres!$A$1:$I$89,5,0)</f>
        <v>161.07</v>
      </c>
      <c r="P28" s="14">
        <f t="shared" si="33"/>
        <v>41.083763193241431</v>
      </c>
      <c r="Q28" s="22">
        <f t="shared" si="2"/>
        <v>352.08447089489545</v>
      </c>
      <c r="R28" s="62">
        <f t="shared" si="0"/>
        <v>645.41780422822876</v>
      </c>
      <c r="S28" s="62">
        <f ca="1">AVERAGE(OFFSET($R$3,0,0,'Données projet'!$E$9+1,1))-AVERAGE(OFFSET($H$3,0,0,'Données projet'!$E$9+1,1))</f>
        <v>240.19940780300527</v>
      </c>
      <c r="T28" s="62">
        <f t="shared" si="34"/>
        <v>355.71054384071715</v>
      </c>
      <c r="U28" s="16">
        <f>IF(ISNA(VLOOKUP(A28,'Données projet'!$A$35:$I$55,3,0)),0,VLOOKUP(A28,'Données projet'!$A$35:$I$55,3,0))</f>
        <v>4</v>
      </c>
      <c r="V28" s="16">
        <f>IF(ISNA(VLOOKUP(A28,'Données projet'!$A$35:$I$55,4,0)),0,VLOOKUP(A28,'Données projet'!$A$35:$I$55,4,0))</f>
        <v>57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0.12</v>
      </c>
      <c r="Y28" s="17">
        <f>IF(ISNA(VLOOKUP(A28,'Données projet'!$A$35:$I$55,7,0)),0%,VLOOKUP(A28,'Données projet'!$A$35:$I$55,7,0))</f>
        <v>0.8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9.532138511731608</v>
      </c>
      <c r="AB28" s="23">
        <f>EXP(-LN(2)/2)*AB27+(1-EXP(-LN(2)/2))/(LN(2)/2)*V28*Y28*VLOOKUP('Données projet'!$B$9,Paramètres!$A$1:$I$89,3,0)*0.475*44/12</f>
        <v>34.654887514080009</v>
      </c>
      <c r="AC28" s="24">
        <f t="shared" si="3"/>
        <v>44.187026025811619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144</v>
      </c>
      <c r="AG28" s="13">
        <f>VLOOKUP(A28,'Données projet'!$A$61:$I$81,9,0)</f>
        <v>12.333333333333334</v>
      </c>
      <c r="AH28" s="13">
        <f t="array" ref="AH28">INDEX(AG:AG,MIN(IF(ISNUMBER(AG28:AG224),ROW(AG28:AG224),"")))</f>
        <v>12.333333333333334</v>
      </c>
      <c r="AI28" s="14">
        <f>IF('Données projet'!$A$62&gt;35,AI27+AH28-AQ27,IF(A28&lt;'Données projet'!$A$62,$AF$205^A28,IF(A28='Données projet'!$A$62,'Données projet'!$B$62,AI27+AH28-AQ27)))</f>
        <v>144.00000000000003</v>
      </c>
      <c r="AJ28" s="14">
        <f>AI28*VLOOKUP('Données projet'!$B$10,Paramètres!$A$1:$I$89,3,0)*VLOOKUP('Données projet'!$B$10,Paramètres!$A$1:$I$89,5,0)</f>
        <v>86.112000000000009</v>
      </c>
      <c r="AK28" s="14">
        <f t="shared" si="35"/>
        <v>23.625136642852297</v>
      </c>
      <c r="AL28" s="22">
        <f t="shared" si="4"/>
        <v>191.12551298630106</v>
      </c>
      <c r="AM28" s="62">
        <f t="shared" si="5"/>
        <v>484.4588463196344</v>
      </c>
      <c r="AN28" s="62">
        <f ca="1">AVERAGE(OFFSET($AM$3,0,0,'Données projet'!$E$10+1,1))-AVERAGE(OFFSET($H$3,0,0,'Données projet'!$E$10+1,1))</f>
        <v>287.69656598881124</v>
      </c>
      <c r="AO28" s="62">
        <f t="shared" si="36"/>
        <v>221.9773436301067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17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1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15.34038764069177</v>
      </c>
      <c r="AX28" s="23">
        <f t="shared" si="6"/>
        <v>15.34038764069177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9.1999999999999993</v>
      </c>
      <c r="BD28" s="13">
        <f>IF('Données projet'!$A$88&gt;35,BD27+BC28-BL27,IF(A28&lt;'Données projet'!$A$88,$BA$205^A28,IF(A28='Données projet'!$A$88,'Données projet'!$B$88,BD27+BC28-BL27)))</f>
        <v>203.99999999999994</v>
      </c>
      <c r="BE28" s="14">
        <f>BD28*VLOOKUP('Données projet'!$B$11,Paramètres!$A$1:$I$89,3,0)*VLOOKUP('Données projet'!$B$11,Paramètres!$A$1:$I$89,5,0)</f>
        <v>95.47199999999998</v>
      </c>
      <c r="BF28" s="14">
        <f t="shared" si="37"/>
        <v>25.880372123231144</v>
      </c>
      <c r="BG28" s="22">
        <f t="shared" si="7"/>
        <v>211.35538144796087</v>
      </c>
      <c r="BH28" s="62">
        <f t="shared" si="8"/>
        <v>504.68871478129415</v>
      </c>
      <c r="BI28" s="62">
        <f ca="1">AVERAGE(OFFSET($BH$3,0,0,'Données projet'!$E$11+1,1))-AVERAGE(OFFSET($H$3,0,0,'Données projet'!$E$11+1,1))</f>
        <v>310.95287409903602</v>
      </c>
      <c r="BJ28" s="62">
        <f t="shared" si="38"/>
        <v>224.10083380795163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295</v>
      </c>
      <c r="BW28" s="13">
        <f>VLOOKUP(A28,'Données projet'!$A$113:$I$133,9,0)</f>
        <v>22</v>
      </c>
      <c r="BX28" s="13">
        <f t="array" ref="BX28">INDEX(BW:BW,MIN(IF(ISNUMBER(BW28:BW224),ROW(BW28:BW224),"")))</f>
        <v>22</v>
      </c>
      <c r="BY28" s="13">
        <f>IF('Données projet'!$A$114&gt;35,BY27+BX28-CG27,IF(A28&lt;'Données projet'!$A$114,$BV$205^A28,IF(A28='Données projet'!$A$114,'Données projet'!$B$114,BY27+BX28-CG27)))</f>
        <v>295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4</v>
      </c>
      <c r="CG28" s="16">
        <f>IF(ISNA(VLOOKUP(A28,'Données projet'!$A$113:$I$133,4,0)),0,VLOOKUP(A28,'Données projet'!$A$113:$I$133,4,0))</f>
        <v>57</v>
      </c>
      <c r="CH28" s="17" t="e">
        <f>IF(ISNA(VLOOKUP(A28,'Données projet'!$A$113:$I$133,5,0)),0%,VLOOKUP(A28,'Données projet'!$A$113:$I$133,5,0)*VLOOKUP('Données projet'!$B$12,Paramètres!$A$1:$I$89,7,0))</f>
        <v>#N/A</v>
      </c>
      <c r="CI28" s="17" t="e">
        <f>IF(ISNA(VLOOKUP(A28,'Données projet'!$A$113:$I$133,6,0)),0%,VLOOKUP(A28,'Données projet'!$A$113:$I$133,6,0)*VLOOKUP('Données projet'!$B$12,Paramètres!$A$1:$I$89,7,0))</f>
        <v>#N/A</v>
      </c>
      <c r="CJ28" s="17">
        <f>IF(ISNA(VLOOKUP(A28,'Données projet'!$A$113:$I$133,7,0)),0%,VLOOKUP(A28,'Données projet'!$A$113:$I$133,7,0))</f>
        <v>0.8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17.8</v>
      </c>
      <c r="N29" s="14">
        <f>IF('Données projet'!$A$36&gt;35,N28+M29-V28,IF(A29&lt;'Données projet'!$A$36,$K$205^A29,IF(A29='Données projet'!$A$36,'Données projet'!$B$36,N28+M29-V28)))</f>
        <v>255.8</v>
      </c>
      <c r="O29" s="14">
        <f>N29*VLOOKUP('Données projet'!$B$9,Paramètres!$A$1:$I$89,3,0)*VLOOKUP('Données projet'!$B$9,Paramètres!$A$1:$I$89,5,0)</f>
        <v>139.66680000000002</v>
      </c>
      <c r="P29" s="14">
        <f t="shared" si="33"/>
        <v>36.22066347145411</v>
      </c>
      <c r="Q29" s="22">
        <f t="shared" si="2"/>
        <v>306.3373322127826</v>
      </c>
      <c r="R29" s="62">
        <f t="shared" si="0"/>
        <v>599.67066554611597</v>
      </c>
      <c r="S29" s="62">
        <f ca="1">AVERAGE(OFFSET($R$3,0,0,'Données projet'!$E$9+1,1))-AVERAGE(OFFSET($H$3,0,0,'Données projet'!$E$9+1,1))</f>
        <v>240.19940780300527</v>
      </c>
      <c r="T29" s="62">
        <f t="shared" si="34"/>
        <v>355.71054384071715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9.2714816828549296</v>
      </c>
      <c r="AB29" s="23">
        <f>EXP(-LN(2)/2)*AB28+(1-EXP(-LN(2)/2))/(LN(2)/2)*V29*Y29*VLOOKUP('Données projet'!$B$9,Paramètres!$A$1:$I$89,3,0)*0.475*44/12</f>
        <v>24.504705962462992</v>
      </c>
      <c r="AC29" s="24">
        <f t="shared" si="3"/>
        <v>33.776187645317918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13.4</v>
      </c>
      <c r="AI29" s="14">
        <f>IF('Données projet'!$A$62&gt;35,AI28+AH29-AQ28,IF(A29&lt;'Données projet'!$A$62,$AF$205^A29,IF(A29='Données projet'!$A$62,'Données projet'!$B$62,AI28+AH29-AQ28)))</f>
        <v>140.40000000000003</v>
      </c>
      <c r="AJ29" s="14">
        <f>AI29*VLOOKUP('Données projet'!$B$10,Paramètres!$A$1:$I$89,3,0)*VLOOKUP('Données projet'!$B$10,Paramètres!$A$1:$I$89,5,0)</f>
        <v>83.959200000000024</v>
      </c>
      <c r="AK29" s="14">
        <f t="shared" si="35"/>
        <v>23.102490880810642</v>
      </c>
      <c r="AL29" s="22">
        <f t="shared" si="4"/>
        <v>186.46577828407854</v>
      </c>
      <c r="AM29" s="62">
        <f t="shared" si="5"/>
        <v>479.79911161741188</v>
      </c>
      <c r="AN29" s="62">
        <f ca="1">AVERAGE(OFFSET($AM$3,0,0,'Données projet'!$E$10+1,1))-AVERAGE(OFFSET($H$3,0,0,'Données projet'!$E$10+1,1))</f>
        <v>287.69656598881124</v>
      </c>
      <c r="AO29" s="62">
        <f t="shared" si="36"/>
        <v>221.9773436301067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10.847292126763454</v>
      </c>
      <c r="AX29" s="23">
        <f t="shared" si="6"/>
        <v>10.847292126763454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213.19999999999993</v>
      </c>
      <c r="BE29" s="14">
        <f>BD29*VLOOKUP('Données projet'!$B$11,Paramètres!$A$1:$I$89,3,0)*VLOOKUP('Données projet'!$B$11,Paramètres!$A$1:$I$89,5,0)</f>
        <v>99.777599999999964</v>
      </c>
      <c r="BF29" s="14">
        <f t="shared" si="37"/>
        <v>26.909006951444532</v>
      </c>
      <c r="BG29" s="22">
        <f t="shared" si="7"/>
        <v>220.64584044043249</v>
      </c>
      <c r="BH29" s="62">
        <f t="shared" si="8"/>
        <v>513.97917377376575</v>
      </c>
      <c r="BI29" s="62">
        <f ca="1">AVERAGE(OFFSET($BH$3,0,0,'Données projet'!$E$11+1,1))-AVERAGE(OFFSET($H$3,0,0,'Données projet'!$E$11+1,1))</f>
        <v>310.95287409903602</v>
      </c>
      <c r="BJ29" s="62">
        <f t="shared" si="38"/>
        <v>224.10083380795163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17.8</v>
      </c>
      <c r="BY29" s="13">
        <f>IF('Données projet'!$A$114&gt;35,BY28+BX29-CG28,IF(A29&lt;'Données projet'!$A$114,$BV$205^A29,IF(A29='Données projet'!$A$114,'Données projet'!$B$114,BY28+BX29-CG28)))</f>
        <v>255.8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17.8</v>
      </c>
      <c r="N30" s="14">
        <f>IF('Données projet'!$A$36&gt;35,N29+M30-V29,IF(A30&lt;'Données projet'!$A$36,$K$205^A30,IF(A30='Données projet'!$A$36,'Données projet'!$B$36,N29+M30-V29)))</f>
        <v>273.60000000000002</v>
      </c>
      <c r="O30" s="14">
        <f>N30*VLOOKUP('Données projet'!$B$9,Paramètres!$A$1:$I$89,3,0)*VLOOKUP('Données projet'!$B$9,Paramètres!$A$1:$I$89,5,0)</f>
        <v>149.38560000000001</v>
      </c>
      <c r="P30" s="14">
        <f t="shared" si="33"/>
        <v>38.438927680599591</v>
      </c>
      <c r="Q30" s="22">
        <f t="shared" si="2"/>
        <v>327.12771904371101</v>
      </c>
      <c r="R30" s="62">
        <f t="shared" si="0"/>
        <v>620.46105237704433</v>
      </c>
      <c r="S30" s="62">
        <f ca="1">AVERAGE(OFFSET($R$3,0,0,'Données projet'!$E$9+1,1))-AVERAGE(OFFSET($H$3,0,0,'Données projet'!$E$9+1,1))</f>
        <v>240.19940780300527</v>
      </c>
      <c r="T30" s="62">
        <f t="shared" si="34"/>
        <v>355.71054384071715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9.0179525286712305</v>
      </c>
      <c r="AB30" s="23">
        <f>EXP(-LN(2)/2)*AB29+(1-EXP(-LN(2)/2))/(LN(2)/2)*V30*Y30*VLOOKUP('Données projet'!$B$9,Paramètres!$A$1:$I$89,3,0)*0.475*44/12</f>
        <v>17.327443757040008</v>
      </c>
      <c r="AC30" s="24">
        <f t="shared" si="3"/>
        <v>26.345396285711239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13.4</v>
      </c>
      <c r="AI30" s="14">
        <f>IF('Données projet'!$A$62&gt;35,AI29+AH30-AQ29,IF(A30&lt;'Données projet'!$A$62,$AF$205^A30,IF(A30='Données projet'!$A$62,'Données projet'!$B$62,AI29+AH30-AQ29)))</f>
        <v>153.80000000000004</v>
      </c>
      <c r="AJ30" s="14">
        <f>AI30*VLOOKUP('Données projet'!$B$10,Paramètres!$A$1:$I$89,3,0)*VLOOKUP('Données projet'!$B$10,Paramètres!$A$1:$I$89,5,0)</f>
        <v>91.972400000000022</v>
      </c>
      <c r="AK30" s="14">
        <f t="shared" si="35"/>
        <v>25.040318527820091</v>
      </c>
      <c r="AL30" s="22">
        <f t="shared" si="4"/>
        <v>203.79715143595334</v>
      </c>
      <c r="AM30" s="62">
        <f t="shared" si="5"/>
        <v>497.13048476928668</v>
      </c>
      <c r="AN30" s="62">
        <f ca="1">AVERAGE(OFFSET($AM$3,0,0,'Données projet'!$E$10+1,1))-AVERAGE(OFFSET($H$3,0,0,'Données projet'!$E$10+1,1))</f>
        <v>287.69656598881124</v>
      </c>
      <c r="AO30" s="62">
        <f t="shared" si="36"/>
        <v>221.9773436301067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7.6701938203458866</v>
      </c>
      <c r="AX30" s="23">
        <f t="shared" si="6"/>
        <v>7.6701938203458866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222.39999999999992</v>
      </c>
      <c r="BE30" s="14">
        <f>BD30*VLOOKUP('Données projet'!$B$11,Paramètres!$A$1:$I$89,3,0)*VLOOKUP('Données projet'!$B$11,Paramètres!$A$1:$I$89,5,0)</f>
        <v>104.08319999999996</v>
      </c>
      <c r="BF30" s="14">
        <f t="shared" si="37"/>
        <v>27.932486325387405</v>
      </c>
      <c r="BG30" s="22">
        <f t="shared" si="7"/>
        <v>229.92732035004965</v>
      </c>
      <c r="BH30" s="62">
        <f t="shared" si="8"/>
        <v>523.260653683383</v>
      </c>
      <c r="BI30" s="62">
        <f ca="1">AVERAGE(OFFSET($BH$3,0,0,'Données projet'!$E$11+1,1))-AVERAGE(OFFSET($H$3,0,0,'Données projet'!$E$11+1,1))</f>
        <v>310.95287409903602</v>
      </c>
      <c r="BJ30" s="62">
        <f t="shared" si="38"/>
        <v>224.10083380795163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17.8</v>
      </c>
      <c r="BY30" s="13">
        <f>IF('Données projet'!$A$114&gt;35,BY29+BX30-CG29,IF(A30&lt;'Données projet'!$A$114,$BV$205^A30,IF(A30='Données projet'!$A$114,'Données projet'!$B$114,BY29+BX30-CG29)))</f>
        <v>273.60000000000002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17.8</v>
      </c>
      <c r="N31" s="14">
        <f>IF('Données projet'!$A$36&gt;35,N30+M31-V30,IF(A31&lt;'Données projet'!$A$36,$K$205^A31,IF(A31='Données projet'!$A$36,'Données projet'!$B$36,N30+M31-V30)))</f>
        <v>291.40000000000003</v>
      </c>
      <c r="O31" s="14">
        <f>N31*VLOOKUP('Données projet'!$B$9,Paramètres!$A$1:$I$89,3,0)*VLOOKUP('Données projet'!$B$9,Paramètres!$A$1:$I$89,5,0)</f>
        <v>159.1044</v>
      </c>
      <c r="P31" s="14">
        <f t="shared" si="33"/>
        <v>40.640444381186896</v>
      </c>
      <c r="Q31" s="22">
        <f t="shared" si="2"/>
        <v>347.88893729723378</v>
      </c>
      <c r="R31" s="62">
        <f t="shared" si="0"/>
        <v>641.2222706305671</v>
      </c>
      <c r="S31" s="62">
        <f ca="1">AVERAGE(OFFSET($R$3,0,0,'Données projet'!$E$9+1,1))-AVERAGE(OFFSET($H$3,0,0,'Données projet'!$E$9+1,1))</f>
        <v>240.19940780300527</v>
      </c>
      <c r="T31" s="62">
        <f t="shared" si="34"/>
        <v>355.71054384071715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8.7713561425412028</v>
      </c>
      <c r="AB31" s="23">
        <f>EXP(-LN(2)/2)*AB30+(1-EXP(-LN(2)/2))/(LN(2)/2)*V31*Y31*VLOOKUP('Données projet'!$B$9,Paramètres!$A$1:$I$89,3,0)*0.475*44/12</f>
        <v>12.252352981231498</v>
      </c>
      <c r="AC31" s="24">
        <f t="shared" si="3"/>
        <v>21.023709123772701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13.4</v>
      </c>
      <c r="AI31" s="14">
        <f>IF('Données projet'!$A$62&gt;35,AI30+AH31-AQ30,IF(A31&lt;'Données projet'!$A$62,$AF$205^A31,IF(A31='Données projet'!$A$62,'Données projet'!$B$62,AI30+AH31-AQ30)))</f>
        <v>167.20000000000005</v>
      </c>
      <c r="AJ31" s="14">
        <f>AI31*VLOOKUP('Données projet'!$B$10,Paramètres!$A$1:$I$89,3,0)*VLOOKUP('Données projet'!$B$10,Paramètres!$A$1:$I$89,5,0)</f>
        <v>99.985600000000034</v>
      </c>
      <c r="AK31" s="14">
        <f t="shared" si="35"/>
        <v>26.958566918169435</v>
      </c>
      <c r="AL31" s="22">
        <f t="shared" si="4"/>
        <v>221.09442404914515</v>
      </c>
      <c r="AM31" s="62">
        <f t="shared" si="5"/>
        <v>514.42775738247849</v>
      </c>
      <c r="AN31" s="62">
        <f ca="1">AVERAGE(OFFSET($AM$3,0,0,'Données projet'!$E$10+1,1))-AVERAGE(OFFSET($H$3,0,0,'Données projet'!$E$10+1,1))</f>
        <v>287.69656598881124</v>
      </c>
      <c r="AO31" s="62">
        <f t="shared" si="36"/>
        <v>221.9773436301067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5.4236460633817281</v>
      </c>
      <c r="AX31" s="23">
        <f t="shared" si="6"/>
        <v>5.4236460633817281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231.59999999999991</v>
      </c>
      <c r="BE31" s="14">
        <f>BD31*VLOOKUP('Données projet'!$B$11,Paramètres!$A$1:$I$89,3,0)*VLOOKUP('Données projet'!$B$11,Paramètres!$A$1:$I$89,5,0)</f>
        <v>108.38879999999996</v>
      </c>
      <c r="BF31" s="14">
        <f t="shared" si="37"/>
        <v>28.95104790024919</v>
      </c>
      <c r="BG31" s="22">
        <f t="shared" si="7"/>
        <v>239.20023509293392</v>
      </c>
      <c r="BH31" s="62">
        <f t="shared" si="8"/>
        <v>532.53356842626727</v>
      </c>
      <c r="BI31" s="62">
        <f ca="1">AVERAGE(OFFSET($BH$3,0,0,'Données projet'!$E$11+1,1))-AVERAGE(OFFSET($H$3,0,0,'Données projet'!$E$11+1,1))</f>
        <v>310.95287409903602</v>
      </c>
      <c r="BJ31" s="62">
        <f t="shared" si="38"/>
        <v>224.10083380795163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17.8</v>
      </c>
      <c r="BY31" s="13">
        <f>IF('Données projet'!$A$114&gt;35,BY30+BX31-CG30,IF(A31&lt;'Données projet'!$A$114,$BV$205^A31,IF(A31='Données projet'!$A$114,'Données projet'!$B$114,BY30+BX31-CG30)))</f>
        <v>291.40000000000003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17.8</v>
      </c>
      <c r="N32" s="14">
        <f>IF('Données projet'!$A$36&gt;35,N31+M32-V31,IF(A32&lt;'Données projet'!$A$36,$K$205^A32,IF(A32='Données projet'!$A$36,'Données projet'!$B$36,N31+M32-V31)))</f>
        <v>309.20000000000005</v>
      </c>
      <c r="O32" s="14">
        <f>N32*VLOOKUP('Données projet'!$B$9,Paramètres!$A$1:$I$89,3,0)*VLOOKUP('Données projet'!$B$9,Paramètres!$A$1:$I$89,5,0)</f>
        <v>168.82320000000001</v>
      </c>
      <c r="P32" s="14">
        <f t="shared" si="33"/>
        <v>42.826353072849329</v>
      </c>
      <c r="Q32" s="22">
        <f t="shared" si="2"/>
        <v>368.62297160187927</v>
      </c>
      <c r="R32" s="62">
        <f t="shared" si="0"/>
        <v>661.95630493521253</v>
      </c>
      <c r="S32" s="62">
        <f ca="1">AVERAGE(OFFSET($R$3,0,0,'Données projet'!$E$9+1,1))-AVERAGE(OFFSET($H$3,0,0,'Données projet'!$E$9+1,1))</f>
        <v>240.19940780300527</v>
      </c>
      <c r="T32" s="62">
        <f t="shared" si="34"/>
        <v>355.71054384071715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8.5315029475578417</v>
      </c>
      <c r="AB32" s="23">
        <f>EXP(-LN(2)/2)*AB31+(1-EXP(-LN(2)/2))/(LN(2)/2)*V32*Y32*VLOOKUP('Données projet'!$B$9,Paramètres!$A$1:$I$89,3,0)*0.475*44/12</f>
        <v>8.6637218785200041</v>
      </c>
      <c r="AC32" s="24">
        <f t="shared" si="3"/>
        <v>17.195224826077848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13.4</v>
      </c>
      <c r="AI32" s="14">
        <f>IF('Données projet'!$A$62&gt;35,AI31+AH32-AQ31,IF(A32&lt;'Données projet'!$A$62,$AF$205^A32,IF(A32='Données projet'!$A$62,'Données projet'!$B$62,AI31+AH32-AQ31)))</f>
        <v>180.60000000000005</v>
      </c>
      <c r="AJ32" s="14">
        <f>AI32*VLOOKUP('Données projet'!$B$10,Paramètres!$A$1:$I$89,3,0)*VLOOKUP('Données projet'!$B$10,Paramètres!$A$1:$I$89,5,0)</f>
        <v>107.99880000000003</v>
      </c>
      <c r="AK32" s="14">
        <f t="shared" si="35"/>
        <v>28.85898360070161</v>
      </c>
      <c r="AL32" s="22">
        <f t="shared" si="4"/>
        <v>238.36063977122203</v>
      </c>
      <c r="AM32" s="62">
        <f t="shared" si="5"/>
        <v>531.69397310455531</v>
      </c>
      <c r="AN32" s="62">
        <f ca="1">AVERAGE(OFFSET($AM$3,0,0,'Données projet'!$E$10+1,1))-AVERAGE(OFFSET($H$3,0,0,'Données projet'!$E$10+1,1))</f>
        <v>287.69656598881124</v>
      </c>
      <c r="AO32" s="62">
        <f t="shared" si="36"/>
        <v>221.9773436301067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3.8350969101729437</v>
      </c>
      <c r="AX32" s="23">
        <f t="shared" si="6"/>
        <v>3.8350969101729437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240.7999999999999</v>
      </c>
      <c r="BE32" s="14">
        <f>BD32*VLOOKUP('Données projet'!$B$11,Paramètres!$A$1:$I$89,3,0)*VLOOKUP('Données projet'!$B$11,Paramètres!$A$1:$I$89,5,0)</f>
        <v>112.69439999999994</v>
      </c>
      <c r="BF32" s="14">
        <f t="shared" si="37"/>
        <v>29.964909381330607</v>
      </c>
      <c r="BG32" s="22">
        <f t="shared" si="7"/>
        <v>248.46496383915073</v>
      </c>
      <c r="BH32" s="62">
        <f t="shared" si="8"/>
        <v>541.79829717248401</v>
      </c>
      <c r="BI32" s="62">
        <f ca="1">AVERAGE(OFFSET($BH$3,0,0,'Données projet'!$E$11+1,1))-AVERAGE(OFFSET($H$3,0,0,'Données projet'!$E$11+1,1))</f>
        <v>310.95287409903602</v>
      </c>
      <c r="BJ32" s="62">
        <f t="shared" si="38"/>
        <v>224.10083380795163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17.8</v>
      </c>
      <c r="BY32" s="13">
        <f>IF('Données projet'!$A$114&gt;35,BY31+BX32-CG31,IF(A32&lt;'Données projet'!$A$114,$BV$205^A32,IF(A32='Données projet'!$A$114,'Données projet'!$B$114,BY31+BX32-CG31)))</f>
        <v>309.20000000000005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327</v>
      </c>
      <c r="L33" s="13">
        <f>VLOOKUP(A33,'Données projet'!$A$35:$I$55,9,0)</f>
        <v>17.8</v>
      </c>
      <c r="M33" s="13">
        <f t="array" ref="M33">INDEX(L:L,MIN(IF(ISNUMBER(L33:L229),ROW(L33:L229),"")))</f>
        <v>17.8</v>
      </c>
      <c r="N33" s="14">
        <f>IF('Données projet'!$A$36&gt;35,N32+M33-V32,IF(A33&lt;'Données projet'!$A$36,$K$205^A33,IF(A33='Données projet'!$A$36,'Données projet'!$B$36,N32+M33-V32)))</f>
        <v>327.00000000000006</v>
      </c>
      <c r="O33" s="14">
        <f>N33*VLOOKUP('Données projet'!$B$9,Paramètres!$A$1:$I$89,3,0)*VLOOKUP('Données projet'!$B$9,Paramètres!$A$1:$I$89,5,0)</f>
        <v>178.54200000000006</v>
      </c>
      <c r="P33" s="14">
        <f t="shared" si="33"/>
        <v>44.997654647354175</v>
      </c>
      <c r="Q33" s="22">
        <f t="shared" si="2"/>
        <v>389.33156517747528</v>
      </c>
      <c r="R33" s="62">
        <f t="shared" si="0"/>
        <v>682.6648985108086</v>
      </c>
      <c r="S33" s="62">
        <f ca="1">AVERAGE(OFFSET($R$3,0,0,'Données projet'!$E$9+1,1))-AVERAGE(OFFSET($H$3,0,0,'Données projet'!$E$9+1,1))</f>
        <v>240.19940780300527</v>
      </c>
      <c r="T33" s="62">
        <f t="shared" si="34"/>
        <v>355.71054384071715</v>
      </c>
      <c r="U33" s="16">
        <f>IF(ISNA(VLOOKUP(A33,'Données projet'!$A$35:$I$55,3,0)),0,VLOOKUP(A33,'Données projet'!$A$35:$I$55,3,0))</f>
        <v>5</v>
      </c>
      <c r="V33" s="16">
        <f>IF(ISNA(VLOOKUP(A33,'Données projet'!$A$35:$I$55,4,0)),0,VLOOKUP(A33,'Données projet'!$A$35:$I$55,4,0))</f>
        <v>48</v>
      </c>
      <c r="W33" s="17">
        <f>IF(ISNA(VLOOKUP(A33,'Données projet'!$A$35:$I$55,5,0)),0%,VLOOKUP(A33,'Données projet'!$A$35:$I$55,5,0)*VLOOKUP('Données projet'!$B$9,Paramètres!$A$1:$I$89,7,0))</f>
        <v>0.06</v>
      </c>
      <c r="X33" s="17">
        <f>IF(ISNA(VLOOKUP(A33,'Données projet'!$A$35:$I$55,6,0)),0%,VLOOKUP(A33,'Données projet'!$A$35:$I$55,6,0)*VLOOKUP('Données projet'!$B$9,Paramètres!$A$1:$I$89,7,0))</f>
        <v>0.12</v>
      </c>
      <c r="Y33" s="17">
        <f>IF(ISNA(VLOOKUP(A33,'Données projet'!$A$35:$I$55,7,0)),0%,VLOOKUP(A33,'Données projet'!$A$35:$I$55,7,0))</f>
        <v>0.7</v>
      </c>
      <c r="Z33" s="23">
        <f>EXP(-LN(2)/35)*Z32+(1-EXP(-LN(2)/35))/(LN(2)/35)*V33*W33*VLOOKUP('Données projet'!$B$9,Paramètres!$A$1:$I$89,3,0)*0.475*44/12</f>
        <v>2.0859960748895681</v>
      </c>
      <c r="AA33" s="23">
        <f>EXP(-LN(2)/25)*AA32+(1-EXP(-LN(2)/25))/(LN(2)/25)*Calculateur!V33*Calculateur!X33*VLOOKUP('Données projet'!$B$9,Paramètres!$A$1:$I$89,3,0)*0.475*44/12</f>
        <v>12.453773977836452</v>
      </c>
      <c r="AB33" s="23">
        <f>EXP(-LN(2)/2)*AB32+(1-EXP(-LN(2)/2))/(LN(2)/2)*V33*Y33*VLOOKUP('Données projet'!$B$9,Paramètres!$A$1:$I$89,3,0)*0.475*44/12</f>
        <v>26.897657328117276</v>
      </c>
      <c r="AC33" s="24">
        <f t="shared" si="3"/>
        <v>41.437427380843296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194</v>
      </c>
      <c r="AG33" s="13">
        <f>VLOOKUP(A33,'Données projet'!$A$61:$I$81,9,0)</f>
        <v>13.4</v>
      </c>
      <c r="AH33" s="13">
        <f t="array" ref="AH33">INDEX(AG:AG,MIN(IF(ISNUMBER(AG33:AG229),ROW(AG33:AG229),"")))</f>
        <v>13.4</v>
      </c>
      <c r="AI33" s="14">
        <f>IF('Données projet'!$A$62&gt;35,AI32+AH33-AQ32,IF(A33&lt;'Données projet'!$A$62,$AF$205^A33,IF(A33='Données projet'!$A$62,'Données projet'!$B$62,AI32+AH33-AQ32)))</f>
        <v>194.00000000000006</v>
      </c>
      <c r="AJ33" s="14">
        <f>AI33*VLOOKUP('Données projet'!$B$10,Paramètres!$A$1:$I$89,3,0)*VLOOKUP('Données projet'!$B$10,Paramètres!$A$1:$I$89,5,0)</f>
        <v>116.01200000000003</v>
      </c>
      <c r="AK33" s="14">
        <f t="shared" si="35"/>
        <v>30.743042086238173</v>
      </c>
      <c r="AL33" s="22">
        <f t="shared" si="4"/>
        <v>255.59836496686489</v>
      </c>
      <c r="AM33" s="62">
        <f t="shared" si="5"/>
        <v>548.93169830019815</v>
      </c>
      <c r="AN33" s="62">
        <f ca="1">AVERAGE(OFFSET($AM$3,0,0,'Données projet'!$E$10+1,1))-AVERAGE(OFFSET($H$3,0,0,'Données projet'!$E$10+1,1))</f>
        <v>287.69656598881124</v>
      </c>
      <c r="AO33" s="62">
        <f t="shared" si="36"/>
        <v>221.9773436301067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34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0.22500000000000001</v>
      </c>
      <c r="AT33" s="17">
        <f>IF(ISNA(VLOOKUP(A33,'Données projet'!$A$61:$I$81,7,0)),0%,VLOOKUP(A33,'Données projet'!$A$61:$I$81,7,0))</f>
        <v>0.5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6.0447398882791736</v>
      </c>
      <c r="AW33" s="23">
        <f>EXP(-LN(2)/2)*AW32+(1-EXP(-LN(2)/2))/(LN(2)/2)*AQ33*AT33*VLOOKUP('Données projet'!$B$10,Paramètres!$A$1:$I$89,3,0)*0.475*44/12</f>
        <v>14.222096568344917</v>
      </c>
      <c r="AX33" s="23">
        <f t="shared" si="6"/>
        <v>20.266836456624091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250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249.99999999999989</v>
      </c>
      <c r="BE33" s="14">
        <f>BD33*VLOOKUP('Données projet'!$B$11,Paramètres!$A$1:$I$89,3,0)*VLOOKUP('Données projet'!$B$11,Paramètres!$A$1:$I$89,5,0)</f>
        <v>116.99999999999994</v>
      </c>
      <c r="BF33" s="14">
        <f t="shared" si="37"/>
        <v>30.974270896484118</v>
      </c>
      <c r="BG33" s="22">
        <f t="shared" si="7"/>
        <v>257.72185514470976</v>
      </c>
      <c r="BH33" s="62">
        <f t="shared" si="8"/>
        <v>551.05518847804308</v>
      </c>
      <c r="BI33" s="62">
        <f ca="1">AVERAGE(OFFSET($BH$3,0,0,'Données projet'!$E$11+1,1))-AVERAGE(OFFSET($H$3,0,0,'Données projet'!$E$11+1,1))</f>
        <v>310.95287409903602</v>
      </c>
      <c r="BJ33" s="62">
        <f t="shared" si="38"/>
        <v>224.10083380795163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0.38500000000000001</v>
      </c>
      <c r="BN33" s="17">
        <f>IF(ISNA(VLOOKUP(A33,'Données projet'!$A$87:$I$107,6,0)),0%,VLOOKUP(A33,'Données projet'!$A$87:$I$107,6,0)*VLOOKUP('Données projet'!$B$11,Paramètres!$A$1:$I$89,7,0))</f>
        <v>8.2500000000000004E-2</v>
      </c>
      <c r="BO33" s="17">
        <f>IF(ISNA(VLOOKUP(A33,'Données projet'!$A$87:$I$107,7,0)),0%,VLOOKUP(A33,'Données projet'!$A$87:$I$107,7,0))</f>
        <v>0.15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327</v>
      </c>
      <c r="BW33" s="13">
        <f>VLOOKUP(A33,'Données projet'!$A$113:$I$133,9,0)</f>
        <v>17.8</v>
      </c>
      <c r="BX33" s="13">
        <f t="array" ref="BX33">INDEX(BW:BW,MIN(IF(ISNUMBER(BW33:BW229),ROW(BW33:BW229),"")))</f>
        <v>17.8</v>
      </c>
      <c r="BY33" s="13">
        <f>IF('Données projet'!$A$114&gt;35,BY32+BX33-CG32,IF(A33&lt;'Données projet'!$A$114,$BV$205^A33,IF(A33='Données projet'!$A$114,'Données projet'!$B$114,BY32+BX33-CG32)))</f>
        <v>327.00000000000006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5</v>
      </c>
      <c r="CG33" s="16">
        <f>IF(ISNA(VLOOKUP(A33,'Données projet'!$A$113:$I$133,4,0)),0,VLOOKUP(A33,'Données projet'!$A$113:$I$133,4,0))</f>
        <v>48</v>
      </c>
      <c r="CH33" s="17" t="e">
        <f>IF(ISNA(VLOOKUP(A33,'Données projet'!$A$113:$I$133,5,0)),0%,VLOOKUP(A33,'Données projet'!$A$113:$I$133,5,0)*VLOOKUP('Données projet'!$B$12,Paramètres!$A$1:$I$89,7,0))</f>
        <v>#N/A</v>
      </c>
      <c r="CI33" s="17" t="e">
        <f>IF(ISNA(VLOOKUP(A33,'Données projet'!$A$113:$I$133,6,0)),0%,VLOOKUP(A33,'Données projet'!$A$113:$I$133,6,0)*VLOOKUP('Données projet'!$B$12,Paramètres!$A$1:$I$89,7,0))</f>
        <v>#N/A</v>
      </c>
      <c r="CJ33" s="17">
        <f>IF(ISNA(VLOOKUP(A33,'Données projet'!$A$113:$I$133,7,0)),0%,VLOOKUP(A33,'Données projet'!$A$113:$I$133,7,0))</f>
        <v>0.7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13.6</v>
      </c>
      <c r="N34" s="14">
        <f>IF('Données projet'!$A$36&gt;35,N33+M34-V33,IF(A34&lt;'Données projet'!$A$36,$K$205^A34,IF(A34='Données projet'!$A$36,'Données projet'!$B$36,N33+M34-V33)))</f>
        <v>292.60000000000008</v>
      </c>
      <c r="O34" s="14">
        <f>N34*VLOOKUP('Données projet'!$B$9,Paramètres!$A$1:$I$89,3,0)*VLOOKUP('Données projet'!$B$9,Paramètres!$A$1:$I$89,5,0)</f>
        <v>159.75960000000003</v>
      </c>
      <c r="P34" s="14">
        <f t="shared" si="33"/>
        <v>40.788287771458215</v>
      </c>
      <c r="Q34" s="22">
        <f t="shared" si="2"/>
        <v>349.28757120195638</v>
      </c>
      <c r="R34" s="62">
        <f t="shared" si="0"/>
        <v>642.6209045352897</v>
      </c>
      <c r="S34" s="62">
        <f ca="1">AVERAGE(OFFSET($R$3,0,0,'Données projet'!$E$9+1,1))-AVERAGE(OFFSET($H$3,0,0,'Données projet'!$E$9+1,1))</f>
        <v>240.19940780300527</v>
      </c>
      <c r="T34" s="62">
        <f t="shared" si="34"/>
        <v>355.71054384071715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2.0450909641929571</v>
      </c>
      <c r="AA34" s="23">
        <f>EXP(-LN(2)/25)*AA33+(1-EXP(-LN(2)/25))/(LN(2)/25)*Calculateur!V34*Calculateur!X34*VLOOKUP('Données projet'!$B$9,Paramètres!$A$1:$I$89,3,0)*0.475*44/12</f>
        <v>12.113224873497003</v>
      </c>
      <c r="AB34" s="23">
        <f>EXP(-LN(2)/2)*AB33+(1-EXP(-LN(2)/2))/(LN(2)/2)*V34*Y34*VLOOKUP('Données projet'!$B$9,Paramètres!$A$1:$I$89,3,0)*0.475*44/12</f>
        <v>19.019515894743762</v>
      </c>
      <c r="AC34" s="24">
        <f t="shared" si="3"/>
        <v>33.177831732433724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14.6</v>
      </c>
      <c r="AI34" s="14">
        <f>IF('Données projet'!$A$62&gt;35,AI33+AH34-AQ33,IF(A34&lt;'Données projet'!$A$62,$AF$205^A34,IF(A34='Données projet'!$A$62,'Données projet'!$B$62,AI33+AH34-AQ33)))</f>
        <v>174.60000000000005</v>
      </c>
      <c r="AJ34" s="14">
        <f>AI34*VLOOKUP('Données projet'!$B$10,Paramètres!$A$1:$I$89,3,0)*VLOOKUP('Données projet'!$B$10,Paramètres!$A$1:$I$89,5,0)</f>
        <v>104.41080000000004</v>
      </c>
      <c r="AK34" s="14">
        <f t="shared" si="35"/>
        <v>28.010155571424168</v>
      </c>
      <c r="AL34" s="22">
        <f t="shared" si="4"/>
        <v>230.63316428689714</v>
      </c>
      <c r="AM34" s="62">
        <f t="shared" si="5"/>
        <v>523.96649762023048</v>
      </c>
      <c r="AN34" s="62">
        <f ca="1">AVERAGE(OFFSET($AM$3,0,0,'Données projet'!$E$10+1,1))-AVERAGE(OFFSET($H$3,0,0,'Données projet'!$E$10+1,1))</f>
        <v>287.69656598881124</v>
      </c>
      <c r="AO34" s="62">
        <f t="shared" si="36"/>
        <v>221.9773436301067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5.8794461581551243</v>
      </c>
      <c r="AW34" s="23">
        <f>EXP(-LN(2)/2)*AW33+(1-EXP(-LN(2)/2))/(LN(2)/2)*AQ34*AT34*VLOOKUP('Données projet'!$B$10,Paramètres!$A$1:$I$89,3,0)*0.475*44/12</f>
        <v>10.056540926166617</v>
      </c>
      <c r="AX34" s="23">
        <f t="shared" si="6"/>
        <v>15.935987084321741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</v>
      </c>
      <c r="BD34" s="13">
        <f>IF('Données projet'!$A$88&gt;35,BD33+BC34-BL33,IF(A34&lt;'Données projet'!$A$88,$BA$205^A34,IF(A34='Données projet'!$A$88,'Données projet'!$B$88,BD33+BC34-BL33)))</f>
        <v>259.99999999999989</v>
      </c>
      <c r="BE34" s="14">
        <f>BD34*VLOOKUP('Données projet'!$B$11,Paramètres!$A$1:$I$89,3,0)*VLOOKUP('Données projet'!$B$11,Paramètres!$A$1:$I$89,5,0)</f>
        <v>121.67999999999994</v>
      </c>
      <c r="BF34" s="14">
        <f t="shared" si="37"/>
        <v>32.066514091456256</v>
      </c>
      <c r="BG34" s="22">
        <f t="shared" si="7"/>
        <v>267.77517870928619</v>
      </c>
      <c r="BH34" s="62">
        <f t="shared" si="8"/>
        <v>561.10851204261951</v>
      </c>
      <c r="BI34" s="62">
        <f ca="1">AVERAGE(OFFSET($BH$3,0,0,'Données projet'!$E$11+1,1))-AVERAGE(OFFSET($H$3,0,0,'Données projet'!$E$11+1,1))</f>
        <v>310.95287409903602</v>
      </c>
      <c r="BJ34" s="62">
        <f t="shared" si="38"/>
        <v>224.10083380795163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13.6</v>
      </c>
      <c r="BY34" s="13">
        <f>IF('Données projet'!$A$114&gt;35,BY33+BX34-CG33,IF(A34&lt;'Données projet'!$A$114,$BV$205^A34,IF(A34='Données projet'!$A$114,'Données projet'!$B$114,BY33+BX34-CG33)))</f>
        <v>292.60000000000008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13.6</v>
      </c>
      <c r="N35" s="14">
        <f>IF('Données projet'!$A$36&gt;35,N34+M35-V34,IF(A35&lt;'Données projet'!$A$36,$K$205^A35,IF(A35='Données projet'!$A$36,'Données projet'!$B$36,N34+M35-V34)))</f>
        <v>306.2000000000001</v>
      </c>
      <c r="O35" s="14">
        <f>N35*VLOOKUP('Données projet'!$B$9,Paramètres!$A$1:$I$89,3,0)*VLOOKUP('Données projet'!$B$9,Paramètres!$A$1:$I$89,5,0)</f>
        <v>167.18520000000007</v>
      </c>
      <c r="P35" s="14">
        <f t="shared" si="33"/>
        <v>42.458990736132044</v>
      </c>
      <c r="Q35" s="22">
        <f t="shared" ref="Q35:Q66" si="53">(O35+P35)*0.475*44/12</f>
        <v>365.13029886543012</v>
      </c>
      <c r="R35" s="62">
        <f t="shared" si="0"/>
        <v>658.46363219876343</v>
      </c>
      <c r="S35" s="62">
        <f ca="1">AVERAGE(OFFSET($R$3,0,0,'Données projet'!$E$9+1,1))-AVERAGE(OFFSET($H$3,0,0,'Données projet'!$E$9+1,1))</f>
        <v>240.19940780300527</v>
      </c>
      <c r="T35" s="62">
        <f t="shared" si="34"/>
        <v>355.71054384071715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2.0049879777674526</v>
      </c>
      <c r="AA35" s="23">
        <f>EXP(-LN(2)/25)*AA34+(1-EXP(-LN(2)/25))/(LN(2)/25)*Calculateur!V35*Calculateur!X35*VLOOKUP('Données projet'!$B$9,Paramètres!$A$1:$I$89,3,0)*0.475*44/12</f>
        <v>11.781988102324418</v>
      </c>
      <c r="AB35" s="23">
        <f>EXP(-LN(2)/2)*AB34+(1-EXP(-LN(2)/2))/(LN(2)/2)*V35*Y35*VLOOKUP('Données projet'!$B$9,Paramètres!$A$1:$I$89,3,0)*0.475*44/12</f>
        <v>13.448828664058642</v>
      </c>
      <c r="AC35" s="24">
        <f t="shared" si="3"/>
        <v>27.235804744150514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14.6</v>
      </c>
      <c r="AI35" s="14">
        <f>IF('Données projet'!$A$62&gt;35,AI34+AH35-AQ34,IF(A35&lt;'Données projet'!$A$62,$AF$205^A35,IF(A35='Données projet'!$A$62,'Données projet'!$B$62,AI34+AH35-AQ34)))</f>
        <v>189.20000000000005</v>
      </c>
      <c r="AJ35" s="14">
        <f>AI35*VLOOKUP('Données projet'!$B$10,Paramètres!$A$1:$I$89,3,0)*VLOOKUP('Données projet'!$B$10,Paramètres!$A$1:$I$89,5,0)</f>
        <v>113.14160000000004</v>
      </c>
      <c r="AK35" s="14">
        <f t="shared" si="35"/>
        <v>30.069952587742019</v>
      </c>
      <c r="AL35" s="22">
        <f t="shared" si="4"/>
        <v>249.42678742365072</v>
      </c>
      <c r="AM35" s="62">
        <f t="shared" si="5"/>
        <v>542.76012075698407</v>
      </c>
      <c r="AN35" s="62">
        <f ca="1">AVERAGE(OFFSET($AM$3,0,0,'Données projet'!$E$10+1,1))-AVERAGE(OFFSET($H$3,0,0,'Données projet'!$E$10+1,1))</f>
        <v>287.69656598881124</v>
      </c>
      <c r="AO35" s="62">
        <f t="shared" si="36"/>
        <v>221.9773436301067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5.7186723937737369</v>
      </c>
      <c r="AW35" s="23">
        <f>EXP(-LN(2)/2)*AW34+(1-EXP(-LN(2)/2))/(LN(2)/2)*AQ35*AT35*VLOOKUP('Données projet'!$B$10,Paramètres!$A$1:$I$89,3,0)*0.475*44/12</f>
        <v>7.1110482841724583</v>
      </c>
      <c r="AX35" s="23">
        <f t="shared" si="6"/>
        <v>12.829720677946195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</v>
      </c>
      <c r="BD35" s="13">
        <f>IF('Données projet'!$A$88&gt;35,BD34+BC35-BL34,IF(A35&lt;'Données projet'!$A$88,$BA$205^A35,IF(A35='Données projet'!$A$88,'Données projet'!$B$88,BD34+BC35-BL34)))</f>
        <v>269.99999999999989</v>
      </c>
      <c r="BE35" s="14">
        <f>BD35*VLOOKUP('Données projet'!$B$11,Paramètres!$A$1:$I$89,3,0)*VLOOKUP('Données projet'!$B$11,Paramètres!$A$1:$I$89,5,0)</f>
        <v>126.35999999999996</v>
      </c>
      <c r="BF35" s="14">
        <f t="shared" si="37"/>
        <v>33.153877056327453</v>
      </c>
      <c r="BG35" s="22">
        <f t="shared" si="7"/>
        <v>277.82000253977026</v>
      </c>
      <c r="BH35" s="62">
        <f t="shared" si="8"/>
        <v>571.15333587310352</v>
      </c>
      <c r="BI35" s="62">
        <f ca="1">AVERAGE(OFFSET($BH$3,0,0,'Données projet'!$E$11+1,1))-AVERAGE(OFFSET($H$3,0,0,'Données projet'!$E$11+1,1))</f>
        <v>310.95287409903602</v>
      </c>
      <c r="BJ35" s="62">
        <f t="shared" si="38"/>
        <v>224.10083380795163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13.6</v>
      </c>
      <c r="BY35" s="13">
        <f>IF('Données projet'!$A$114&gt;35,BY34+BX35-CG34,IF(A35&lt;'Données projet'!$A$114,$BV$205^A35,IF(A35='Données projet'!$A$114,'Données projet'!$B$114,BY34+BX35-CG34)))</f>
        <v>306.2000000000001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13.6</v>
      </c>
      <c r="N36" s="14">
        <f>IF('Données projet'!$A$36&gt;35,N35+M36-V35,IF(A36&lt;'Données projet'!$A$36,$K$205^A36,IF(A36='Données projet'!$A$36,'Données projet'!$B$36,N35+M36-V35)))</f>
        <v>319.80000000000013</v>
      </c>
      <c r="O36" s="14">
        <f>N36*VLOOKUP('Données projet'!$B$9,Paramètres!$A$1:$I$89,3,0)*VLOOKUP('Données projet'!$B$9,Paramètres!$A$1:$I$89,5,0)</f>
        <v>174.6108000000001</v>
      </c>
      <c r="P36" s="14">
        <f t="shared" si="33"/>
        <v>44.121075539920255</v>
      </c>
      <c r="Q36" s="22">
        <f t="shared" si="53"/>
        <v>380.95801656536122</v>
      </c>
      <c r="R36" s="62">
        <f t="shared" si="0"/>
        <v>674.29134989869453</v>
      </c>
      <c r="S36" s="62">
        <f ca="1">AVERAGE(OFFSET($R$3,0,0,'Données projet'!$E$9+1,1))-AVERAGE(OFFSET($H$3,0,0,'Données projet'!$E$9+1,1))</f>
        <v>240.19940780300527</v>
      </c>
      <c r="T36" s="62">
        <f t="shared" si="34"/>
        <v>355.71054384071715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1.9656713864453459</v>
      </c>
      <c r="AA36" s="23">
        <f>EXP(-LN(2)/25)*AA35+(1-EXP(-LN(2)/25))/(LN(2)/25)*Calculateur!V36*Calculateur!X36*VLOOKUP('Données projet'!$B$9,Paramètres!$A$1:$I$89,3,0)*0.475*44/12</f>
        <v>11.459809018078531</v>
      </c>
      <c r="AB36" s="23">
        <f>EXP(-LN(2)/2)*AB35+(1-EXP(-LN(2)/2))/(LN(2)/2)*V36*Y36*VLOOKUP('Données projet'!$B$9,Paramètres!$A$1:$I$89,3,0)*0.475*44/12</f>
        <v>9.5097579473718827</v>
      </c>
      <c r="AC36" s="24">
        <f t="shared" si="3"/>
        <v>22.935238351895759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14.6</v>
      </c>
      <c r="AI36" s="14">
        <f>IF('Données projet'!$A$62&gt;35,AI35+AH36-AQ35,IF(A36&lt;'Données projet'!$A$62,$AF$205^A36,IF(A36='Données projet'!$A$62,'Données projet'!$B$62,AI35+AH36-AQ35)))</f>
        <v>203.80000000000004</v>
      </c>
      <c r="AJ36" s="14">
        <f>AI36*VLOOKUP('Données projet'!$B$10,Paramètres!$A$1:$I$89,3,0)*VLOOKUP('Données projet'!$B$10,Paramètres!$A$1:$I$89,5,0)</f>
        <v>121.87240000000003</v>
      </c>
      <c r="AK36" s="14">
        <f t="shared" si="35"/>
        <v>32.111311550408985</v>
      </c>
      <c r="AL36" s="22">
        <f t="shared" si="4"/>
        <v>268.1882976169623</v>
      </c>
      <c r="AM36" s="62">
        <f t="shared" si="5"/>
        <v>561.52163095029562</v>
      </c>
      <c r="AN36" s="62">
        <f ca="1">AVERAGE(OFFSET($AM$3,0,0,'Données projet'!$E$10+1,1))-AVERAGE(OFFSET($H$3,0,0,'Données projet'!$E$10+1,1))</f>
        <v>287.69656598881124</v>
      </c>
      <c r="AO36" s="62">
        <f t="shared" si="36"/>
        <v>221.9773436301067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5.5622949964340833</v>
      </c>
      <c r="AW36" s="23">
        <f>EXP(-LN(2)/2)*AW35+(1-EXP(-LN(2)/2))/(LN(2)/2)*AQ36*AT36*VLOOKUP('Données projet'!$B$10,Paramètres!$A$1:$I$89,3,0)*0.475*44/12</f>
        <v>5.0282704630833086</v>
      </c>
      <c r="AX36" s="23">
        <f t="shared" si="6"/>
        <v>10.590565459517393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</v>
      </c>
      <c r="BD36" s="13">
        <f>IF('Données projet'!$A$88&gt;35,BD35+BC36-BL35,IF(A36&lt;'Données projet'!$A$88,$BA$205^A36,IF(A36='Données projet'!$A$88,'Données projet'!$B$88,BD35+BC36-BL35)))</f>
        <v>279.99999999999989</v>
      </c>
      <c r="BE36" s="14">
        <f>BD36*VLOOKUP('Données projet'!$B$11,Paramètres!$A$1:$I$89,3,0)*VLOOKUP('Données projet'!$B$11,Paramètres!$A$1:$I$89,5,0)</f>
        <v>131.03999999999994</v>
      </c>
      <c r="BF36" s="14">
        <f t="shared" si="37"/>
        <v>34.236561238949889</v>
      </c>
      <c r="BG36" s="22">
        <f t="shared" si="7"/>
        <v>287.85667749117096</v>
      </c>
      <c r="BH36" s="62">
        <f t="shared" si="8"/>
        <v>581.19001082450427</v>
      </c>
      <c r="BI36" s="62">
        <f ca="1">AVERAGE(OFFSET($BH$3,0,0,'Données projet'!$E$11+1,1))-AVERAGE(OFFSET($H$3,0,0,'Données projet'!$E$11+1,1))</f>
        <v>310.95287409903602</v>
      </c>
      <c r="BJ36" s="62">
        <f t="shared" si="38"/>
        <v>224.10083380795163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13.6</v>
      </c>
      <c r="BY36" s="13">
        <f>IF('Données projet'!$A$114&gt;35,BY35+BX36-CG35,IF(A36&lt;'Données projet'!$A$114,$BV$205^A36,IF(A36='Données projet'!$A$114,'Données projet'!$B$114,BY35+BX36-CG35)))</f>
        <v>319.80000000000013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13.6</v>
      </c>
      <c r="N37" s="14">
        <f>IF('Données projet'!$A$36&gt;35,N36+M37-V36,IF(A37&lt;'Données projet'!$A$36,$K$205^A37,IF(A37='Données projet'!$A$36,'Données projet'!$B$36,N36+M37-V36)))</f>
        <v>333.40000000000015</v>
      </c>
      <c r="O37" s="14">
        <f>N37*VLOOKUP('Données projet'!$B$9,Paramètres!$A$1:$I$89,3,0)*VLOOKUP('Données projet'!$B$9,Paramètres!$A$1:$I$89,5,0)</f>
        <v>182.03640000000007</v>
      </c>
      <c r="P37" s="14">
        <f t="shared" si="33"/>
        <v>45.774950584579294</v>
      </c>
      <c r="Q37" s="22">
        <f t="shared" si="53"/>
        <v>396.77143560147573</v>
      </c>
      <c r="R37" s="62">
        <f t="shared" si="0"/>
        <v>690.10476893480904</v>
      </c>
      <c r="S37" s="62">
        <f ca="1">AVERAGE(OFFSET($R$3,0,0,'Données projet'!$E$9+1,1))-AVERAGE(OFFSET($H$3,0,0,'Données projet'!$E$9+1,1))</f>
        <v>240.19940780300527</v>
      </c>
      <c r="T37" s="62">
        <f t="shared" si="34"/>
        <v>355.71054384071715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1.9271257694983128</v>
      </c>
      <c r="AA37" s="23">
        <f>EXP(-LN(2)/25)*AA36+(1-EXP(-LN(2)/25))/(LN(2)/25)*Calculateur!V37*Calculateur!X37*VLOOKUP('Données projet'!$B$9,Paramètres!$A$1:$I$89,3,0)*0.475*44/12</f>
        <v>11.146439937834009</v>
      </c>
      <c r="AB37" s="23">
        <f>EXP(-LN(2)/2)*AB36+(1-EXP(-LN(2)/2))/(LN(2)/2)*V37*Y37*VLOOKUP('Données projet'!$B$9,Paramètres!$A$1:$I$89,3,0)*0.475*44/12</f>
        <v>6.7244143320293217</v>
      </c>
      <c r="AC37" s="24">
        <f t="shared" si="3"/>
        <v>19.797980039361644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14.6</v>
      </c>
      <c r="AI37" s="14">
        <f>IF('Données projet'!$A$62&gt;35,AI36+AH37-AQ36,IF(A37&lt;'Données projet'!$A$62,$AF$205^A37,IF(A37='Données projet'!$A$62,'Données projet'!$B$62,AI36+AH37-AQ36)))</f>
        <v>218.40000000000003</v>
      </c>
      <c r="AJ37" s="14">
        <f>AI37*VLOOKUP('Données projet'!$B$10,Paramètres!$A$1:$I$89,3,0)*VLOOKUP('Données projet'!$B$10,Paramètres!$A$1:$I$89,5,0)</f>
        <v>130.60320000000004</v>
      </c>
      <c r="AK37" s="14">
        <f t="shared" si="35"/>
        <v>34.135703567016428</v>
      </c>
      <c r="AL37" s="22">
        <f t="shared" si="4"/>
        <v>286.92025704588701</v>
      </c>
      <c r="AM37" s="62">
        <f t="shared" si="5"/>
        <v>580.25359037922033</v>
      </c>
      <c r="AN37" s="62">
        <f ca="1">AVERAGE(OFFSET($AM$3,0,0,'Données projet'!$E$10+1,1))-AVERAGE(OFFSET($H$3,0,0,'Données projet'!$E$10+1,1))</f>
        <v>287.69656598881124</v>
      </c>
      <c r="AO37" s="62">
        <f t="shared" si="36"/>
        <v>221.9773436301067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5.4101937472482122</v>
      </c>
      <c r="AW37" s="23">
        <f>EXP(-LN(2)/2)*AW36+(1-EXP(-LN(2)/2))/(LN(2)/2)*AQ37*AT37*VLOOKUP('Données projet'!$B$10,Paramètres!$A$1:$I$89,3,0)*0.475*44/12</f>
        <v>3.5555241420862291</v>
      </c>
      <c r="AX37" s="23">
        <f t="shared" si="6"/>
        <v>8.9657178893344422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</v>
      </c>
      <c r="BD37" s="13">
        <f>IF('Données projet'!$A$88&gt;35,BD36+BC37-BL36,IF(A37&lt;'Données projet'!$A$88,$BA$205^A37,IF(A37='Données projet'!$A$88,'Données projet'!$B$88,BD36+BC37-BL36)))</f>
        <v>289.99999999999989</v>
      </c>
      <c r="BE37" s="14">
        <f>BD37*VLOOKUP('Données projet'!$B$11,Paramètres!$A$1:$I$89,3,0)*VLOOKUP('Données projet'!$B$11,Paramètres!$A$1:$I$89,5,0)</f>
        <v>135.71999999999994</v>
      </c>
      <c r="BF37" s="14">
        <f t="shared" si="37"/>
        <v>35.314752882348131</v>
      </c>
      <c r="BG37" s="22">
        <f t="shared" si="7"/>
        <v>297.8855279367562</v>
      </c>
      <c r="BH37" s="62">
        <f t="shared" si="8"/>
        <v>591.21886127008952</v>
      </c>
      <c r="BI37" s="62">
        <f ca="1">AVERAGE(OFFSET($BH$3,0,0,'Données projet'!$E$11+1,1))-AVERAGE(OFFSET($H$3,0,0,'Données projet'!$E$11+1,1))</f>
        <v>310.95287409903602</v>
      </c>
      <c r="BJ37" s="62">
        <f t="shared" si="38"/>
        <v>224.10083380795163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13.6</v>
      </c>
      <c r="BY37" s="13">
        <f>IF('Données projet'!$A$114&gt;35,BY36+BX37-CG36,IF(A37&lt;'Données projet'!$A$114,$BV$205^A37,IF(A37='Données projet'!$A$114,'Données projet'!$B$114,BY36+BX37-CG36)))</f>
        <v>333.40000000000015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347</v>
      </c>
      <c r="L38" s="13">
        <f>VLOOKUP(A38,'Données projet'!$A$35:$I$55,9,0)</f>
        <v>13.6</v>
      </c>
      <c r="M38" s="13">
        <f t="array" ref="M38">INDEX(L:L,MIN(IF(ISNUMBER(L38:L234),ROW(L38:L234),"")))</f>
        <v>13.6</v>
      </c>
      <c r="N38" s="14">
        <f>IF('Données projet'!$A$36&gt;35,N37+M38-V37,IF(A38&lt;'Données projet'!$A$36,$K$205^A38,IF(A38='Données projet'!$A$36,'Données projet'!$B$36,N37+M38-V37)))</f>
        <v>347.00000000000017</v>
      </c>
      <c r="O38" s="14">
        <f>N38*VLOOKUP('Données projet'!$B$9,Paramètres!$A$1:$I$89,3,0)*VLOOKUP('Données projet'!$B$9,Paramètres!$A$1:$I$89,5,0)</f>
        <v>189.4620000000001</v>
      </c>
      <c r="P38" s="14">
        <f t="shared" si="33"/>
        <v>47.420989067433958</v>
      </c>
      <c r="Q38" s="22">
        <f t="shared" si="53"/>
        <v>412.57120595911425</v>
      </c>
      <c r="R38" s="62">
        <f t="shared" si="0"/>
        <v>705.90453929244757</v>
      </c>
      <c r="S38" s="62">
        <f ca="1">AVERAGE(OFFSET($R$3,0,0,'Données projet'!$E$9+1,1))-AVERAGE(OFFSET($H$3,0,0,'Données projet'!$E$9+1,1))</f>
        <v>240.19940780300527</v>
      </c>
      <c r="T38" s="62">
        <f t="shared" si="34"/>
        <v>355.71054384071715</v>
      </c>
      <c r="U38" s="16">
        <f>IF(ISNA(VLOOKUP(A38,'Données projet'!$A$35:$I$55,3,0)),0,VLOOKUP(A38,'Données projet'!$A$35:$I$55,3,0))</f>
        <v>6</v>
      </c>
      <c r="V38" s="16">
        <f>IF(ISNA(VLOOKUP(A38,'Données projet'!$A$35:$I$55,4,0)),0,VLOOKUP(A38,'Données projet'!$A$35:$I$55,4,0))</f>
        <v>38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1.8893360085891062</v>
      </c>
      <c r="AA38" s="23">
        <f>EXP(-LN(2)/25)*AA37+(1-EXP(-LN(2)/25))/(LN(2)/25)*Calculateur!V38*Calculateur!X38*VLOOKUP('Données projet'!$B$9,Paramètres!$A$1:$I$89,3,0)*0.475*44/12</f>
        <v>10.841639951568137</v>
      </c>
      <c r="AB38" s="23">
        <f>EXP(-LN(2)/2)*AB37+(1-EXP(-LN(2)/2))/(LN(2)/2)*V38*Y38*VLOOKUP('Données projet'!$B$9,Paramètres!$A$1:$I$89,3,0)*0.475*44/12</f>
        <v>4.7548789736859423</v>
      </c>
      <c r="AC38" s="24">
        <f t="shared" si="3"/>
        <v>17.485854933843186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233</v>
      </c>
      <c r="AG38" s="13">
        <f>VLOOKUP(A38,'Données projet'!$A$61:$I$81,9,0)</f>
        <v>14.6</v>
      </c>
      <c r="AH38" s="13">
        <f t="array" ref="AH38">INDEX(AG:AG,MIN(IF(ISNUMBER(AG38:AG234),ROW(AG38:AG234),"")))</f>
        <v>14.6</v>
      </c>
      <c r="AI38" s="14">
        <f>IF('Données projet'!$A$62&gt;35,AI37+AH38-AQ37,IF(A38&lt;'Données projet'!$A$62,$AF$205^A38,IF(A38='Données projet'!$A$62,'Données projet'!$B$62,AI37+AH38-AQ37)))</f>
        <v>233.00000000000003</v>
      </c>
      <c r="AJ38" s="14">
        <f>AI38*VLOOKUP('Données projet'!$B$10,Paramètres!$A$1:$I$89,3,0)*VLOOKUP('Données projet'!$B$10,Paramètres!$A$1:$I$89,5,0)</f>
        <v>139.33400000000003</v>
      </c>
      <c r="AK38" s="14">
        <f t="shared" si="35"/>
        <v>36.144391930570897</v>
      </c>
      <c r="AL38" s="22">
        <f t="shared" si="4"/>
        <v>305.62486594574438</v>
      </c>
      <c r="AM38" s="62">
        <f t="shared" si="5"/>
        <v>598.95819927907769</v>
      </c>
      <c r="AN38" s="62">
        <f ca="1">AVERAGE(OFFSET($AM$3,0,0,'Données projet'!$E$10+1,1))-AVERAGE(OFFSET($H$3,0,0,'Données projet'!$E$10+1,1))</f>
        <v>287.69656598881124</v>
      </c>
      <c r="AO38" s="62">
        <f t="shared" si="36"/>
        <v>221.9773436301067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41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5.2622517147199854</v>
      </c>
      <c r="AW38" s="23">
        <f>EXP(-LN(2)/2)*AW37+(1-EXP(-LN(2)/2))/(LN(2)/2)*AQ38*AT38*VLOOKUP('Données projet'!$B$10,Paramètres!$A$1:$I$89,3,0)*0.475*44/12</f>
        <v>2.5141352315416543</v>
      </c>
      <c r="AX38" s="23">
        <f t="shared" si="6"/>
        <v>7.7763869462616402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10</v>
      </c>
      <c r="BD38" s="13">
        <f>IF('Données projet'!$A$88&gt;35,BD37+BC38-BL37,IF(A38&lt;'Données projet'!$A$88,$BA$205^A38,IF(A38='Données projet'!$A$88,'Données projet'!$B$88,BD37+BC38-BL37)))</f>
        <v>299.99999999999989</v>
      </c>
      <c r="BE38" s="14">
        <f>BD38*VLOOKUP('Données projet'!$B$11,Paramètres!$A$1:$I$89,3,0)*VLOOKUP('Données projet'!$B$11,Paramètres!$A$1:$I$89,5,0)</f>
        <v>140.39999999999995</v>
      </c>
      <c r="BF38" s="14">
        <f t="shared" si="37"/>
        <v>36.388624656711166</v>
      </c>
      <c r="BG38" s="22">
        <f t="shared" si="7"/>
        <v>307.90685461043853</v>
      </c>
      <c r="BH38" s="62">
        <f t="shared" si="8"/>
        <v>601.24018794377184</v>
      </c>
      <c r="BI38" s="62">
        <f ca="1">AVERAGE(OFFSET($BH$3,0,0,'Données projet'!$E$11+1,1))-AVERAGE(OFFSET($H$3,0,0,'Données projet'!$E$11+1,1))</f>
        <v>310.95287409903602</v>
      </c>
      <c r="BJ38" s="62">
        <f t="shared" si="38"/>
        <v>224.10083380795163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347</v>
      </c>
      <c r="BW38" s="13">
        <f>VLOOKUP(A38,'Données projet'!$A$113:$I$133,9,0)</f>
        <v>13.6</v>
      </c>
      <c r="BX38" s="13">
        <f t="array" ref="BX38">INDEX(BW:BW,MIN(IF(ISNUMBER(BW38:BW234),ROW(BW38:BW234),"")))</f>
        <v>13.6</v>
      </c>
      <c r="BY38" s="13">
        <f>IF('Données projet'!$A$114&gt;35,BY37+BX38-CG37,IF(A38&lt;'Données projet'!$A$114,$BV$205^A38,IF(A38='Données projet'!$A$114,'Données projet'!$B$114,BY37+BX38-CG37)))</f>
        <v>347.00000000000017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6</v>
      </c>
      <c r="CG38" s="16">
        <f>IF(ISNA(VLOOKUP(A38,'Données projet'!$A$113:$I$133,4,0)),0,VLOOKUP(A38,'Données projet'!$A$113:$I$133,4,0))</f>
        <v>38</v>
      </c>
      <c r="CH38" s="17" t="e">
        <f>IF(ISNA(VLOOKUP(A38,'Données projet'!$A$113:$I$133,5,0)),0%,VLOOKUP(A38,'Données projet'!$A$113:$I$133,5,0)*VLOOKUP('Données projet'!$B$12,Paramètres!$A$1:$I$89,7,0))</f>
        <v>#N/A</v>
      </c>
      <c r="CI38" s="17" t="e">
        <f>IF(ISNA(VLOOKUP(A38,'Données projet'!$A$113:$I$133,6,0)),0%,VLOOKUP(A38,'Données projet'!$A$113:$I$133,6,0)*VLOOKUP('Données projet'!$B$12,Paramètres!$A$1:$I$89,7,0))</f>
        <v>#N/A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10.199999999999999</v>
      </c>
      <c r="N39" s="14">
        <f>IF('Données projet'!$A$36&gt;35,N38+M39-V38,IF(A39&lt;'Données projet'!$A$36,$K$205^A39,IF(A39='Données projet'!$A$36,'Données projet'!$B$36,N38+M39-V38)))</f>
        <v>319.20000000000016</v>
      </c>
      <c r="O39" s="14">
        <f>N39*VLOOKUP('Données projet'!$B$9,Paramètres!$A$1:$I$89,3,0)*VLOOKUP('Données projet'!$B$9,Paramètres!$A$1:$I$89,5,0)</f>
        <v>174.28320000000008</v>
      </c>
      <c r="P39" s="14">
        <f t="shared" si="33"/>
        <v>44.047924241116156</v>
      </c>
      <c r="Q39" s="22">
        <f t="shared" si="53"/>
        <v>380.26004138661079</v>
      </c>
      <c r="R39" s="62">
        <f t="shared" si="0"/>
        <v>673.59337471994411</v>
      </c>
      <c r="S39" s="62">
        <f ca="1">AVERAGE(OFFSET($R$3,0,0,'Données projet'!$E$9+1,1))-AVERAGE(OFFSET($H$3,0,0,'Données projet'!$E$9+1,1))</f>
        <v>240.19940780300527</v>
      </c>
      <c r="T39" s="62">
        <f t="shared" si="34"/>
        <v>355.71054384071715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1.852287281841851</v>
      </c>
      <c r="AA39" s="23">
        <f>EXP(-LN(2)/25)*AA38+(1-EXP(-LN(2)/25))/(LN(2)/25)*Calculateur!V39*Calculateur!X39*VLOOKUP('Données projet'!$B$9,Paramètres!$A$1:$I$89,3,0)*0.475*44/12</f>
        <v>10.54517473695544</v>
      </c>
      <c r="AB39" s="23">
        <f>EXP(-LN(2)/2)*AB38+(1-EXP(-LN(2)/2))/(LN(2)/2)*V39*Y39*VLOOKUP('Données projet'!$B$9,Paramètres!$A$1:$I$89,3,0)*0.475*44/12</f>
        <v>3.3622071660146613</v>
      </c>
      <c r="AC39" s="24">
        <f t="shared" si="3"/>
        <v>15.759669184811953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14.4</v>
      </c>
      <c r="AI39" s="14">
        <f>IF('Données projet'!$A$62&gt;35,AI38+AH39-AQ38,IF(A39&lt;'Données projet'!$A$62,$AF$205^A39,IF(A39='Données projet'!$A$62,'Données projet'!$B$62,AI38+AH39-AQ38)))</f>
        <v>206.40000000000003</v>
      </c>
      <c r="AJ39" s="14">
        <f>AI39*VLOOKUP('Données projet'!$B$10,Paramètres!$A$1:$I$89,3,0)*VLOOKUP('Données projet'!$B$10,Paramètres!$A$1:$I$89,5,0)</f>
        <v>123.42720000000003</v>
      </c>
      <c r="AK39" s="14">
        <f t="shared" si="35"/>
        <v>32.473022671122074</v>
      </c>
      <c r="AL39" s="22">
        <f t="shared" si="4"/>
        <v>271.5262211522043</v>
      </c>
      <c r="AM39" s="62">
        <f t="shared" si="5"/>
        <v>564.85955448553761</v>
      </c>
      <c r="AN39" s="62">
        <f ca="1">AVERAGE(OFFSET($AM$3,0,0,'Données projet'!$E$10+1,1))-AVERAGE(OFFSET($H$3,0,0,'Données projet'!$E$10+1,1))</f>
        <v>287.69656598881124</v>
      </c>
      <c r="AO39" s="62">
        <f t="shared" si="36"/>
        <v>221.9773436301067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5.1183551648511765</v>
      </c>
      <c r="AW39" s="23">
        <f>EXP(-LN(2)/2)*AW38+(1-EXP(-LN(2)/2))/(LN(2)/2)*AQ39*AT39*VLOOKUP('Données projet'!$B$10,Paramètres!$A$1:$I$89,3,0)*0.475*44/12</f>
        <v>1.7777620710431146</v>
      </c>
      <c r="AX39" s="23">
        <f t="shared" si="6"/>
        <v>6.896117235894291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10</v>
      </c>
      <c r="BD39" s="13">
        <f>IF('Données projet'!$A$88&gt;35,BD38+BC39-BL38,IF(A39&lt;'Données projet'!$A$88,$BA$205^A39,IF(A39='Données projet'!$A$88,'Données projet'!$B$88,BD38+BC39-BL38)))</f>
        <v>309.99999999999989</v>
      </c>
      <c r="BE39" s="14">
        <f>BD39*VLOOKUP('Données projet'!$B$11,Paramètres!$A$1:$I$89,3,0)*VLOOKUP('Données projet'!$B$11,Paramètres!$A$1:$I$89,5,0)</f>
        <v>145.07999999999996</v>
      </c>
      <c r="BF39" s="14">
        <f t="shared" si="37"/>
        <v>37.458337067672986</v>
      </c>
      <c r="BG39" s="22">
        <f t="shared" si="7"/>
        <v>317.92093705953039</v>
      </c>
      <c r="BH39" s="62">
        <f t="shared" si="8"/>
        <v>611.25427039286365</v>
      </c>
      <c r="BI39" s="62">
        <f ca="1">AVERAGE(OFFSET($BH$3,0,0,'Données projet'!$E$11+1,1))-AVERAGE(OFFSET($H$3,0,0,'Données projet'!$E$11+1,1))</f>
        <v>310.95287409903602</v>
      </c>
      <c r="BJ39" s="62">
        <f t="shared" si="38"/>
        <v>224.10083380795163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10.199999999999999</v>
      </c>
      <c r="BY39" s="13">
        <f>IF('Données projet'!$A$114&gt;35,BY38+BX39-CG38,IF(A39&lt;'Données projet'!$A$114,$BV$205^A39,IF(A39='Données projet'!$A$114,'Données projet'!$B$114,BY38+BX39-CG38)))</f>
        <v>319.20000000000016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10.199999999999999</v>
      </c>
      <c r="N40" s="14">
        <f>IF('Données projet'!$A$36&gt;35,N39+M40-V39,IF(A40&lt;'Données projet'!$A$36,$K$205^A40,IF(A40='Données projet'!$A$36,'Données projet'!$B$36,N39+M40-V39)))</f>
        <v>329.40000000000015</v>
      </c>
      <c r="O40" s="14">
        <f>N40*VLOOKUP('Données projet'!$B$9,Paramètres!$A$1:$I$89,3,0)*VLOOKUP('Données projet'!$B$9,Paramètres!$A$1:$I$89,5,0)</f>
        <v>179.8524000000001</v>
      </c>
      <c r="P40" s="14">
        <f t="shared" si="33"/>
        <v>45.289346318280131</v>
      </c>
      <c r="Q40" s="22">
        <f t="shared" si="53"/>
        <v>392.12187483767138</v>
      </c>
      <c r="R40" s="62">
        <f t="shared" si="0"/>
        <v>685.45520817100464</v>
      </c>
      <c r="S40" s="62">
        <f ca="1">AVERAGE(OFFSET($R$3,0,0,'Données projet'!$E$9+1,1))-AVERAGE(OFFSET($H$3,0,0,'Données projet'!$E$9+1,1))</f>
        <v>240.19940780300527</v>
      </c>
      <c r="T40" s="62">
        <f t="shared" si="34"/>
        <v>355.71054384071715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1.8159650580286173</v>
      </c>
      <c r="AA40" s="23">
        <f>EXP(-LN(2)/25)*AA39+(1-EXP(-LN(2)/25))/(LN(2)/25)*Calculateur!V40*Calculateur!X40*VLOOKUP('Données projet'!$B$9,Paramètres!$A$1:$I$89,3,0)*0.475*44/12</f>
        <v>10.256816379226755</v>
      </c>
      <c r="AB40" s="23">
        <f>EXP(-LN(2)/2)*AB39+(1-EXP(-LN(2)/2))/(LN(2)/2)*V40*Y40*VLOOKUP('Données projet'!$B$9,Paramètres!$A$1:$I$89,3,0)*0.475*44/12</f>
        <v>2.3774394868429711</v>
      </c>
      <c r="AC40" s="24">
        <f t="shared" si="3"/>
        <v>14.450220924098343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14.4</v>
      </c>
      <c r="AI40" s="14">
        <f>IF('Données projet'!$A$62&gt;35,AI39+AH40-AQ39,IF(A40&lt;'Données projet'!$A$62,$AF$205^A40,IF(A40='Données projet'!$A$62,'Données projet'!$B$62,AI39+AH40-AQ39)))</f>
        <v>220.80000000000004</v>
      </c>
      <c r="AJ40" s="14">
        <f>AI40*VLOOKUP('Données projet'!$B$10,Paramètres!$A$1:$I$89,3,0)*VLOOKUP('Données projet'!$B$10,Paramètres!$A$1:$I$89,5,0)</f>
        <v>132.03840000000005</v>
      </c>
      <c r="AK40" s="14">
        <f t="shared" si="35"/>
        <v>34.466946374534373</v>
      </c>
      <c r="AL40" s="22">
        <f t="shared" si="4"/>
        <v>289.99681160231415</v>
      </c>
      <c r="AM40" s="62">
        <f t="shared" si="5"/>
        <v>583.33014493564747</v>
      </c>
      <c r="AN40" s="62">
        <f ca="1">AVERAGE(OFFSET($AM$3,0,0,'Données projet'!$E$10+1,1))-AVERAGE(OFFSET($H$3,0,0,'Données projet'!$E$10+1,1))</f>
        <v>287.69656598881124</v>
      </c>
      <c r="AO40" s="62">
        <f t="shared" si="36"/>
        <v>221.9773436301067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4.9783934737057214</v>
      </c>
      <c r="AW40" s="23">
        <f>EXP(-LN(2)/2)*AW39+(1-EXP(-LN(2)/2))/(LN(2)/2)*AQ40*AT40*VLOOKUP('Données projet'!$B$10,Paramètres!$A$1:$I$89,3,0)*0.475*44/12</f>
        <v>1.2570676157708272</v>
      </c>
      <c r="AX40" s="23">
        <f t="shared" si="6"/>
        <v>6.2354610894765488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10</v>
      </c>
      <c r="BD40" s="13">
        <f>IF('Données projet'!$A$88&gt;35,BD39+BC40-BL39,IF(A40&lt;'Données projet'!$A$88,$BA$205^A40,IF(A40='Données projet'!$A$88,'Données projet'!$B$88,BD39+BC40-BL39)))</f>
        <v>319.99999999999989</v>
      </c>
      <c r="BE40" s="14">
        <f>BD40*VLOOKUP('Données projet'!$B$11,Paramètres!$A$1:$I$89,3,0)*VLOOKUP('Données projet'!$B$11,Paramètres!$A$1:$I$89,5,0)</f>
        <v>149.75999999999996</v>
      </c>
      <c r="BF40" s="14">
        <f t="shared" si="37"/>
        <v>38.524039677774766</v>
      </c>
      <c r="BG40" s="22">
        <f t="shared" si="7"/>
        <v>327.9280357721243</v>
      </c>
      <c r="BH40" s="62">
        <f t="shared" si="8"/>
        <v>621.26136910545756</v>
      </c>
      <c r="BI40" s="62">
        <f ca="1">AVERAGE(OFFSET($BH$3,0,0,'Données projet'!$E$11+1,1))-AVERAGE(OFFSET($H$3,0,0,'Données projet'!$E$11+1,1))</f>
        <v>310.95287409903602</v>
      </c>
      <c r="BJ40" s="62">
        <f t="shared" si="38"/>
        <v>224.10083380795163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10.199999999999999</v>
      </c>
      <c r="BY40" s="13">
        <f>IF('Données projet'!$A$114&gt;35,BY39+BX40-CG39,IF(A40&lt;'Données projet'!$A$114,$BV$205^A40,IF(A40='Données projet'!$A$114,'Données projet'!$B$114,BY39+BX40-CG39)))</f>
        <v>329.40000000000015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10.199999999999999</v>
      </c>
      <c r="N41" s="14">
        <f>IF('Données projet'!$A$36&gt;35,N40+M41-V40,IF(A41&lt;'Données projet'!$A$36,$K$205^A41,IF(A41='Données projet'!$A$36,'Données projet'!$B$36,N40+M41-V40)))</f>
        <v>339.60000000000014</v>
      </c>
      <c r="O41" s="14">
        <f>N41*VLOOKUP('Données projet'!$B$9,Paramètres!$A$1:$I$89,3,0)*VLOOKUP('Données projet'!$B$9,Paramètres!$A$1:$I$89,5,0)</f>
        <v>185.4216000000001</v>
      </c>
      <c r="P41" s="14">
        <f t="shared" si="33"/>
        <v>46.526301148997497</v>
      </c>
      <c r="Q41" s="22">
        <f t="shared" si="53"/>
        <v>403.97592783450415</v>
      </c>
      <c r="R41" s="62">
        <f t="shared" si="0"/>
        <v>697.30926116783746</v>
      </c>
      <c r="S41" s="62">
        <f ca="1">AVERAGE(OFFSET($R$3,0,0,'Données projet'!$E$9+1,1))-AVERAGE(OFFSET($H$3,0,0,'Données projet'!$E$9+1,1))</f>
        <v>240.19940780300527</v>
      </c>
      <c r="T41" s="62">
        <f t="shared" si="34"/>
        <v>355.71054384071715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1.7803550908699921</v>
      </c>
      <c r="AA41" s="23">
        <f>EXP(-LN(2)/25)*AA40+(1-EXP(-LN(2)/25))/(LN(2)/25)*Calculateur!V41*Calculateur!X41*VLOOKUP('Données projet'!$B$9,Paramètres!$A$1:$I$89,3,0)*0.475*44/12</f>
        <v>9.9763431959542679</v>
      </c>
      <c r="AB41" s="23">
        <f>EXP(-LN(2)/2)*AB40+(1-EXP(-LN(2)/2))/(LN(2)/2)*V41*Y41*VLOOKUP('Données projet'!$B$9,Paramètres!$A$1:$I$89,3,0)*0.475*44/12</f>
        <v>1.6811035830073306</v>
      </c>
      <c r="AC41" s="24">
        <f t="shared" si="3"/>
        <v>13.437801869831592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14.4</v>
      </c>
      <c r="AI41" s="14">
        <f>IF('Données projet'!$A$62&gt;35,AI40+AH41-AQ40,IF(A41&lt;'Données projet'!$A$62,$AF$205^A41,IF(A41='Données projet'!$A$62,'Données projet'!$B$62,AI40+AH41-AQ40)))</f>
        <v>235.20000000000005</v>
      </c>
      <c r="AJ41" s="14">
        <f>AI41*VLOOKUP('Données projet'!$B$10,Paramètres!$A$1:$I$89,3,0)*VLOOKUP('Données projet'!$B$10,Paramètres!$A$1:$I$89,5,0)</f>
        <v>140.64960000000002</v>
      </c>
      <c r="AK41" s="14">
        <f t="shared" si="35"/>
        <v>36.445779615258601</v>
      </c>
      <c r="AL41" s="22">
        <f t="shared" si="4"/>
        <v>308.44111949657542</v>
      </c>
      <c r="AM41" s="62">
        <f t="shared" si="5"/>
        <v>601.7744528299088</v>
      </c>
      <c r="AN41" s="62">
        <f ca="1">AVERAGE(OFFSET($AM$3,0,0,'Données projet'!$E$10+1,1))-AVERAGE(OFFSET($H$3,0,0,'Données projet'!$E$10+1,1))</f>
        <v>287.69656598881124</v>
      </c>
      <c r="AO41" s="62">
        <f t="shared" si="36"/>
        <v>221.9773436301067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4.8422590423649039</v>
      </c>
      <c r="AW41" s="23">
        <f>EXP(-LN(2)/2)*AW40+(1-EXP(-LN(2)/2))/(LN(2)/2)*AQ41*AT41*VLOOKUP('Données projet'!$B$10,Paramètres!$A$1:$I$89,3,0)*0.475*44/12</f>
        <v>0.88888103552155728</v>
      </c>
      <c r="AX41" s="23">
        <f t="shared" si="6"/>
        <v>5.7311400778864616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10</v>
      </c>
      <c r="BD41" s="13">
        <f>IF('Données projet'!$A$88&gt;35,BD40+BC41-BL40,IF(A41&lt;'Données projet'!$A$88,$BA$205^A41,IF(A41='Données projet'!$A$88,'Données projet'!$B$88,BD40+BC41-BL40)))</f>
        <v>329.99999999999989</v>
      </c>
      <c r="BE41" s="14">
        <f>BD41*VLOOKUP('Données projet'!$B$11,Paramètres!$A$1:$I$89,3,0)*VLOOKUP('Données projet'!$B$11,Paramètres!$A$1:$I$89,5,0)</f>
        <v>154.43999999999994</v>
      </c>
      <c r="BF41" s="14">
        <f t="shared" si="37"/>
        <v>39.585872170955454</v>
      </c>
      <c r="BG41" s="22">
        <f t="shared" si="7"/>
        <v>337.92839403108059</v>
      </c>
      <c r="BH41" s="62">
        <f t="shared" si="8"/>
        <v>631.2617273644139</v>
      </c>
      <c r="BI41" s="62">
        <f ca="1">AVERAGE(OFFSET($BH$3,0,0,'Données projet'!$E$11+1,1))-AVERAGE(OFFSET($H$3,0,0,'Données projet'!$E$11+1,1))</f>
        <v>310.95287409903602</v>
      </c>
      <c r="BJ41" s="62">
        <f t="shared" si="38"/>
        <v>224.10083380795163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10.199999999999999</v>
      </c>
      <c r="BY41" s="13">
        <f>IF('Données projet'!$A$114&gt;35,BY40+BX41-CG40,IF(A41&lt;'Données projet'!$A$114,$BV$205^A41,IF(A41='Données projet'!$A$114,'Données projet'!$B$114,BY40+BX41-CG40)))</f>
        <v>339.60000000000014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10.199999999999999</v>
      </c>
      <c r="N42" s="14">
        <f>IF('Données projet'!$A$36&gt;35,N41+M42-V41,IF(A42&lt;'Données projet'!$A$36,$K$205^A42,IF(A42='Données projet'!$A$36,'Données projet'!$B$36,N41+M42-V41)))</f>
        <v>349.80000000000013</v>
      </c>
      <c r="O42" s="14">
        <f>N42*VLOOKUP('Données projet'!$B$9,Paramètres!$A$1:$I$89,3,0)*VLOOKUP('Données projet'!$B$9,Paramètres!$A$1:$I$89,5,0)</f>
        <v>190.99080000000006</v>
      </c>
      <c r="P42" s="14">
        <f t="shared" si="33"/>
        <v>47.75893831057796</v>
      </c>
      <c r="Q42" s="22">
        <f t="shared" si="53"/>
        <v>415.82246089092337</v>
      </c>
      <c r="R42" s="62">
        <f t="shared" si="0"/>
        <v>709.15579422425662</v>
      </c>
      <c r="S42" s="62">
        <f ca="1">AVERAGE(OFFSET($R$3,0,0,'Données projet'!$E$9+1,1))-AVERAGE(OFFSET($H$3,0,0,'Données projet'!$E$9+1,1))</f>
        <v>240.19940780300527</v>
      </c>
      <c r="T42" s="62">
        <f t="shared" si="34"/>
        <v>355.71054384071715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1.7454434134474124</v>
      </c>
      <c r="AA42" s="23">
        <f>EXP(-LN(2)/25)*AA41+(1-EXP(-LN(2)/25))/(LN(2)/25)*Calculateur!V42*Calculateur!X42*VLOOKUP('Données projet'!$B$9,Paramètres!$A$1:$I$89,3,0)*0.475*44/12</f>
        <v>9.7035395666278106</v>
      </c>
      <c r="AB42" s="23">
        <f>EXP(-LN(2)/2)*AB41+(1-EXP(-LN(2)/2))/(LN(2)/2)*V42*Y42*VLOOKUP('Données projet'!$B$9,Paramètres!$A$1:$I$89,3,0)*0.475*44/12</f>
        <v>1.1887197434214856</v>
      </c>
      <c r="AC42" s="24">
        <f t="shared" si="3"/>
        <v>12.637702723496709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14.4</v>
      </c>
      <c r="AI42" s="14">
        <f>IF('Données projet'!$A$62&gt;35,AI41+AH42-AQ41,IF(A42&lt;'Données projet'!$A$62,$AF$205^A42,IF(A42='Données projet'!$A$62,'Données projet'!$B$62,AI41+AH42-AQ41)))</f>
        <v>249.60000000000005</v>
      </c>
      <c r="AJ42" s="14">
        <f>AI42*VLOOKUP('Données projet'!$B$10,Paramètres!$A$1:$I$89,3,0)*VLOOKUP('Données projet'!$B$10,Paramètres!$A$1:$I$89,5,0)</f>
        <v>149.26080000000005</v>
      </c>
      <c r="AK42" s="14">
        <f t="shared" si="35"/>
        <v>38.410551499792909</v>
      </c>
      <c r="AL42" s="22">
        <f t="shared" si="4"/>
        <v>326.86093719547273</v>
      </c>
      <c r="AM42" s="62">
        <f t="shared" si="5"/>
        <v>620.1942705288061</v>
      </c>
      <c r="AN42" s="62">
        <f ca="1">AVERAGE(OFFSET($AM$3,0,0,'Données projet'!$E$10+1,1))-AVERAGE(OFFSET($H$3,0,0,'Données projet'!$E$10+1,1))</f>
        <v>287.69656598881124</v>
      </c>
      <c r="AO42" s="62">
        <f t="shared" si="36"/>
        <v>221.9773436301067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4.7098472142081</v>
      </c>
      <c r="AW42" s="23">
        <f>EXP(-LN(2)/2)*AW41+(1-EXP(-LN(2)/2))/(LN(2)/2)*AQ42*AT42*VLOOKUP('Données projet'!$B$10,Paramètres!$A$1:$I$89,3,0)*0.475*44/12</f>
        <v>0.62853380788541358</v>
      </c>
      <c r="AX42" s="23">
        <f t="shared" si="6"/>
        <v>5.3383810220935137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10</v>
      </c>
      <c r="BD42" s="13">
        <f>IF('Données projet'!$A$88&gt;35,BD41+BC42-BL41,IF(A42&lt;'Données projet'!$A$88,$BA$205^A42,IF(A42='Données projet'!$A$88,'Données projet'!$B$88,BD41+BC42-BL41)))</f>
        <v>339.99999999999989</v>
      </c>
      <c r="BE42" s="14">
        <f>BD42*VLOOKUP('Données projet'!$B$11,Paramètres!$A$1:$I$89,3,0)*VLOOKUP('Données projet'!$B$11,Paramètres!$A$1:$I$89,5,0)</f>
        <v>159.11999999999995</v>
      </c>
      <c r="BF42" s="14">
        <f t="shared" si="37"/>
        <v>40.643965284387697</v>
      </c>
      <c r="BG42" s="22">
        <f t="shared" si="7"/>
        <v>347.92223953697516</v>
      </c>
      <c r="BH42" s="62">
        <f t="shared" si="8"/>
        <v>641.25557287030847</v>
      </c>
      <c r="BI42" s="62">
        <f ca="1">AVERAGE(OFFSET($BH$3,0,0,'Données projet'!$E$11+1,1))-AVERAGE(OFFSET($H$3,0,0,'Données projet'!$E$11+1,1))</f>
        <v>310.95287409903602</v>
      </c>
      <c r="BJ42" s="62">
        <f t="shared" si="38"/>
        <v>224.10083380795163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10.199999999999999</v>
      </c>
      <c r="BY42" s="13">
        <f>IF('Données projet'!$A$114&gt;35,BY41+BX42-CG41,IF(A42&lt;'Données projet'!$A$114,$BV$205^A42,IF(A42='Données projet'!$A$114,'Données projet'!$B$114,BY41+BX42-CG41)))</f>
        <v>349.80000000000013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360</v>
      </c>
      <c r="L43" s="13">
        <f>VLOOKUP(A43,'Données projet'!$A$35:$I$55,9,0)</f>
        <v>10.199999999999999</v>
      </c>
      <c r="M43" s="13">
        <f t="array" ref="M43">INDEX(L:L,MIN(IF(ISNUMBER(L43:L239),ROW(L43:L239),"")))</f>
        <v>10.199999999999999</v>
      </c>
      <c r="N43" s="14">
        <f>IF('Données projet'!$A$36&gt;35,N42+M43-V42,IF(A43&lt;'Données projet'!$A$36,$K$205^A43,IF(A43='Données projet'!$A$36,'Données projet'!$B$36,N42+M43-V42)))</f>
        <v>360.00000000000011</v>
      </c>
      <c r="O43" s="14">
        <f>N43*VLOOKUP('Données projet'!$B$9,Paramètres!$A$1:$I$89,3,0)*VLOOKUP('Données projet'!$B$9,Paramètres!$A$1:$I$89,5,0)</f>
        <v>196.56000000000006</v>
      </c>
      <c r="P43" s="14">
        <f t="shared" si="33"/>
        <v>48.987398161128134</v>
      </c>
      <c r="Q43" s="22">
        <f t="shared" si="53"/>
        <v>427.66171846396492</v>
      </c>
      <c r="R43" s="62">
        <f t="shared" si="0"/>
        <v>720.99505179729817</v>
      </c>
      <c r="S43" s="62">
        <f ca="1">AVERAGE(OFFSET($R$3,0,0,'Données projet'!$E$9+1,1))-AVERAGE(OFFSET($H$3,0,0,'Données projet'!$E$9+1,1))</f>
        <v>240.19940780300527</v>
      </c>
      <c r="T43" s="62">
        <f t="shared" si="34"/>
        <v>355.71054384071715</v>
      </c>
      <c r="U43" s="16">
        <f>IF(ISNA(VLOOKUP(A43,'Données projet'!$A$35:$I$55,3,0)),0,VLOOKUP(A43,'Données projet'!$A$35:$I$55,3,0))</f>
        <v>7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1.7112163327250689</v>
      </c>
      <c r="AA43" s="23">
        <f>EXP(-LN(2)/25)*AA42+(1-EXP(-LN(2)/25))/(LN(2)/25)*Calculateur!V43*Calculateur!X43*VLOOKUP('Données projet'!$B$9,Paramètres!$A$1:$I$89,3,0)*0.475*44/12</f>
        <v>9.4381957668914058</v>
      </c>
      <c r="AB43" s="23">
        <f>EXP(-LN(2)/2)*AB42+(1-EXP(-LN(2)/2))/(LN(2)/2)*V43*Y43*VLOOKUP('Données projet'!$B$9,Paramètres!$A$1:$I$89,3,0)*0.475*44/12</f>
        <v>0.84055179150366532</v>
      </c>
      <c r="AC43" s="24">
        <f t="shared" si="3"/>
        <v>11.989963891120141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264</v>
      </c>
      <c r="AG43" s="13">
        <f>VLOOKUP(A43,'Données projet'!$A$61:$I$81,9,0)</f>
        <v>14.4</v>
      </c>
      <c r="AH43" s="13">
        <f t="array" ref="AH43">INDEX(AG:AG,MIN(IF(ISNUMBER(AG43:AG239),ROW(AG43:AG239),"")))</f>
        <v>14.4</v>
      </c>
      <c r="AI43" s="14">
        <f>IF('Données projet'!$A$62&gt;35,AI42+AH43-AQ42,IF(A43&lt;'Données projet'!$A$62,$AF$205^A43,IF(A43='Données projet'!$A$62,'Données projet'!$B$62,AI42+AH43-AQ42)))</f>
        <v>264.00000000000006</v>
      </c>
      <c r="AJ43" s="14">
        <f>AI43*VLOOKUP('Données projet'!$B$10,Paramètres!$A$1:$I$89,3,0)*VLOOKUP('Données projet'!$B$10,Paramètres!$A$1:$I$89,5,0)</f>
        <v>157.87200000000004</v>
      </c>
      <c r="AK43" s="14">
        <f t="shared" si="35"/>
        <v>40.362165684361159</v>
      </c>
      <c r="AL43" s="22">
        <f t="shared" si="4"/>
        <v>345.25783856692902</v>
      </c>
      <c r="AM43" s="62">
        <f t="shared" si="5"/>
        <v>638.59117190026234</v>
      </c>
      <c r="AN43" s="62">
        <f ca="1">AVERAGE(OFFSET($AM$3,0,0,'Données projet'!$E$10+1,1))-AVERAGE(OFFSET($H$3,0,0,'Données projet'!$E$10+1,1))</f>
        <v>287.69656598881124</v>
      </c>
      <c r="AO43" s="62">
        <f t="shared" si="36"/>
        <v>221.9773436301067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41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4.5810561944554786</v>
      </c>
      <c r="AW43" s="23">
        <f>EXP(-LN(2)/2)*AW42+(1-EXP(-LN(2)/2))/(LN(2)/2)*AQ43*AT43*VLOOKUP('Données projet'!$B$10,Paramètres!$A$1:$I$89,3,0)*0.475*44/12</f>
        <v>0.44444051776077864</v>
      </c>
      <c r="AX43" s="23">
        <f t="shared" si="6"/>
        <v>5.025496712216257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350</v>
      </c>
      <c r="BB43" s="13">
        <f>VLOOKUP(A43,'Données projet'!$A$87:$I$107,9,0)</f>
        <v>10</v>
      </c>
      <c r="BC43" s="13">
        <f t="array" ref="BC43">INDEX(BB:BB,MIN(IF(ISNUMBER(BB43:BB239),ROW(BB43:BB239),"")))</f>
        <v>10</v>
      </c>
      <c r="BD43" s="13">
        <f>IF('Données projet'!$A$88&gt;35,BD42+BC43-BL42,IF(A43&lt;'Données projet'!$A$88,$BA$205^A43,IF(A43='Données projet'!$A$88,'Données projet'!$B$88,BD42+BC43-BL42)))</f>
        <v>349.99999999999989</v>
      </c>
      <c r="BE43" s="14">
        <f>BD43*VLOOKUP('Données projet'!$B$11,Paramètres!$A$1:$I$89,3,0)*VLOOKUP('Données projet'!$B$11,Paramètres!$A$1:$I$89,5,0)</f>
        <v>163.79999999999995</v>
      </c>
      <c r="BF43" s="14">
        <f t="shared" si="37"/>
        <v>41.698441627605291</v>
      </c>
      <c r="BG43" s="22">
        <f t="shared" si="7"/>
        <v>357.90978583474572</v>
      </c>
      <c r="BH43" s="62">
        <f t="shared" si="8"/>
        <v>651.24311916807903</v>
      </c>
      <c r="BI43" s="62">
        <f ca="1">AVERAGE(OFFSET($BH$3,0,0,'Données projet'!$E$11+1,1))-AVERAGE(OFFSET($H$3,0,0,'Données projet'!$E$11+1,1))</f>
        <v>310.95287409903602</v>
      </c>
      <c r="BJ43" s="62">
        <f t="shared" si="38"/>
        <v>224.10083380795163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88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360</v>
      </c>
      <c r="BW43" s="13">
        <f>VLOOKUP(A43,'Données projet'!$A$113:$I$133,9,0)</f>
        <v>10.199999999999999</v>
      </c>
      <c r="BX43" s="13">
        <f t="array" ref="BX43">INDEX(BW:BW,MIN(IF(ISNUMBER(BW43:BW239),ROW(BW43:BW239),"")))</f>
        <v>10.199999999999999</v>
      </c>
      <c r="BY43" s="13">
        <f>IF('Données projet'!$A$114&gt;35,BY42+BX43-CG42,IF(A43&lt;'Données projet'!$A$114,$BV$205^A43,IF(A43='Données projet'!$A$114,'Données projet'!$B$114,BY42+BX43-CG42)))</f>
        <v>360.00000000000011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7</v>
      </c>
      <c r="CG43" s="16">
        <f>IF(ISNA(VLOOKUP(A43,'Données projet'!$A$113:$I$133,4,0)),0,VLOOKUP(A43,'Données projet'!$A$113:$I$133,4,0))</f>
        <v>28</v>
      </c>
      <c r="CH43" s="17" t="e">
        <f>IF(ISNA(VLOOKUP(A43,'Données projet'!$A$113:$I$133,5,0)),0%,VLOOKUP(A43,'Données projet'!$A$113:$I$133,5,0)*VLOOKUP('Données projet'!$B$12,Paramètres!$A$1:$I$89,7,0))</f>
        <v>#N/A</v>
      </c>
      <c r="CI43" s="17" t="e">
        <f>IF(ISNA(VLOOKUP(A43,'Données projet'!$A$113:$I$133,6,0)),0%,VLOOKUP(A43,'Données projet'!$A$113:$I$133,6,0)*VLOOKUP('Données projet'!$B$12,Paramètres!$A$1:$I$89,7,0))</f>
        <v>#N/A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7.4</v>
      </c>
      <c r="N44" s="14">
        <f>IF('Données projet'!$A$36&gt;35,N43+M44-V43,IF(A44&lt;'Données projet'!$A$36,$K$205^A44,IF(A44='Données projet'!$A$36,'Données projet'!$B$36,N43+M44-V43)))</f>
        <v>339.40000000000009</v>
      </c>
      <c r="O44" s="14">
        <f>N44*VLOOKUP('Données projet'!$B$9,Paramètres!$A$1:$I$89,3,0)*VLOOKUP('Données projet'!$B$9,Paramètres!$A$1:$I$89,5,0)</f>
        <v>185.31240000000005</v>
      </c>
      <c r="P44" s="14">
        <f t="shared" si="33"/>
        <v>46.50208910594877</v>
      </c>
      <c r="Q44" s="22">
        <f t="shared" si="53"/>
        <v>403.74356852619422</v>
      </c>
      <c r="R44" s="62">
        <f t="shared" si="0"/>
        <v>697.07690185952754</v>
      </c>
      <c r="S44" s="62">
        <f ca="1">AVERAGE(OFFSET($R$3,0,0,'Données projet'!$E$9+1,1))-AVERAGE(OFFSET($H$3,0,0,'Données projet'!$E$9+1,1))</f>
        <v>240.19940780300527</v>
      </c>
      <c r="T44" s="62">
        <f t="shared" si="34"/>
        <v>355.71054384071715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1.6776604241792326</v>
      </c>
      <c r="AA44" s="23">
        <f>EXP(-LN(2)/25)*AA43+(1-EXP(-LN(2)/25))/(LN(2)/25)*Calculateur!V44*Calculateur!X44*VLOOKUP('Données projet'!$B$9,Paramètres!$A$1:$I$89,3,0)*0.475*44/12</f>
        <v>9.1801078073126163</v>
      </c>
      <c r="AB44" s="23">
        <f>EXP(-LN(2)/2)*AB43+(1-EXP(-LN(2)/2))/(LN(2)/2)*V44*Y44*VLOOKUP('Données projet'!$B$9,Paramètres!$A$1:$I$89,3,0)*0.475*44/12</f>
        <v>0.59435987171074278</v>
      </c>
      <c r="AC44" s="24">
        <f t="shared" si="3"/>
        <v>11.452128103202593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16.600000000000001</v>
      </c>
      <c r="AI44" s="14">
        <f>IF('Données projet'!$A$62&gt;35,AI43+AH44-AQ43,IF(A44&lt;'Données projet'!$A$62,$AF$205^A44,IF(A44='Données projet'!$A$62,'Données projet'!$B$62,AI43+AH44-AQ43)))</f>
        <v>239.60000000000008</v>
      </c>
      <c r="AJ44" s="14">
        <f>AI44*VLOOKUP('Données projet'!$B$10,Paramètres!$A$1:$I$89,3,0)*VLOOKUP('Données projet'!$B$10,Paramètres!$A$1:$I$89,5,0)</f>
        <v>143.28080000000006</v>
      </c>
      <c r="AK44" s="14">
        <f t="shared" si="35"/>
        <v>37.047574465948976</v>
      </c>
      <c r="AL44" s="22">
        <f t="shared" si="4"/>
        <v>314.07191886152788</v>
      </c>
      <c r="AM44" s="62">
        <f t="shared" si="5"/>
        <v>607.40525219486119</v>
      </c>
      <c r="AN44" s="62">
        <f ca="1">AVERAGE(OFFSET($AM$3,0,0,'Données projet'!$E$10+1,1))-AVERAGE(OFFSET($H$3,0,0,'Données projet'!$E$10+1,1))</f>
        <v>287.69656598881124</v>
      </c>
      <c r="AO44" s="62">
        <f t="shared" si="36"/>
        <v>221.9773436301067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4.4557869719108183</v>
      </c>
      <c r="AW44" s="23">
        <f>EXP(-LN(2)/2)*AW43+(1-EXP(-LN(2)/2))/(LN(2)/2)*AQ44*AT44*VLOOKUP('Données projet'!$B$10,Paramètres!$A$1:$I$89,3,0)*0.475*44/12</f>
        <v>0.31426690394270679</v>
      </c>
      <c r="AX44" s="23">
        <f t="shared" si="6"/>
        <v>4.7700538758535247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11.5</v>
      </c>
      <c r="BD44" s="13">
        <f>IF('Données projet'!$A$88&gt;35,BD43+BC44-BL43,IF(A44&lt;'Données projet'!$A$88,$BA$205^A44,IF(A44='Données projet'!$A$88,'Données projet'!$B$88,BD43+BC44-BL43)))</f>
        <v>273.49999999999989</v>
      </c>
      <c r="BE44" s="14">
        <f>BD44*VLOOKUP('Données projet'!$B$11,Paramètres!$A$1:$I$89,3,0)*VLOOKUP('Données projet'!$B$11,Paramètres!$A$1:$I$89,5,0)</f>
        <v>127.99799999999995</v>
      </c>
      <c r="BF44" s="14">
        <f t="shared" si="37"/>
        <v>33.533338894635314</v>
      </c>
      <c r="BG44" s="22">
        <f t="shared" si="7"/>
        <v>281.33374857482306</v>
      </c>
      <c r="BH44" s="62">
        <f t="shared" si="8"/>
        <v>574.66708190815643</v>
      </c>
      <c r="BI44" s="62">
        <f ca="1">AVERAGE(OFFSET($BH$3,0,0,'Données projet'!$E$11+1,1))-AVERAGE(OFFSET($H$3,0,0,'Données projet'!$E$11+1,1))</f>
        <v>310.95287409903602</v>
      </c>
      <c r="BJ44" s="62">
        <f t="shared" si="38"/>
        <v>224.10083380795163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7.4</v>
      </c>
      <c r="BY44" s="13">
        <f>IF('Données projet'!$A$114&gt;35,BY43+BX44-CG43,IF(A44&lt;'Données projet'!$A$114,$BV$205^A44,IF(A44='Données projet'!$A$114,'Données projet'!$B$114,BY43+BX44-CG43)))</f>
        <v>339.40000000000009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7.4</v>
      </c>
      <c r="N45" s="14">
        <f>IF('Données projet'!$A$36&gt;35,N44+M45-V44,IF(A45&lt;'Données projet'!$A$36,$K$205^A45,IF(A45='Données projet'!$A$36,'Données projet'!$B$36,N44+M45-V44)))</f>
        <v>346.80000000000007</v>
      </c>
      <c r="O45" s="14">
        <f>N45*VLOOKUP('Données projet'!$B$9,Paramètres!$A$1:$I$89,3,0)*VLOOKUP('Données projet'!$B$9,Paramètres!$A$1:$I$89,5,0)</f>
        <v>189.35280000000006</v>
      </c>
      <c r="P45" s="14">
        <f t="shared" si="33"/>
        <v>47.396837717691596</v>
      </c>
      <c r="Q45" s="22">
        <f t="shared" si="53"/>
        <v>412.33895235831295</v>
      </c>
      <c r="R45" s="62">
        <f t="shared" si="0"/>
        <v>705.67228569164627</v>
      </c>
      <c r="S45" s="62">
        <f ca="1">AVERAGE(OFFSET($R$3,0,0,'Données projet'!$E$9+1,1))-AVERAGE(OFFSET($H$3,0,0,'Données projet'!$E$9+1,1))</f>
        <v>240.19940780300527</v>
      </c>
      <c r="T45" s="62">
        <f t="shared" si="34"/>
        <v>355.71054384071715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1.6447625265328969</v>
      </c>
      <c r="AA45" s="23">
        <f>EXP(-LN(2)/25)*AA44+(1-EXP(-LN(2)/25))/(LN(2)/25)*Calculateur!V45*Calculateur!X45*VLOOKUP('Données projet'!$B$9,Paramètres!$A$1:$I$89,3,0)*0.475*44/12</f>
        <v>8.9290772765607649</v>
      </c>
      <c r="AB45" s="23">
        <f>EXP(-LN(2)/2)*AB44+(1-EXP(-LN(2)/2))/(LN(2)/2)*V45*Y45*VLOOKUP('Données projet'!$B$9,Paramètres!$A$1:$I$89,3,0)*0.475*44/12</f>
        <v>0.42027589575183266</v>
      </c>
      <c r="AC45" s="24">
        <f t="shared" si="3"/>
        <v>10.994115698845494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16.600000000000001</v>
      </c>
      <c r="AI45" s="14">
        <f>IF('Données projet'!$A$62&gt;35,AI44+AH45-AQ44,IF(A45&lt;'Données projet'!$A$62,$AF$205^A45,IF(A45='Données projet'!$A$62,'Données projet'!$B$62,AI44+AH45-AQ44)))</f>
        <v>256.2000000000001</v>
      </c>
      <c r="AJ45" s="14">
        <f>AI45*VLOOKUP('Données projet'!$B$10,Paramètres!$A$1:$I$89,3,0)*VLOOKUP('Données projet'!$B$10,Paramètres!$A$1:$I$89,5,0)</f>
        <v>153.20760000000007</v>
      </c>
      <c r="AK45" s="14">
        <f t="shared" si="35"/>
        <v>39.306624169832133</v>
      </c>
      <c r="AL45" s="22">
        <f t="shared" si="4"/>
        <v>335.29560709579107</v>
      </c>
      <c r="AM45" s="62">
        <f t="shared" si="5"/>
        <v>628.62894042912444</v>
      </c>
      <c r="AN45" s="62">
        <f ca="1">AVERAGE(OFFSET($AM$3,0,0,'Données projet'!$E$10+1,1))-AVERAGE(OFFSET($H$3,0,0,'Données projet'!$E$10+1,1))</f>
        <v>287.69656598881124</v>
      </c>
      <c r="AO45" s="62">
        <f t="shared" si="36"/>
        <v>221.9773436301067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4.3339432428442644</v>
      </c>
      <c r="AW45" s="23">
        <f>EXP(-LN(2)/2)*AW44+(1-EXP(-LN(2)/2))/(LN(2)/2)*AQ45*AT45*VLOOKUP('Données projet'!$B$10,Paramètres!$A$1:$I$89,3,0)*0.475*44/12</f>
        <v>0.22222025888038932</v>
      </c>
      <c r="AX45" s="23">
        <f t="shared" si="6"/>
        <v>4.5561635017246536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11.5</v>
      </c>
      <c r="BD45" s="13">
        <f>IF('Données projet'!$A$88&gt;35,BD44+BC45-BL44,IF(A45&lt;'Données projet'!$A$88,$BA$205^A45,IF(A45='Données projet'!$A$88,'Données projet'!$B$88,BD44+BC45-BL44)))</f>
        <v>284.99999999999989</v>
      </c>
      <c r="BE45" s="14">
        <f>BD45*VLOOKUP('Données projet'!$B$11,Paramètres!$A$1:$I$89,3,0)*VLOOKUP('Données projet'!$B$11,Paramètres!$A$1:$I$89,5,0)</f>
        <v>133.37999999999994</v>
      </c>
      <c r="BF45" s="14">
        <f t="shared" si="37"/>
        <v>34.776207535548991</v>
      </c>
      <c r="BG45" s="22">
        <f t="shared" si="7"/>
        <v>292.87206145774769</v>
      </c>
      <c r="BH45" s="62">
        <f t="shared" si="8"/>
        <v>586.20539479108106</v>
      </c>
      <c r="BI45" s="62">
        <f ca="1">AVERAGE(OFFSET($BH$3,0,0,'Données projet'!$E$11+1,1))-AVERAGE(OFFSET($H$3,0,0,'Données projet'!$E$11+1,1))</f>
        <v>310.95287409903602</v>
      </c>
      <c r="BJ45" s="62">
        <f t="shared" si="38"/>
        <v>224.10083380795163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7.4</v>
      </c>
      <c r="BY45" s="13">
        <f>IF('Données projet'!$A$114&gt;35,BY44+BX45-CG44,IF(A45&lt;'Données projet'!$A$114,$BV$205^A45,IF(A45='Données projet'!$A$114,'Données projet'!$B$114,BY44+BX45-CG44)))</f>
        <v>346.80000000000007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7.4</v>
      </c>
      <c r="N46" s="14">
        <f>IF('Données projet'!$A$36&gt;35,N45+M46-V45,IF(A46&lt;'Données projet'!$A$36,$K$205^A46,IF(A46='Données projet'!$A$36,'Données projet'!$B$36,N45+M46-V45)))</f>
        <v>354.20000000000005</v>
      </c>
      <c r="O46" s="14">
        <f>N46*VLOOKUP('Données projet'!$B$9,Paramètres!$A$1:$I$89,3,0)*VLOOKUP('Données projet'!$B$9,Paramètres!$A$1:$I$89,5,0)</f>
        <v>193.39320000000001</v>
      </c>
      <c r="P46" s="14">
        <f t="shared" si="33"/>
        <v>48.28936658868006</v>
      </c>
      <c r="Q46" s="22">
        <f t="shared" si="53"/>
        <v>420.93047014195105</v>
      </c>
      <c r="R46" s="62">
        <f t="shared" si="0"/>
        <v>714.26380347528436</v>
      </c>
      <c r="S46" s="62">
        <f ca="1">AVERAGE(OFFSET($R$3,0,0,'Données projet'!$E$9+1,1))-AVERAGE(OFFSET($H$3,0,0,'Données projet'!$E$9+1,1))</f>
        <v>240.19940780300527</v>
      </c>
      <c r="T46" s="62">
        <f t="shared" si="34"/>
        <v>355.71054384071715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1.6125097365936696</v>
      </c>
      <c r="AA46" s="23">
        <f>EXP(-LN(2)/25)*AA45+(1-EXP(-LN(2)/25))/(LN(2)/25)*Calculateur!V46*Calculateur!X46*VLOOKUP('Données projet'!$B$9,Paramètres!$A$1:$I$89,3,0)*0.475*44/12</f>
        <v>8.6849111888734445</v>
      </c>
      <c r="AB46" s="23">
        <f>EXP(-LN(2)/2)*AB45+(1-EXP(-LN(2)/2))/(LN(2)/2)*V46*Y46*VLOOKUP('Données projet'!$B$9,Paramètres!$A$1:$I$89,3,0)*0.475*44/12</f>
        <v>0.29717993585537139</v>
      </c>
      <c r="AC46" s="24">
        <f t="shared" si="3"/>
        <v>10.594600861322485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16.600000000000001</v>
      </c>
      <c r="AI46" s="14">
        <f>IF('Données projet'!$A$62&gt;35,AI45+AH46-AQ45,IF(A46&lt;'Données projet'!$A$62,$AF$205^A46,IF(A46='Données projet'!$A$62,'Données projet'!$B$62,AI45+AH46-AQ45)))</f>
        <v>272.80000000000013</v>
      </c>
      <c r="AJ46" s="14">
        <f>AI46*VLOOKUP('Données projet'!$B$10,Paramètres!$A$1:$I$89,3,0)*VLOOKUP('Données projet'!$B$10,Paramètres!$A$1:$I$89,5,0)</f>
        <v>163.13440000000008</v>
      </c>
      <c r="AK46" s="14">
        <f t="shared" si="35"/>
        <v>41.548687845426002</v>
      </c>
      <c r="AL46" s="22">
        <f t="shared" si="4"/>
        <v>356.48971133078379</v>
      </c>
      <c r="AM46" s="62">
        <f t="shared" si="5"/>
        <v>649.82304466411711</v>
      </c>
      <c r="AN46" s="62">
        <f ca="1">AVERAGE(OFFSET($AM$3,0,0,'Données projet'!$E$10+1,1))-AVERAGE(OFFSET($H$3,0,0,'Données projet'!$E$10+1,1))</f>
        <v>287.69656598881124</v>
      </c>
      <c r="AO46" s="62">
        <f t="shared" si="36"/>
        <v>221.9773436301067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4.2154313369565184</v>
      </c>
      <c r="AW46" s="23">
        <f>EXP(-LN(2)/2)*AW45+(1-EXP(-LN(2)/2))/(LN(2)/2)*AQ46*AT46*VLOOKUP('Données projet'!$B$10,Paramètres!$A$1:$I$89,3,0)*0.475*44/12</f>
        <v>0.15713345197135339</v>
      </c>
      <c r="AX46" s="23">
        <f t="shared" si="6"/>
        <v>4.372564788927872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11.5</v>
      </c>
      <c r="BD46" s="13">
        <f>IF('Données projet'!$A$88&gt;35,BD45+BC46-BL45,IF(A46&lt;'Données projet'!$A$88,$BA$205^A46,IF(A46='Données projet'!$A$88,'Données projet'!$B$88,BD45+BC46-BL45)))</f>
        <v>296.49999999999989</v>
      </c>
      <c r="BE46" s="14">
        <f>BD46*VLOOKUP('Données projet'!$B$11,Paramètres!$A$1:$I$89,3,0)*VLOOKUP('Données projet'!$B$11,Paramètres!$A$1:$I$89,5,0)</f>
        <v>138.76199999999994</v>
      </c>
      <c r="BF46" s="14">
        <f t="shared" si="37"/>
        <v>36.01325063671441</v>
      </c>
      <c r="BG46" s="22">
        <f t="shared" si="7"/>
        <v>304.4002281922775</v>
      </c>
      <c r="BH46" s="62">
        <f t="shared" si="8"/>
        <v>597.73356152561087</v>
      </c>
      <c r="BI46" s="62">
        <f ca="1">AVERAGE(OFFSET($BH$3,0,0,'Données projet'!$E$11+1,1))-AVERAGE(OFFSET($H$3,0,0,'Données projet'!$E$11+1,1))</f>
        <v>310.95287409903602</v>
      </c>
      <c r="BJ46" s="62">
        <f t="shared" si="38"/>
        <v>224.10083380795163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7.4</v>
      </c>
      <c r="BY46" s="13">
        <f>IF('Données projet'!$A$114&gt;35,BY45+BX46-CG45,IF(A46&lt;'Données projet'!$A$114,$BV$205^A46,IF(A46='Données projet'!$A$114,'Données projet'!$B$114,BY45+BX46-CG45)))</f>
        <v>354.20000000000005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7.4</v>
      </c>
      <c r="N47" s="14">
        <f>IF('Données projet'!$A$36&gt;35,N46+M47-V46,IF(A47&lt;'Données projet'!$A$36,$K$205^A47,IF(A47='Données projet'!$A$36,'Données projet'!$B$36,N46+M47-V46)))</f>
        <v>361.6</v>
      </c>
      <c r="O47" s="14">
        <f>N47*VLOOKUP('Données projet'!$B$9,Paramètres!$A$1:$I$89,3,0)*VLOOKUP('Données projet'!$B$9,Paramètres!$A$1:$I$89,5,0)</f>
        <v>197.43360000000001</v>
      </c>
      <c r="P47" s="14">
        <f t="shared" si="33"/>
        <v>49.179727436837609</v>
      </c>
      <c r="Q47" s="22">
        <f t="shared" si="53"/>
        <v>429.51821195249221</v>
      </c>
      <c r="R47" s="62">
        <f t="shared" si="0"/>
        <v>722.85154528582552</v>
      </c>
      <c r="S47" s="62">
        <f ca="1">AVERAGE(OFFSET($R$3,0,0,'Données projet'!$E$9+1,1))-AVERAGE(OFFSET($H$3,0,0,'Données projet'!$E$9+1,1))</f>
        <v>240.19940780300527</v>
      </c>
      <c r="T47" s="62">
        <f t="shared" si="34"/>
        <v>355.71054384071715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1.5808894041928911</v>
      </c>
      <c r="AA47" s="23">
        <f>EXP(-LN(2)/25)*AA46+(1-EXP(-LN(2)/25))/(LN(2)/25)*Calculateur!V47*Calculateur!X47*VLOOKUP('Données projet'!$B$9,Paramètres!$A$1:$I$89,3,0)*0.475*44/12</f>
        <v>8.4474218356940707</v>
      </c>
      <c r="AB47" s="23">
        <f>EXP(-LN(2)/2)*AB46+(1-EXP(-LN(2)/2))/(LN(2)/2)*V47*Y47*VLOOKUP('Données projet'!$B$9,Paramètres!$A$1:$I$89,3,0)*0.475*44/12</f>
        <v>0.21013794787591633</v>
      </c>
      <c r="AC47" s="24">
        <f t="shared" si="3"/>
        <v>10.238449187762878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16.600000000000001</v>
      </c>
      <c r="AI47" s="14">
        <f>IF('Données projet'!$A$62&gt;35,AI46+AH47-AQ46,IF(A47&lt;'Données projet'!$A$62,$AF$205^A47,IF(A47='Données projet'!$A$62,'Données projet'!$B$62,AI46+AH47-AQ46)))</f>
        <v>289.40000000000015</v>
      </c>
      <c r="AJ47" s="14">
        <f>AI47*VLOOKUP('Données projet'!$B$10,Paramètres!$A$1:$I$89,3,0)*VLOOKUP('Données projet'!$B$10,Paramètres!$A$1:$I$89,5,0)</f>
        <v>173.0612000000001</v>
      </c>
      <c r="AK47" s="14">
        <f t="shared" si="35"/>
        <v>43.774916798471111</v>
      </c>
      <c r="AL47" s="22">
        <f t="shared" si="4"/>
        <v>377.65623675733735</v>
      </c>
      <c r="AM47" s="62">
        <f t="shared" si="5"/>
        <v>670.98957009067067</v>
      </c>
      <c r="AN47" s="62">
        <f ca="1">AVERAGE(OFFSET($AM$3,0,0,'Données projet'!$E$10+1,1))-AVERAGE(OFFSET($H$3,0,0,'Données projet'!$E$10+1,1))</f>
        <v>287.69656598881124</v>
      </c>
      <c r="AO47" s="62">
        <f t="shared" si="36"/>
        <v>221.9773436301067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4.1001601453675427</v>
      </c>
      <c r="AW47" s="23">
        <f>EXP(-LN(2)/2)*AW46+(1-EXP(-LN(2)/2))/(LN(2)/2)*AQ47*AT47*VLOOKUP('Données projet'!$B$10,Paramètres!$A$1:$I$89,3,0)*0.475*44/12</f>
        <v>0.11111012944019466</v>
      </c>
      <c r="AX47" s="23">
        <f t="shared" si="6"/>
        <v>4.2112702748077373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11.5</v>
      </c>
      <c r="BD47" s="13">
        <f>IF('Données projet'!$A$88&gt;35,BD46+BC47-BL46,IF(A47&lt;'Données projet'!$A$88,$BA$205^A47,IF(A47='Données projet'!$A$88,'Données projet'!$B$88,BD46+BC47-BL46)))</f>
        <v>307.99999999999989</v>
      </c>
      <c r="BE47" s="14">
        <f>BD47*VLOOKUP('Données projet'!$B$11,Paramètres!$A$1:$I$89,3,0)*VLOOKUP('Données projet'!$B$11,Paramètres!$A$1:$I$89,5,0)</f>
        <v>144.14399999999995</v>
      </c>
      <c r="BF47" s="14">
        <f t="shared" si="37"/>
        <v>37.244720006976216</v>
      </c>
      <c r="BG47" s="22">
        <f t="shared" si="7"/>
        <v>315.91868734548348</v>
      </c>
      <c r="BH47" s="62">
        <f t="shared" si="8"/>
        <v>609.25202067881673</v>
      </c>
      <c r="BI47" s="62">
        <f ca="1">AVERAGE(OFFSET($BH$3,0,0,'Données projet'!$E$11+1,1))-AVERAGE(OFFSET($H$3,0,0,'Données projet'!$E$11+1,1))</f>
        <v>310.95287409903602</v>
      </c>
      <c r="BJ47" s="62">
        <f t="shared" si="38"/>
        <v>224.10083380795163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7.4</v>
      </c>
      <c r="BY47" s="13">
        <f>IF('Données projet'!$A$114&gt;35,BY46+BX47-CG46,IF(A47&lt;'Données projet'!$A$114,$BV$205^A47,IF(A47='Données projet'!$A$114,'Données projet'!$B$114,BY46+BX47-CG46)))</f>
        <v>361.6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369</v>
      </c>
      <c r="L48" s="13">
        <f>VLOOKUP(A48,'Données projet'!$A$35:$I$55,9,0)</f>
        <v>7.4</v>
      </c>
      <c r="M48" s="13">
        <f t="array" ref="M48">INDEX(L:L,MIN(IF(ISNUMBER(L48:L244),ROW(L48:L244),"")))</f>
        <v>7.4</v>
      </c>
      <c r="N48" s="14">
        <f>IF('Données projet'!$A$36&gt;35,N47+M48-V47,IF(A48&lt;'Données projet'!$A$36,$K$205^A48,IF(A48='Données projet'!$A$36,'Données projet'!$B$36,N47+M48-V47)))</f>
        <v>369</v>
      </c>
      <c r="O48" s="14">
        <f>N48*VLOOKUP('Données projet'!$B$9,Paramètres!$A$1:$I$89,3,0)*VLOOKUP('Données projet'!$B$9,Paramètres!$A$1:$I$89,5,0)</f>
        <v>201.47399999999999</v>
      </c>
      <c r="P48" s="14">
        <f t="shared" si="33"/>
        <v>50.067969742315327</v>
      </c>
      <c r="Q48" s="22">
        <f t="shared" si="53"/>
        <v>438.10226396786584</v>
      </c>
      <c r="R48" s="62">
        <f t="shared" si="0"/>
        <v>731.4355973011991</v>
      </c>
      <c r="S48" s="62">
        <f ca="1">AVERAGE(OFFSET($R$3,0,0,'Données projet'!$E$9+1,1))-AVERAGE(OFFSET($H$3,0,0,'Données projet'!$E$9+1,1))</f>
        <v>240.19940780300527</v>
      </c>
      <c r="T48" s="62">
        <f t="shared" si="34"/>
        <v>355.71054384071715</v>
      </c>
      <c r="U48" s="16">
        <f>IF(ISNA(VLOOKUP(A48,'Données projet'!$A$35:$I$55,3,0)),0,VLOOKUP(A48,'Données projet'!$A$35:$I$55,3,0))</f>
        <v>8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1.5498891272239936</v>
      </c>
      <c r="AA48" s="23">
        <f>EXP(-LN(2)/25)*AA47+(1-EXP(-LN(2)/25))/(LN(2)/25)*Calculateur!V48*Calculateur!X48*VLOOKUP('Données projet'!$B$9,Paramètres!$A$1:$I$89,3,0)*0.475*44/12</f>
        <v>8.2164266413664091</v>
      </c>
      <c r="AB48" s="23">
        <f>EXP(-LN(2)/2)*AB47+(1-EXP(-LN(2)/2))/(LN(2)/2)*V48*Y48*VLOOKUP('Données projet'!$B$9,Paramètres!$A$1:$I$89,3,0)*0.475*44/12</f>
        <v>0.1485899679276857</v>
      </c>
      <c r="AC48" s="24">
        <f t="shared" si="3"/>
        <v>9.9149057365180884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306</v>
      </c>
      <c r="AG48" s="13">
        <f>VLOOKUP(A48,'Données projet'!$A$61:$I$81,9,0)</f>
        <v>16.600000000000001</v>
      </c>
      <c r="AH48" s="13">
        <f t="array" ref="AH48">INDEX(AG:AG,MIN(IF(ISNUMBER(AG48:AG244),ROW(AG48:AG244),"")))</f>
        <v>16.600000000000001</v>
      </c>
      <c r="AI48" s="14">
        <f>IF('Données projet'!$A$62&gt;35,AI47+AH48-AQ47,IF(A48&lt;'Données projet'!$A$62,$AF$205^A48,IF(A48='Données projet'!$A$62,'Données projet'!$B$62,AI47+AH48-AQ47)))</f>
        <v>306.00000000000017</v>
      </c>
      <c r="AJ48" s="14">
        <f>AI48*VLOOKUP('Données projet'!$B$10,Paramètres!$A$1:$I$89,3,0)*VLOOKUP('Données projet'!$B$10,Paramètres!$A$1:$I$89,5,0)</f>
        <v>182.98800000000011</v>
      </c>
      <c r="AK48" s="14">
        <f t="shared" si="35"/>
        <v>45.986322796524874</v>
      </c>
      <c r="AL48" s="22">
        <f t="shared" si="4"/>
        <v>398.79694553728103</v>
      </c>
      <c r="AM48" s="62">
        <f t="shared" si="5"/>
        <v>692.13027887061435</v>
      </c>
      <c r="AN48" s="62">
        <f ca="1">AVERAGE(OFFSET($AM$3,0,0,'Données projet'!$E$10+1,1))-AVERAGE(OFFSET($H$3,0,0,'Données projet'!$E$10+1,1))</f>
        <v>287.69656598881124</v>
      </c>
      <c r="AO48" s="62">
        <f t="shared" si="36"/>
        <v>221.9773436301067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53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3.9880410505744162</v>
      </c>
      <c r="AW48" s="23">
        <f>EXP(-LN(2)/2)*AW47+(1-EXP(-LN(2)/2))/(LN(2)/2)*AQ48*AT48*VLOOKUP('Données projet'!$B$10,Paramètres!$A$1:$I$89,3,0)*0.475*44/12</f>
        <v>7.8566725985676697E-2</v>
      </c>
      <c r="AX48" s="23">
        <f t="shared" si="6"/>
        <v>4.066607776560093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11.5</v>
      </c>
      <c r="BD48" s="13">
        <f>IF('Données projet'!$A$88&gt;35,BD47+BC48-BL47,IF(A48&lt;'Données projet'!$A$88,$BA$205^A48,IF(A48='Données projet'!$A$88,'Données projet'!$B$88,BD47+BC48-BL47)))</f>
        <v>319.49999999999989</v>
      </c>
      <c r="BE48" s="14">
        <f>BD48*VLOOKUP('Données projet'!$B$11,Paramètres!$A$1:$I$89,3,0)*VLOOKUP('Données projet'!$B$11,Paramètres!$A$1:$I$89,5,0)</f>
        <v>149.52599999999995</v>
      </c>
      <c r="BF48" s="14">
        <f t="shared" si="37"/>
        <v>38.470847585964201</v>
      </c>
      <c r="BG48" s="22">
        <f t="shared" si="7"/>
        <v>327.42784287888759</v>
      </c>
      <c r="BH48" s="62">
        <f t="shared" si="8"/>
        <v>620.7611762122209</v>
      </c>
      <c r="BI48" s="62">
        <f ca="1">AVERAGE(OFFSET($BH$3,0,0,'Données projet'!$E$11+1,1))-AVERAGE(OFFSET($H$3,0,0,'Données projet'!$E$11+1,1))</f>
        <v>310.95287409903602</v>
      </c>
      <c r="BJ48" s="62">
        <f t="shared" si="38"/>
        <v>224.10083380795163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369</v>
      </c>
      <c r="BW48" s="13">
        <f>VLOOKUP(A48,'Données projet'!$A$113:$I$133,9,0)</f>
        <v>7.4</v>
      </c>
      <c r="BX48" s="13">
        <f t="array" ref="BX48">INDEX(BW:BW,MIN(IF(ISNUMBER(BW48:BW244),ROW(BW48:BW244),"")))</f>
        <v>7.4</v>
      </c>
      <c r="BY48" s="13">
        <f>IF('Données projet'!$A$114&gt;35,BY47+BX48-CG47,IF(A48&lt;'Données projet'!$A$114,$BV$205^A48,IF(A48='Données projet'!$A$114,'Données projet'!$B$114,BY47+BX48-CG47)))</f>
        <v>369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8</v>
      </c>
      <c r="CG48" s="16">
        <f>IF(ISNA(VLOOKUP(A48,'Données projet'!$A$113:$I$133,4,0)),0,VLOOKUP(A48,'Données projet'!$A$113:$I$133,4,0))</f>
        <v>21</v>
      </c>
      <c r="CH48" s="17" t="e">
        <f>IF(ISNA(VLOOKUP(A48,'Données projet'!$A$113:$I$133,5,0)),0%,VLOOKUP(A48,'Données projet'!$A$113:$I$133,5,0)*VLOOKUP('Données projet'!$B$12,Paramètres!$A$1:$I$89,7,0))</f>
        <v>#N/A</v>
      </c>
      <c r="CI48" s="17" t="e">
        <f>IF(ISNA(VLOOKUP(A48,'Données projet'!$A$113:$I$133,6,0)),0%,VLOOKUP(A48,'Données projet'!$A$113:$I$133,6,0)*VLOOKUP('Données projet'!$B$12,Paramètres!$A$1:$I$89,7,0))</f>
        <v>#N/A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5.2</v>
      </c>
      <c r="N49" s="14">
        <f>IF('Données projet'!$A$36&gt;35,N48+M49-V48,IF(A49&lt;'Données projet'!$A$36,$K$205^A49,IF(A49='Données projet'!$A$36,'Données projet'!$B$36,N48+M49-V48)))</f>
        <v>353.2</v>
      </c>
      <c r="O49" s="14">
        <f>N49*VLOOKUP('Données projet'!$B$9,Paramètres!$A$1:$I$89,3,0)*VLOOKUP('Données projet'!$B$9,Paramètres!$A$1:$I$89,5,0)</f>
        <v>192.84719999999999</v>
      </c>
      <c r="P49" s="14">
        <f t="shared" si="33"/>
        <v>48.168882391272199</v>
      </c>
      <c r="Q49" s="22">
        <f t="shared" si="53"/>
        <v>419.76967683146569</v>
      </c>
      <c r="R49" s="62">
        <f t="shared" si="0"/>
        <v>713.103010164799</v>
      </c>
      <c r="S49" s="62">
        <f ca="1">AVERAGE(OFFSET($R$3,0,0,'Données projet'!$E$9+1,1))-AVERAGE(OFFSET($H$3,0,0,'Données projet'!$E$9+1,1))</f>
        <v>240.19940780300527</v>
      </c>
      <c r="T49" s="62">
        <f t="shared" si="34"/>
        <v>355.71054384071715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1.5194967467781542</v>
      </c>
      <c r="AA49" s="23">
        <f>EXP(-LN(2)/25)*AA48+(1-EXP(-LN(2)/25))/(LN(2)/25)*Calculateur!V49*Calculateur!X49*VLOOKUP('Données projet'!$B$9,Paramètres!$A$1:$I$89,3,0)*0.475*44/12</f>
        <v>7.9917480227751465</v>
      </c>
      <c r="AB49" s="23">
        <f>EXP(-LN(2)/2)*AB48+(1-EXP(-LN(2)/2))/(LN(2)/2)*V49*Y49*VLOOKUP('Données projet'!$B$9,Paramètres!$A$1:$I$89,3,0)*0.475*44/12</f>
        <v>0.10506897393795817</v>
      </c>
      <c r="AC49" s="24">
        <f t="shared" si="3"/>
        <v>9.6163137434912596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17.399999999999999</v>
      </c>
      <c r="AI49" s="14">
        <f>IF('Données projet'!$A$62&gt;35,AI48+AH49-AQ48,IF(A49&lt;'Données projet'!$A$62,$AF$205^A49,IF(A49='Données projet'!$A$62,'Données projet'!$B$62,AI48+AH49-AQ48)))</f>
        <v>270.40000000000015</v>
      </c>
      <c r="AJ49" s="14">
        <f>AI49*VLOOKUP('Données projet'!$B$10,Paramètres!$A$1:$I$89,3,0)*VLOOKUP('Données projet'!$B$10,Paramètres!$A$1:$I$89,5,0)</f>
        <v>161.6992000000001</v>
      </c>
      <c r="AK49" s="14">
        <f t="shared" si="35"/>
        <v>41.225538754249229</v>
      </c>
      <c r="AL49" s="22">
        <f t="shared" si="4"/>
        <v>353.42725333031763</v>
      </c>
      <c r="AM49" s="62">
        <f t="shared" si="5"/>
        <v>646.76058666365088</v>
      </c>
      <c r="AN49" s="62">
        <f ca="1">AVERAGE(OFFSET($AM$3,0,0,'Données projet'!$E$10+1,1))-AVERAGE(OFFSET($H$3,0,0,'Données projet'!$E$10+1,1))</f>
        <v>287.69656598881124</v>
      </c>
      <c r="AO49" s="62">
        <f t="shared" si="36"/>
        <v>221.9773436301067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3.8789878583244946</v>
      </c>
      <c r="AW49" s="23">
        <f>EXP(-LN(2)/2)*AW48+(1-EXP(-LN(2)/2))/(LN(2)/2)*AQ49*AT49*VLOOKUP('Données projet'!$B$10,Paramètres!$A$1:$I$89,3,0)*0.475*44/12</f>
        <v>5.555506472009733E-2</v>
      </c>
      <c r="AX49" s="23">
        <f t="shared" si="6"/>
        <v>3.9345429230445919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11.5</v>
      </c>
      <c r="BD49" s="13">
        <f>IF('Données projet'!$A$88&gt;35,BD48+BC49-BL48,IF(A49&lt;'Données projet'!$A$88,$BA$205^A49,IF(A49='Données projet'!$A$88,'Données projet'!$B$88,BD48+BC49-BL48)))</f>
        <v>330.99999999999989</v>
      </c>
      <c r="BE49" s="14">
        <f>BD49*VLOOKUP('Données projet'!$B$11,Paramètres!$A$1:$I$89,3,0)*VLOOKUP('Données projet'!$B$11,Paramètres!$A$1:$I$89,5,0)</f>
        <v>154.90799999999996</v>
      </c>
      <c r="BF49" s="14">
        <f t="shared" si="37"/>
        <v>39.691847670151873</v>
      </c>
      <c r="BG49" s="22">
        <f t="shared" si="7"/>
        <v>338.92806802551439</v>
      </c>
      <c r="BH49" s="62">
        <f t="shared" si="8"/>
        <v>632.26140135884771</v>
      </c>
      <c r="BI49" s="62">
        <f ca="1">AVERAGE(OFFSET($BH$3,0,0,'Données projet'!$E$11+1,1))-AVERAGE(OFFSET($H$3,0,0,'Données projet'!$E$11+1,1))</f>
        <v>310.95287409903602</v>
      </c>
      <c r="BJ49" s="62">
        <f t="shared" si="38"/>
        <v>224.10083380795163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5.2</v>
      </c>
      <c r="BY49" s="13">
        <f>IF('Données projet'!$A$114&gt;35,BY48+BX49-CG48,IF(A49&lt;'Données projet'!$A$114,$BV$205^A49,IF(A49='Données projet'!$A$114,'Données projet'!$B$114,BY48+BX49-CG48)))</f>
        <v>353.2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5.2</v>
      </c>
      <c r="N50" s="14">
        <f>IF('Données projet'!$A$36&gt;35,N49+M50-V49,IF(A50&lt;'Données projet'!$A$36,$K$205^A50,IF(A50='Données projet'!$A$36,'Données projet'!$B$36,N49+M50-V49)))</f>
        <v>358.4</v>
      </c>
      <c r="O50" s="14">
        <f>N50*VLOOKUP('Données projet'!$B$9,Paramètres!$A$1:$I$89,3,0)*VLOOKUP('Données projet'!$B$9,Paramètres!$A$1:$I$89,5,0)</f>
        <v>195.68639999999999</v>
      </c>
      <c r="P50" s="14">
        <f t="shared" si="33"/>
        <v>48.794969360985156</v>
      </c>
      <c r="Q50" s="22">
        <f t="shared" si="53"/>
        <v>425.80505163704908</v>
      </c>
      <c r="R50" s="62">
        <f t="shared" si="0"/>
        <v>719.13838497038239</v>
      </c>
      <c r="S50" s="62">
        <f ca="1">AVERAGE(OFFSET($R$3,0,0,'Données projet'!$E$9+1,1))-AVERAGE(OFFSET($H$3,0,0,'Données projet'!$E$9+1,1))</f>
        <v>240.19940780300527</v>
      </c>
      <c r="T50" s="62">
        <f t="shared" si="34"/>
        <v>355.71054384071715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1.4897003423753361</v>
      </c>
      <c r="AA50" s="23">
        <f>EXP(-LN(2)/25)*AA49+(1-EXP(-LN(2)/25))/(LN(2)/25)*Calculateur!V50*Calculateur!X50*VLOOKUP('Données projet'!$B$9,Paramètres!$A$1:$I$89,3,0)*0.475*44/12</f>
        <v>7.773213252824597</v>
      </c>
      <c r="AB50" s="23">
        <f>EXP(-LN(2)/2)*AB49+(1-EXP(-LN(2)/2))/(LN(2)/2)*V50*Y50*VLOOKUP('Données projet'!$B$9,Paramètres!$A$1:$I$89,3,0)*0.475*44/12</f>
        <v>7.4294983963842848E-2</v>
      </c>
      <c r="AC50" s="24">
        <f t="shared" si="3"/>
        <v>9.3372085791637751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17.399999999999999</v>
      </c>
      <c r="AI50" s="14">
        <f>IF('Données projet'!$A$62&gt;35,AI49+AH50-AQ49,IF(A50&lt;'Données projet'!$A$62,$AF$205^A50,IF(A50='Données projet'!$A$62,'Données projet'!$B$62,AI49+AH50-AQ49)))</f>
        <v>287.80000000000013</v>
      </c>
      <c r="AJ50" s="14">
        <f>AI50*VLOOKUP('Données projet'!$B$10,Paramètres!$A$1:$I$89,3,0)*VLOOKUP('Données projet'!$B$10,Paramètres!$A$1:$I$89,5,0)</f>
        <v>172.10440000000008</v>
      </c>
      <c r="AK50" s="14">
        <f t="shared" si="35"/>
        <v>43.561001176960559</v>
      </c>
      <c r="AL50" s="22">
        <f t="shared" si="4"/>
        <v>375.61724038320648</v>
      </c>
      <c r="AM50" s="62">
        <f t="shared" si="5"/>
        <v>668.95057371653979</v>
      </c>
      <c r="AN50" s="62">
        <f ca="1">AVERAGE(OFFSET($AM$3,0,0,'Données projet'!$E$10+1,1))-AVERAGE(OFFSET($H$3,0,0,'Données projet'!$E$10+1,1))</f>
        <v>287.69656598881124</v>
      </c>
      <c r="AO50" s="62">
        <f t="shared" si="36"/>
        <v>221.9773436301067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3.7729167313515055</v>
      </c>
      <c r="AW50" s="23">
        <f>EXP(-LN(2)/2)*AW49+(1-EXP(-LN(2)/2))/(LN(2)/2)*AQ50*AT50*VLOOKUP('Données projet'!$B$10,Paramètres!$A$1:$I$89,3,0)*0.475*44/12</f>
        <v>3.9283362992838348E-2</v>
      </c>
      <c r="AX50" s="23">
        <f t="shared" si="6"/>
        <v>3.8122000943443437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11.5</v>
      </c>
      <c r="BD50" s="13">
        <f>IF('Données projet'!$A$88&gt;35,BD49+BC50-BL49,IF(A50&lt;'Données projet'!$A$88,$BA$205^A50,IF(A50='Données projet'!$A$88,'Données projet'!$B$88,BD49+BC50-BL49)))</f>
        <v>342.49999999999989</v>
      </c>
      <c r="BE50" s="14">
        <f>BD50*VLOOKUP('Données projet'!$B$11,Paramètres!$A$1:$I$89,3,0)*VLOOKUP('Données projet'!$B$11,Paramètres!$A$1:$I$89,5,0)</f>
        <v>160.28999999999994</v>
      </c>
      <c r="BF50" s="14">
        <f t="shared" si="37"/>
        <v>40.907918820862015</v>
      </c>
      <c r="BG50" s="22">
        <f t="shared" si="7"/>
        <v>350.41970861300121</v>
      </c>
      <c r="BH50" s="62">
        <f t="shared" si="8"/>
        <v>643.75304194633452</v>
      </c>
      <c r="BI50" s="62">
        <f ca="1">AVERAGE(OFFSET($BH$3,0,0,'Données projet'!$E$11+1,1))-AVERAGE(OFFSET($H$3,0,0,'Données projet'!$E$11+1,1))</f>
        <v>310.95287409903602</v>
      </c>
      <c r="BJ50" s="62">
        <f t="shared" si="38"/>
        <v>224.10083380795163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5.2</v>
      </c>
      <c r="BY50" s="13">
        <f>IF('Données projet'!$A$114&gt;35,BY49+BX50-CG49,IF(A50&lt;'Données projet'!$A$114,$BV$205^A50,IF(A50='Données projet'!$A$114,'Données projet'!$B$114,BY49+BX50-CG49)))</f>
        <v>358.4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5.2</v>
      </c>
      <c r="N51" s="14">
        <f>IF('Données projet'!$A$36&gt;35,N50+M51-V50,IF(A51&lt;'Données projet'!$A$36,$K$205^A51,IF(A51='Données projet'!$A$36,'Données projet'!$B$36,N50+M51-V50)))</f>
        <v>363.59999999999997</v>
      </c>
      <c r="O51" s="14">
        <f>N51*VLOOKUP('Données projet'!$B$9,Paramètres!$A$1:$I$89,3,0)*VLOOKUP('Données projet'!$B$9,Paramètres!$A$1:$I$89,5,0)</f>
        <v>198.5256</v>
      </c>
      <c r="P51" s="14">
        <f t="shared" si="33"/>
        <v>49.419999823587155</v>
      </c>
      <c r="Q51" s="22">
        <f t="shared" si="53"/>
        <v>431.83858635941425</v>
      </c>
      <c r="R51" s="62">
        <f t="shared" si="0"/>
        <v>725.17191969274757</v>
      </c>
      <c r="S51" s="62">
        <f ca="1">AVERAGE(OFFSET($R$3,0,0,'Données projet'!$E$9+1,1))-AVERAGE(OFFSET($H$3,0,0,'Données projet'!$E$9+1,1))</f>
        <v>240.19940780300527</v>
      </c>
      <c r="T51" s="62">
        <f t="shared" si="34"/>
        <v>355.71054384071715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1.4604882272888451</v>
      </c>
      <c r="AA51" s="23">
        <f>EXP(-LN(2)/25)*AA50+(1-EXP(-LN(2)/25))/(LN(2)/25)*Calculateur!V51*Calculateur!X51*VLOOKUP('Données projet'!$B$9,Paramètres!$A$1:$I$89,3,0)*0.475*44/12</f>
        <v>7.5606543276505898</v>
      </c>
      <c r="AB51" s="23">
        <f>EXP(-LN(2)/2)*AB50+(1-EXP(-LN(2)/2))/(LN(2)/2)*V51*Y51*VLOOKUP('Données projet'!$B$9,Paramètres!$A$1:$I$89,3,0)*0.475*44/12</f>
        <v>5.2534486968979083E-2</v>
      </c>
      <c r="AC51" s="24">
        <f t="shared" si="3"/>
        <v>9.0736770419084127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17.399999999999999</v>
      </c>
      <c r="AI51" s="14">
        <f>IF('Données projet'!$A$62&gt;35,AI50+AH51-AQ50,IF(A51&lt;'Données projet'!$A$62,$AF$205^A51,IF(A51='Données projet'!$A$62,'Données projet'!$B$62,AI50+AH51-AQ50)))</f>
        <v>305.2000000000001</v>
      </c>
      <c r="AJ51" s="14">
        <f>AI51*VLOOKUP('Données projet'!$B$10,Paramètres!$A$1:$I$89,3,0)*VLOOKUP('Données projet'!$B$10,Paramètres!$A$1:$I$89,5,0)</f>
        <v>182.50960000000006</v>
      </c>
      <c r="AK51" s="14">
        <f t="shared" si="35"/>
        <v>45.880075205637056</v>
      </c>
      <c r="AL51" s="22">
        <f t="shared" si="4"/>
        <v>397.77868431648454</v>
      </c>
      <c r="AM51" s="62">
        <f t="shared" si="5"/>
        <v>691.11201764981786</v>
      </c>
      <c r="AN51" s="62">
        <f ca="1">AVERAGE(OFFSET($AM$3,0,0,'Données projet'!$E$10+1,1))-AVERAGE(OFFSET($H$3,0,0,'Données projet'!$E$10+1,1))</f>
        <v>287.69656598881124</v>
      </c>
      <c r="AO51" s="62">
        <f t="shared" si="36"/>
        <v>221.9773436301067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3.6697461249236309</v>
      </c>
      <c r="AW51" s="23">
        <f>EXP(-LN(2)/2)*AW50+(1-EXP(-LN(2)/2))/(LN(2)/2)*AQ51*AT51*VLOOKUP('Données projet'!$B$10,Paramètres!$A$1:$I$89,3,0)*0.475*44/12</f>
        <v>2.7777532360048665E-2</v>
      </c>
      <c r="AX51" s="23">
        <f t="shared" si="6"/>
        <v>3.6975236572836798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11.5</v>
      </c>
      <c r="BD51" s="13">
        <f>IF('Données projet'!$A$88&gt;35,BD50+BC51-BL50,IF(A51&lt;'Données projet'!$A$88,$BA$205^A51,IF(A51='Données projet'!$A$88,'Données projet'!$B$88,BD50+BC51-BL50)))</f>
        <v>353.99999999999989</v>
      </c>
      <c r="BE51" s="14">
        <f>BD51*VLOOKUP('Données projet'!$B$11,Paramètres!$A$1:$I$89,3,0)*VLOOKUP('Données projet'!$B$11,Paramètres!$A$1:$I$89,5,0)</f>
        <v>165.67199999999994</v>
      </c>
      <c r="BF51" s="14">
        <f t="shared" si="37"/>
        <v>42.119245508815517</v>
      </c>
      <c r="BG51" s="22">
        <f t="shared" si="7"/>
        <v>361.90308592785351</v>
      </c>
      <c r="BH51" s="62">
        <f t="shared" si="8"/>
        <v>655.23641926118682</v>
      </c>
      <c r="BI51" s="62">
        <f ca="1">AVERAGE(OFFSET($BH$3,0,0,'Données projet'!$E$11+1,1))-AVERAGE(OFFSET($H$3,0,0,'Données projet'!$E$11+1,1))</f>
        <v>310.95287409903602</v>
      </c>
      <c r="BJ51" s="62">
        <f t="shared" si="38"/>
        <v>224.10083380795163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5.2</v>
      </c>
      <c r="BY51" s="13">
        <f>IF('Données projet'!$A$114&gt;35,BY50+BX51-CG50,IF(A51&lt;'Données projet'!$A$114,$BV$205^A51,IF(A51='Données projet'!$A$114,'Données projet'!$B$114,BY50+BX51-CG50)))</f>
        <v>363.59999999999997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5.2</v>
      </c>
      <c r="N52" s="14">
        <f>IF('Données projet'!$A$36&gt;35,N51+M52-V51,IF(A52&lt;'Données projet'!$A$36,$K$205^A52,IF(A52='Données projet'!$A$36,'Données projet'!$B$36,N51+M52-V51)))</f>
        <v>368.79999999999995</v>
      </c>
      <c r="O52" s="14">
        <f>N52*VLOOKUP('Données projet'!$B$9,Paramètres!$A$1:$I$89,3,0)*VLOOKUP('Données projet'!$B$9,Paramètres!$A$1:$I$89,5,0)</f>
        <v>201.3648</v>
      </c>
      <c r="P52" s="14">
        <f t="shared" si="33"/>
        <v>50.04399063451806</v>
      </c>
      <c r="Q52" s="22">
        <f t="shared" si="53"/>
        <v>437.87031035511887</v>
      </c>
      <c r="R52" s="62">
        <f t="shared" si="0"/>
        <v>731.20364368845219</v>
      </c>
      <c r="S52" s="62">
        <f ca="1">AVERAGE(OFFSET($R$3,0,0,'Données projet'!$E$9+1,1))-AVERAGE(OFFSET($H$3,0,0,'Données projet'!$E$9+1,1))</f>
        <v>240.19940780300527</v>
      </c>
      <c r="T52" s="62">
        <f t="shared" si="34"/>
        <v>355.71054384071715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1.4318489439615694</v>
      </c>
      <c r="AA52" s="23">
        <f>EXP(-LN(2)/25)*AA51+(1-EXP(-LN(2)/25))/(LN(2)/25)*Calculateur!V52*Calculateur!X52*VLOOKUP('Données projet'!$B$9,Paramètres!$A$1:$I$89,3,0)*0.475*44/12</f>
        <v>7.3539078374634537</v>
      </c>
      <c r="AB52" s="23">
        <f>EXP(-LN(2)/2)*AB51+(1-EXP(-LN(2)/2))/(LN(2)/2)*V52*Y52*VLOOKUP('Données projet'!$B$9,Paramètres!$A$1:$I$89,3,0)*0.475*44/12</f>
        <v>3.7147491981921424E-2</v>
      </c>
      <c r="AC52" s="24">
        <f t="shared" si="3"/>
        <v>8.8229042734069445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17.399999999999999</v>
      </c>
      <c r="AI52" s="14">
        <f>IF('Données projet'!$A$62&gt;35,AI51+AH52-AQ51,IF(A52&lt;'Données projet'!$A$62,$AF$205^A52,IF(A52='Données projet'!$A$62,'Données projet'!$B$62,AI51+AH52-AQ51)))</f>
        <v>322.60000000000008</v>
      </c>
      <c r="AJ52" s="14">
        <f>AI52*VLOOKUP('Données projet'!$B$10,Paramètres!$A$1:$I$89,3,0)*VLOOKUP('Données projet'!$B$10,Paramètres!$A$1:$I$89,5,0)</f>
        <v>192.91480000000007</v>
      </c>
      <c r="AK52" s="14">
        <f t="shared" si="35"/>
        <v>48.18380163388656</v>
      </c>
      <c r="AL52" s="22">
        <f t="shared" si="4"/>
        <v>419.91339784568589</v>
      </c>
      <c r="AM52" s="62">
        <f t="shared" si="5"/>
        <v>713.24673117901921</v>
      </c>
      <c r="AN52" s="62">
        <f ca="1">AVERAGE(OFFSET($AM$3,0,0,'Données projet'!$E$10+1,1))-AVERAGE(OFFSET($H$3,0,0,'Données projet'!$E$10+1,1))</f>
        <v>287.69656598881124</v>
      </c>
      <c r="AO52" s="62">
        <f t="shared" si="36"/>
        <v>221.9773436301067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3.569396724154033</v>
      </c>
      <c r="AW52" s="23">
        <f>EXP(-LN(2)/2)*AW51+(1-EXP(-LN(2)/2))/(LN(2)/2)*AQ52*AT52*VLOOKUP('Données projet'!$B$10,Paramètres!$A$1:$I$89,3,0)*0.475*44/12</f>
        <v>1.9641681496419174E-2</v>
      </c>
      <c r="AX52" s="23">
        <f t="shared" si="6"/>
        <v>3.5890384056504523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11.5</v>
      </c>
      <c r="BD52" s="13">
        <f>IF('Données projet'!$A$88&gt;35,BD51+BC52-BL51,IF(A52&lt;'Données projet'!$A$88,$BA$205^A52,IF(A52='Données projet'!$A$88,'Données projet'!$B$88,BD51+BC52-BL51)))</f>
        <v>365.49999999999989</v>
      </c>
      <c r="BE52" s="14">
        <f>BD52*VLOOKUP('Données projet'!$B$11,Paramètres!$A$1:$I$89,3,0)*VLOOKUP('Données projet'!$B$11,Paramètres!$A$1:$I$89,5,0)</f>
        <v>171.05399999999995</v>
      </c>
      <c r="BF52" s="14">
        <f t="shared" si="37"/>
        <v>43.32599953897904</v>
      </c>
      <c r="BG52" s="22">
        <f t="shared" si="7"/>
        <v>373.37849919705508</v>
      </c>
      <c r="BH52" s="62">
        <f t="shared" si="8"/>
        <v>666.71183253038839</v>
      </c>
      <c r="BI52" s="62">
        <f ca="1">AVERAGE(OFFSET($BH$3,0,0,'Données projet'!$E$11+1,1))-AVERAGE(OFFSET($H$3,0,0,'Données projet'!$E$11+1,1))</f>
        <v>310.95287409903602</v>
      </c>
      <c r="BJ52" s="62">
        <f t="shared" si="38"/>
        <v>224.10083380795163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5.2</v>
      </c>
      <c r="BY52" s="13">
        <f>IF('Données projet'!$A$114&gt;35,BY51+BX52-CG51,IF(A52&lt;'Données projet'!$A$114,$BV$205^A52,IF(A52='Données projet'!$A$114,'Données projet'!$B$114,BY51+BX52-CG51)))</f>
        <v>368.79999999999995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374</v>
      </c>
      <c r="L53" s="13">
        <f>VLOOKUP(A53,'Données projet'!$A$35:$I$55,9,0)</f>
        <v>5.2</v>
      </c>
      <c r="M53" s="13">
        <f t="array" ref="M53">INDEX(L:L,MIN(IF(ISNUMBER(L53:L249),ROW(L53:L249),"")))</f>
        <v>5.2</v>
      </c>
      <c r="N53" s="14">
        <f>IF('Données projet'!$A$36&gt;35,N52+M53-V52,IF(A53&lt;'Données projet'!$A$36,$K$205^A53,IF(A53='Données projet'!$A$36,'Données projet'!$B$36,N52+M53-V52)))</f>
        <v>373.99999999999994</v>
      </c>
      <c r="O53" s="14">
        <f>N53*VLOOKUP('Données projet'!$B$9,Paramètres!$A$1:$I$89,3,0)*VLOOKUP('Données projet'!$B$9,Paramètres!$A$1:$I$89,5,0)</f>
        <v>204.20399999999998</v>
      </c>
      <c r="P53" s="14">
        <f t="shared" si="33"/>
        <v>50.666958146601125</v>
      </c>
      <c r="Q53" s="22">
        <f t="shared" si="53"/>
        <v>443.90025210533031</v>
      </c>
      <c r="R53" s="62">
        <f t="shared" si="0"/>
        <v>737.23358543866357</v>
      </c>
      <c r="S53" s="62">
        <f ca="1">AVERAGE(OFFSET($R$3,0,0,'Données projet'!$E$9+1,1))-AVERAGE(OFFSET($H$3,0,0,'Données projet'!$E$9+1,1))</f>
        <v>240.19940780300527</v>
      </c>
      <c r="T53" s="62">
        <f t="shared" si="34"/>
        <v>355.71054384071715</v>
      </c>
      <c r="U53" s="16">
        <f>IF(ISNA(VLOOKUP(A53,'Données projet'!$A$35:$I$55,3,0)),0,VLOOKUP(A53,'Données projet'!$A$35:$I$55,3,0))</f>
        <v>9</v>
      </c>
      <c r="V53" s="16">
        <f>IF(ISNA(VLOOKUP(A53,'Données projet'!$A$35:$I$55,4,0)),0,VLOOKUP(A53,'Données projet'!$A$35:$I$55,4,0))</f>
        <v>374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1.4037712595121035</v>
      </c>
      <c r="AA53" s="23">
        <f>EXP(-LN(2)/25)*AA52+(1-EXP(-LN(2)/25))/(LN(2)/25)*Calculateur!V53*Calculateur!X53*VLOOKUP('Données projet'!$B$9,Paramètres!$A$1:$I$89,3,0)*0.475*44/12</f>
        <v>7.1528148409228098</v>
      </c>
      <c r="AB53" s="23">
        <f>EXP(-LN(2)/2)*AB52+(1-EXP(-LN(2)/2))/(LN(2)/2)*V53*Y53*VLOOKUP('Données projet'!$B$9,Paramètres!$A$1:$I$89,3,0)*0.475*44/12</f>
        <v>2.6267243484489541E-2</v>
      </c>
      <c r="AC53" s="24">
        <f t="shared" si="3"/>
        <v>8.5828533439194032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340</v>
      </c>
      <c r="AG53" s="13">
        <f>VLOOKUP(A53,'Données projet'!$A$61:$I$81,9,0)</f>
        <v>17.399999999999999</v>
      </c>
      <c r="AH53" s="13">
        <f t="array" ref="AH53">INDEX(AG:AG,MIN(IF(ISNUMBER(AG53:AG249),ROW(AG53:AG249),"")))</f>
        <v>17.399999999999999</v>
      </c>
      <c r="AI53" s="14">
        <f>IF('Données projet'!$A$62&gt;35,AI52+AH53-AQ52,IF(A53&lt;'Données projet'!$A$62,$AF$205^A53,IF(A53='Données projet'!$A$62,'Données projet'!$B$62,AI52+AH53-AQ52)))</f>
        <v>340.00000000000006</v>
      </c>
      <c r="AJ53" s="14">
        <f>AI53*VLOOKUP('Données projet'!$B$10,Paramètres!$A$1:$I$89,3,0)*VLOOKUP('Données projet'!$B$10,Paramètres!$A$1:$I$89,5,0)</f>
        <v>203.32000000000005</v>
      </c>
      <c r="AK53" s="14">
        <f t="shared" si="35"/>
        <v>50.473102640215579</v>
      </c>
      <c r="AL53" s="22">
        <f t="shared" si="4"/>
        <v>442.02298709837555</v>
      </c>
      <c r="AM53" s="62">
        <f t="shared" si="5"/>
        <v>735.35632043170881</v>
      </c>
      <c r="AN53" s="62">
        <f ca="1">AVERAGE(OFFSET($AM$3,0,0,'Données projet'!$E$10+1,1))-AVERAGE(OFFSET($H$3,0,0,'Données projet'!$E$10+1,1))</f>
        <v>287.69656598881124</v>
      </c>
      <c r="AO53" s="62">
        <f t="shared" si="36"/>
        <v>221.9773436301067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53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3.4717913830256251</v>
      </c>
      <c r="AW53" s="23">
        <f>EXP(-LN(2)/2)*AW52+(1-EXP(-LN(2)/2))/(LN(2)/2)*AQ53*AT53*VLOOKUP('Données projet'!$B$10,Paramètres!$A$1:$I$89,3,0)*0.475*44/12</f>
        <v>1.3888766180024333E-2</v>
      </c>
      <c r="AX53" s="23">
        <f t="shared" si="6"/>
        <v>3.4856801492056495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377</v>
      </c>
      <c r="BB53" s="13">
        <f>VLOOKUP(A53,'Données projet'!$A$87:$I$107,9,0)</f>
        <v>11.5</v>
      </c>
      <c r="BC53" s="13">
        <f t="array" ref="BC53">INDEX(BB:BB,MIN(IF(ISNUMBER(BB53:BB249),ROW(BB53:BB249),"")))</f>
        <v>11.5</v>
      </c>
      <c r="BD53" s="13">
        <f>IF('Données projet'!$A$88&gt;35,BD52+BC53-BL52,IF(A53&lt;'Données projet'!$A$88,$BA$205^A53,IF(A53='Données projet'!$A$88,'Données projet'!$B$88,BD52+BC53-BL52)))</f>
        <v>376.99999999999989</v>
      </c>
      <c r="BE53" s="14">
        <f>BD53*VLOOKUP('Données projet'!$B$11,Paramètres!$A$1:$I$89,3,0)*VLOOKUP('Données projet'!$B$11,Paramètres!$A$1:$I$89,5,0)</f>
        <v>176.43599999999992</v>
      </c>
      <c r="BF53" s="14">
        <f t="shared" si="37"/>
        <v>44.52834129105058</v>
      </c>
      <c r="BG53" s="22">
        <f t="shared" si="7"/>
        <v>384.84622774857962</v>
      </c>
      <c r="BH53" s="62">
        <f t="shared" si="8"/>
        <v>678.17956108191288</v>
      </c>
      <c r="BI53" s="62">
        <f ca="1">AVERAGE(OFFSET($BH$3,0,0,'Données projet'!$E$11+1,1))-AVERAGE(OFFSET($H$3,0,0,'Données projet'!$E$11+1,1))</f>
        <v>310.95287409903602</v>
      </c>
      <c r="BJ53" s="62">
        <f t="shared" si="38"/>
        <v>224.10083380795163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374</v>
      </c>
      <c r="BW53" s="13">
        <f>VLOOKUP(A53,'Données projet'!$A$113:$I$133,9,0)</f>
        <v>5.2</v>
      </c>
      <c r="BX53" s="13">
        <f t="array" ref="BX53">INDEX(BW:BW,MIN(IF(ISNUMBER(BW53:BW249),ROW(BW53:BW249),"")))</f>
        <v>5.2</v>
      </c>
      <c r="BY53" s="13">
        <f>IF('Données projet'!$A$114&gt;35,BY52+BX53-CG52,IF(A53&lt;'Données projet'!$A$114,$BV$205^A53,IF(A53='Données projet'!$A$114,'Données projet'!$B$114,BY52+BX53-CG52)))</f>
        <v>373.99999999999994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9</v>
      </c>
      <c r="CG53" s="16">
        <f>IF(ISNA(VLOOKUP(A53,'Données projet'!$A$113:$I$133,4,0)),0,VLOOKUP(A53,'Données projet'!$A$113:$I$133,4,0))</f>
        <v>374</v>
      </c>
      <c r="CH53" s="17" t="e">
        <f>IF(ISNA(VLOOKUP(A53,'Données projet'!$A$113:$I$133,5,0)),0%,VLOOKUP(A53,'Données projet'!$A$113:$I$133,5,0)*VLOOKUP('Données projet'!$B$12,Paramètres!$A$1:$I$89,7,0))</f>
        <v>#N/A</v>
      </c>
      <c r="CI53" s="17" t="e">
        <f>IF(ISNA(VLOOKUP(A53,'Données projet'!$A$113:$I$133,6,0)),0%,VLOOKUP(A53,'Données projet'!$A$113:$I$133,6,0)*VLOOKUP('Données projet'!$B$12,Paramètres!$A$1:$I$89,7,0))</f>
        <v>#N/A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-5.6843418860808015E-14</v>
      </c>
      <c r="O54" s="14">
        <f>N54*VLOOKUP('Données projet'!$B$9,Paramètres!$A$1:$I$89,3,0)*VLOOKUP('Données projet'!$B$9,Paramètres!$A$1:$I$89,5,0)</f>
        <v>-3.1036506698001178E-14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240.19940780300527</v>
      </c>
      <c r="T54" s="62">
        <f t="shared" si="34"/>
        <v>355.71054384071715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1.3762441613289951</v>
      </c>
      <c r="AA54" s="23">
        <f>EXP(-LN(2)/25)*AA53+(1-EXP(-LN(2)/25))/(LN(2)/25)*Calculateur!V54*Calculateur!X54*VLOOKUP('Données projet'!$B$9,Paramètres!$A$1:$I$89,3,0)*0.475*44/12</f>
        <v>6.957220742947591</v>
      </c>
      <c r="AB54" s="23">
        <f>EXP(-LN(2)/2)*AB53+(1-EXP(-LN(2)/2))/(LN(2)/2)*V54*Y54*VLOOKUP('Données projet'!$B$9,Paramètres!$A$1:$I$89,3,0)*0.475*44/12</f>
        <v>1.8573745990960712E-2</v>
      </c>
      <c r="AC54" s="24">
        <f t="shared" si="3"/>
        <v>8.3520386502675468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17.625</v>
      </c>
      <c r="AI54" s="14">
        <f>IF('Données projet'!$A$62&gt;35,AI53+AH54-AQ53,IF(A54&lt;'Données projet'!$A$62,$AF$205^A54,IF(A54='Données projet'!$A$62,'Données projet'!$B$62,AI53+AH54-AQ53)))</f>
        <v>304.62500000000006</v>
      </c>
      <c r="AJ54" s="14">
        <f>AI54*VLOOKUP('Données projet'!$B$10,Paramètres!$A$1:$I$89,3,0)*VLOOKUP('Données projet'!$B$10,Paramètres!$A$1:$I$89,5,0)</f>
        <v>182.16575000000003</v>
      </c>
      <c r="AK54" s="14">
        <f t="shared" si="35"/>
        <v>45.803689728693968</v>
      </c>
      <c r="AL54" s="22">
        <f t="shared" si="4"/>
        <v>397.04677419414202</v>
      </c>
      <c r="AM54" s="62">
        <f t="shared" si="5"/>
        <v>690.38010752747527</v>
      </c>
      <c r="AN54" s="62">
        <f ca="1">AVERAGE(OFFSET($AM$3,0,0,'Données projet'!$E$10+1,1))-AVERAGE(OFFSET($H$3,0,0,'Données projet'!$E$10+1,1))</f>
        <v>287.69656598881124</v>
      </c>
      <c r="AO54" s="62">
        <f t="shared" si="36"/>
        <v>221.9773436301067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3.3768550650832152</v>
      </c>
      <c r="AW54" s="23">
        <f>EXP(-LN(2)/2)*AW53+(1-EXP(-LN(2)/2))/(LN(2)/2)*AQ54*AT54*VLOOKUP('Données projet'!$B$10,Paramètres!$A$1:$I$89,3,0)*0.475*44/12</f>
        <v>9.8208407482095871E-3</v>
      </c>
      <c r="AX54" s="23">
        <f t="shared" si="6"/>
        <v>3.3866759058314249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13.5</v>
      </c>
      <c r="BD54" s="13">
        <f>IF('Données projet'!$A$88&gt;35,BD53+BC54-BL53,IF(A54&lt;'Données projet'!$A$88,$BA$205^A54,IF(A54='Données projet'!$A$88,'Données projet'!$B$88,BD53+BC54-BL53)))</f>
        <v>390.49999999999989</v>
      </c>
      <c r="BE54" s="14">
        <f>BD54*VLOOKUP('Données projet'!$B$11,Paramètres!$A$1:$I$89,3,0)*VLOOKUP('Données projet'!$B$11,Paramètres!$A$1:$I$89,5,0)</f>
        <v>182.75399999999996</v>
      </c>
      <c r="BF54" s="14">
        <f t="shared" si="37"/>
        <v>45.934357911110212</v>
      </c>
      <c r="BG54" s="22">
        <f t="shared" si="7"/>
        <v>398.29889002851684</v>
      </c>
      <c r="BH54" s="62">
        <f t="shared" si="8"/>
        <v>691.63222336185015</v>
      </c>
      <c r="BI54" s="62">
        <f ca="1">AVERAGE(OFFSET($BH$3,0,0,'Données projet'!$E$11+1,1))-AVERAGE(OFFSET($H$3,0,0,'Données projet'!$E$11+1,1))</f>
        <v>310.95287409903602</v>
      </c>
      <c r="BJ54" s="62">
        <f t="shared" si="38"/>
        <v>224.10083380795163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-5.6843418860808015E-14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-5.6843418860808015E-14</v>
      </c>
      <c r="O55" s="14">
        <f>N55*VLOOKUP('Données projet'!$B$9,Paramètres!$A$1:$I$89,3,0)*VLOOKUP('Données projet'!$B$9,Paramètres!$A$1:$I$89,5,0)</f>
        <v>-3.1036506698001178E-14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240.19940780300527</v>
      </c>
      <c r="T55" s="62">
        <f t="shared" si="34"/>
        <v>355.71054384071715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1.3492568527513855</v>
      </c>
      <c r="AA55" s="23">
        <f>EXP(-LN(2)/25)*AA54+(1-EXP(-LN(2)/25))/(LN(2)/25)*Calculateur!V55*Calculateur!X55*VLOOKUP('Données projet'!$B$9,Paramètres!$A$1:$I$89,3,0)*0.475*44/12</f>
        <v>6.7669751758673513</v>
      </c>
      <c r="AB55" s="23">
        <f>EXP(-LN(2)/2)*AB54+(1-EXP(-LN(2)/2))/(LN(2)/2)*V55*Y55*VLOOKUP('Données projet'!$B$9,Paramètres!$A$1:$I$89,3,0)*0.475*44/12</f>
        <v>1.3133621742244771E-2</v>
      </c>
      <c r="AC55" s="24">
        <f t="shared" si="3"/>
        <v>8.129365650360981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17.625</v>
      </c>
      <c r="AI55" s="14">
        <f>IF('Données projet'!$A$62&gt;35,AI54+AH55-AQ54,IF(A55&lt;'Données projet'!$A$62,$AF$205^A55,IF(A55='Données projet'!$A$62,'Données projet'!$B$62,AI54+AH55-AQ54)))</f>
        <v>322.25000000000006</v>
      </c>
      <c r="AJ55" s="14">
        <f>AI55*VLOOKUP('Données projet'!$B$10,Paramètres!$A$1:$I$89,3,0)*VLOOKUP('Données projet'!$B$10,Paramètres!$A$1:$I$89,5,0)</f>
        <v>192.70550000000006</v>
      </c>
      <c r="AK55" s="14">
        <f t="shared" si="35"/>
        <v>48.137607387789963</v>
      </c>
      <c r="AL55" s="22">
        <f t="shared" si="4"/>
        <v>419.46841203373424</v>
      </c>
      <c r="AM55" s="62">
        <f t="shared" si="5"/>
        <v>712.8017453670675</v>
      </c>
      <c r="AN55" s="62">
        <f ca="1">AVERAGE(OFFSET($AM$3,0,0,'Données projet'!$E$10+1,1))-AVERAGE(OFFSET($H$3,0,0,'Données projet'!$E$10+1,1))</f>
        <v>287.69656598881124</v>
      </c>
      <c r="AO55" s="62">
        <f t="shared" si="36"/>
        <v>221.9773436301067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3.2845147857474246</v>
      </c>
      <c r="AW55" s="23">
        <f>EXP(-LN(2)/2)*AW54+(1-EXP(-LN(2)/2))/(LN(2)/2)*AQ55*AT55*VLOOKUP('Données projet'!$B$10,Paramètres!$A$1:$I$89,3,0)*0.475*44/12</f>
        <v>6.9443830900121663E-3</v>
      </c>
      <c r="AX55" s="23">
        <f t="shared" si="6"/>
        <v>3.2914591688374366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13.5</v>
      </c>
      <c r="BD55" s="13">
        <f>IF('Données projet'!$A$88&gt;35,BD54+BC55-BL54,IF(A55&lt;'Données projet'!$A$88,$BA$205^A55,IF(A55='Données projet'!$A$88,'Données projet'!$B$88,BD54+BC55-BL54)))</f>
        <v>403.99999999999989</v>
      </c>
      <c r="BE55" s="14">
        <f>BD55*VLOOKUP('Données projet'!$B$11,Paramètres!$A$1:$I$89,3,0)*VLOOKUP('Données projet'!$B$11,Paramètres!$A$1:$I$89,5,0)</f>
        <v>189.07199999999992</v>
      </c>
      <c r="BF55" s="14">
        <f t="shared" si="37"/>
        <v>47.33472679972779</v>
      </c>
      <c r="BG55" s="22">
        <f t="shared" si="7"/>
        <v>411.74171584285909</v>
      </c>
      <c r="BH55" s="62">
        <f t="shared" si="8"/>
        <v>705.07504917619235</v>
      </c>
      <c r="BI55" s="62">
        <f ca="1">AVERAGE(OFFSET($BH$3,0,0,'Données projet'!$E$11+1,1))-AVERAGE(OFFSET($H$3,0,0,'Données projet'!$E$11+1,1))</f>
        <v>310.95287409903602</v>
      </c>
      <c r="BJ55" s="62">
        <f t="shared" si="38"/>
        <v>224.10083380795163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-5.6843418860808015E-14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-5.6843418860808015E-14</v>
      </c>
      <c r="O56" s="14">
        <f>N56*VLOOKUP('Données projet'!$B$9,Paramètres!$A$1:$I$89,3,0)*VLOOKUP('Données projet'!$B$9,Paramètres!$A$1:$I$89,5,0)</f>
        <v>-3.1036506698001178E-14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240.19940780300527</v>
      </c>
      <c r="T56" s="62">
        <f t="shared" si="34"/>
        <v>355.71054384071715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1.32279874883435</v>
      </c>
      <c r="AA56" s="23">
        <f>EXP(-LN(2)/25)*AA55+(1-EXP(-LN(2)/25))/(LN(2)/25)*Calculateur!V56*Calculateur!X56*VLOOKUP('Données projet'!$B$9,Paramètres!$A$1:$I$89,3,0)*0.475*44/12</f>
        <v>6.5819318838235006</v>
      </c>
      <c r="AB56" s="23">
        <f>EXP(-LN(2)/2)*AB55+(1-EXP(-LN(2)/2))/(LN(2)/2)*V56*Y56*VLOOKUP('Données projet'!$B$9,Paramètres!$A$1:$I$89,3,0)*0.475*44/12</f>
        <v>9.286872995480356E-3</v>
      </c>
      <c r="AC56" s="24">
        <f t="shared" si="3"/>
        <v>7.9140175056533311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17.625</v>
      </c>
      <c r="AI56" s="14">
        <f>IF('Données projet'!$A$62&gt;35,AI55+AH56-AQ55,IF(A56&lt;'Données projet'!$A$62,$AF$205^A56,IF(A56='Données projet'!$A$62,'Données projet'!$B$62,AI55+AH56-AQ55)))</f>
        <v>339.87500000000006</v>
      </c>
      <c r="AJ56" s="14">
        <f>AI56*VLOOKUP('Données projet'!$B$10,Paramètres!$A$1:$I$89,3,0)*VLOOKUP('Données projet'!$B$10,Paramètres!$A$1:$I$89,5,0)</f>
        <v>203.24525000000006</v>
      </c>
      <c r="AK56" s="14">
        <f t="shared" si="35"/>
        <v>50.45670595349123</v>
      </c>
      <c r="AL56" s="22">
        <f t="shared" si="4"/>
        <v>441.86423995233059</v>
      </c>
      <c r="AM56" s="62">
        <f t="shared" si="5"/>
        <v>735.19757328566391</v>
      </c>
      <c r="AN56" s="62">
        <f ca="1">AVERAGE(OFFSET($AM$3,0,0,'Données projet'!$E$10+1,1))-AVERAGE(OFFSET($H$3,0,0,'Données projet'!$E$10+1,1))</f>
        <v>287.69656598881124</v>
      </c>
      <c r="AO56" s="62">
        <f t="shared" si="36"/>
        <v>221.9773436301067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3.1946995562060354</v>
      </c>
      <c r="AW56" s="23">
        <f>EXP(-LN(2)/2)*AW55+(1-EXP(-LN(2)/2))/(LN(2)/2)*AQ56*AT56*VLOOKUP('Données projet'!$B$10,Paramètres!$A$1:$I$89,3,0)*0.475*44/12</f>
        <v>4.9104203741047936E-3</v>
      </c>
      <c r="AX56" s="23">
        <f t="shared" si="6"/>
        <v>3.19960997658014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13.5</v>
      </c>
      <c r="BD56" s="13">
        <f>IF('Données projet'!$A$88&gt;35,BD55+BC56-BL55,IF(A56&lt;'Données projet'!$A$88,$BA$205^A56,IF(A56='Données projet'!$A$88,'Données projet'!$B$88,BD55+BC56-BL55)))</f>
        <v>417.49999999999989</v>
      </c>
      <c r="BE56" s="14">
        <f>BD56*VLOOKUP('Données projet'!$B$11,Paramètres!$A$1:$I$89,3,0)*VLOOKUP('Données projet'!$B$11,Paramètres!$A$1:$I$89,5,0)</f>
        <v>195.38999999999996</v>
      </c>
      <c r="BF56" s="14">
        <f t="shared" si="37"/>
        <v>48.729658318340213</v>
      </c>
      <c r="BG56" s="22">
        <f t="shared" si="7"/>
        <v>425.17507157110907</v>
      </c>
      <c r="BH56" s="62">
        <f t="shared" si="8"/>
        <v>718.50840490444239</v>
      </c>
      <c r="BI56" s="62">
        <f ca="1">AVERAGE(OFFSET($BH$3,0,0,'Données projet'!$E$11+1,1))-AVERAGE(OFFSET($H$3,0,0,'Données projet'!$E$11+1,1))</f>
        <v>310.95287409903602</v>
      </c>
      <c r="BJ56" s="62">
        <f t="shared" si="38"/>
        <v>224.10083380795163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-5.6843418860808015E-14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-5.6843418860808015E-14</v>
      </c>
      <c r="O57" s="14">
        <f>N57*VLOOKUP('Données projet'!$B$9,Paramètres!$A$1:$I$89,3,0)*VLOOKUP('Données projet'!$B$9,Paramètres!$A$1:$I$89,5,0)</f>
        <v>-3.1036506698001178E-14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240.19940780300527</v>
      </c>
      <c r="T57" s="62">
        <f t="shared" si="34"/>
        <v>355.71054384071715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1.2968594721972775</v>
      </c>
      <c r="AA57" s="23">
        <f>EXP(-LN(2)/25)*AA56+(1-EXP(-LN(2)/25))/(LN(2)/25)*Calculateur!V57*Calculateur!X57*VLOOKUP('Données projet'!$B$9,Paramètres!$A$1:$I$89,3,0)*0.475*44/12</f>
        <v>6.4019486103315923</v>
      </c>
      <c r="AB57" s="23">
        <f>EXP(-LN(2)/2)*AB56+(1-EXP(-LN(2)/2))/(LN(2)/2)*V57*Y57*VLOOKUP('Données projet'!$B$9,Paramètres!$A$1:$I$89,3,0)*0.475*44/12</f>
        <v>6.5668108711223853E-3</v>
      </c>
      <c r="AC57" s="24">
        <f t="shared" si="3"/>
        <v>7.7053748933999922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17.625</v>
      </c>
      <c r="AI57" s="14">
        <f>IF('Données projet'!$A$62&gt;35,AI56+AH57-AQ56,IF(A57&lt;'Données projet'!$A$62,$AF$205^A57,IF(A57='Données projet'!$A$62,'Données projet'!$B$62,AI56+AH57-AQ56)))</f>
        <v>357.50000000000006</v>
      </c>
      <c r="AJ57" s="14">
        <f>AI57*VLOOKUP('Données projet'!$B$10,Paramètres!$A$1:$I$89,3,0)*VLOOKUP('Données projet'!$B$10,Paramètres!$A$1:$I$89,5,0)</f>
        <v>213.78500000000005</v>
      </c>
      <c r="AK57" s="14">
        <f t="shared" si="35"/>
        <v>52.761841557402377</v>
      </c>
      <c r="AL57" s="22">
        <f t="shared" si="4"/>
        <v>464.2357490458092</v>
      </c>
      <c r="AM57" s="62">
        <f t="shared" si="5"/>
        <v>757.56908237914251</v>
      </c>
      <c r="AN57" s="62">
        <f ca="1">AVERAGE(OFFSET($AM$3,0,0,'Données projet'!$E$10+1,1))-AVERAGE(OFFSET($H$3,0,0,'Données projet'!$E$10+1,1))</f>
        <v>287.69656598881124</v>
      </c>
      <c r="AO57" s="62">
        <f t="shared" si="36"/>
        <v>221.9773436301067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3.1073403288396335</v>
      </c>
      <c r="AW57" s="23">
        <f>EXP(-LN(2)/2)*AW56+(1-EXP(-LN(2)/2))/(LN(2)/2)*AQ57*AT57*VLOOKUP('Données projet'!$B$10,Paramètres!$A$1:$I$89,3,0)*0.475*44/12</f>
        <v>3.4721915450060831E-3</v>
      </c>
      <c r="AX57" s="23">
        <f t="shared" si="6"/>
        <v>3.1108125203846395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13.5</v>
      </c>
      <c r="BD57" s="13">
        <f>IF('Données projet'!$A$88&gt;35,BD56+BC57-BL56,IF(A57&lt;'Données projet'!$A$88,$BA$205^A57,IF(A57='Données projet'!$A$88,'Données projet'!$B$88,BD56+BC57-BL56)))</f>
        <v>430.99999999999989</v>
      </c>
      <c r="BE57" s="14">
        <f>BD57*VLOOKUP('Données projet'!$B$11,Paramètres!$A$1:$I$89,3,0)*VLOOKUP('Données projet'!$B$11,Paramètres!$A$1:$I$89,5,0)</f>
        <v>201.70799999999994</v>
      </c>
      <c r="BF57" s="14">
        <f t="shared" si="37"/>
        <v>50.119348451854243</v>
      </c>
      <c r="BG57" s="22">
        <f t="shared" si="7"/>
        <v>438.59929855364607</v>
      </c>
      <c r="BH57" s="62">
        <f t="shared" si="8"/>
        <v>731.93263188697938</v>
      </c>
      <c r="BI57" s="62">
        <f ca="1">AVERAGE(OFFSET($BH$3,0,0,'Données projet'!$E$11+1,1))-AVERAGE(OFFSET($H$3,0,0,'Données projet'!$E$11+1,1))</f>
        <v>310.95287409903602</v>
      </c>
      <c r="BJ57" s="62">
        <f t="shared" si="38"/>
        <v>224.10083380795163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-5.6843418860808015E-14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-5.6843418860808015E-14</v>
      </c>
      <c r="O58" s="14">
        <f>N58*VLOOKUP('Données projet'!$B$9,Paramètres!$A$1:$I$89,3,0)*VLOOKUP('Données projet'!$B$9,Paramètres!$A$1:$I$89,5,0)</f>
        <v>-3.1036506698001178E-14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240.19940780300527</v>
      </c>
      <c r="T58" s="62">
        <f t="shared" si="34"/>
        <v>355.71054384071715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1.2714288489536616</v>
      </c>
      <c r="AA58" s="23">
        <f>EXP(-LN(2)/25)*AA57+(1-EXP(-LN(2)/25))/(LN(2)/25)*Calculateur!V58*Calculateur!X58*VLOOKUP('Données projet'!$B$9,Paramètres!$A$1:$I$89,3,0)*0.475*44/12</f>
        <v>6.2268869889182294</v>
      </c>
      <c r="AB58" s="23">
        <f>EXP(-LN(2)/2)*AB57+(1-EXP(-LN(2)/2))/(LN(2)/2)*V58*Y58*VLOOKUP('Données projet'!$B$9,Paramètres!$A$1:$I$89,3,0)*0.475*44/12</f>
        <v>4.643436497740178E-3</v>
      </c>
      <c r="AC58" s="24">
        <f t="shared" si="3"/>
        <v>7.5029592743696307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17.625</v>
      </c>
      <c r="AI58" s="14">
        <f>IF('Données projet'!$A$62&gt;35,AI57+AH58-AQ57,IF(A58&lt;'Données projet'!$A$62,$AF$205^A58,IF(A58='Données projet'!$A$62,'Données projet'!$B$62,AI57+AH58-AQ57)))</f>
        <v>375.12500000000006</v>
      </c>
      <c r="AJ58" s="14">
        <f>AI58*VLOOKUP('Données projet'!$B$10,Paramètres!$A$1:$I$89,3,0)*VLOOKUP('Données projet'!$B$10,Paramètres!$A$1:$I$89,5,0)</f>
        <v>224.32475000000005</v>
      </c>
      <c r="AK58" s="14">
        <f t="shared" si="35"/>
        <v>55.053781146410472</v>
      </c>
      <c r="AL58" s="22">
        <f t="shared" si="4"/>
        <v>486.58427507999835</v>
      </c>
      <c r="AM58" s="62">
        <f t="shared" si="5"/>
        <v>779.91760841333166</v>
      </c>
      <c r="AN58" s="62">
        <f ca="1">AVERAGE(OFFSET($AM$3,0,0,'Données projet'!$E$10+1,1))-AVERAGE(OFFSET($H$3,0,0,'Données projet'!$E$10+1,1))</f>
        <v>287.69656598881124</v>
      </c>
      <c r="AO58" s="62">
        <f t="shared" si="36"/>
        <v>221.9773436301067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3.0223699441395877</v>
      </c>
      <c r="AW58" s="23">
        <f>EXP(-LN(2)/2)*AW57+(1-EXP(-LN(2)/2))/(LN(2)/2)*AQ58*AT58*VLOOKUP('Données projet'!$B$10,Paramètres!$A$1:$I$89,3,0)*0.475*44/12</f>
        <v>2.4552101870523968E-3</v>
      </c>
      <c r="AX58" s="23">
        <f t="shared" si="6"/>
        <v>3.0248251543266402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13.5</v>
      </c>
      <c r="BD58" s="13">
        <f>IF('Données projet'!$A$88&gt;35,BD57+BC58-BL57,IF(A58&lt;'Données projet'!$A$88,$BA$205^A58,IF(A58='Données projet'!$A$88,'Données projet'!$B$88,BD57+BC58-BL57)))</f>
        <v>444.49999999999989</v>
      </c>
      <c r="BE58" s="14">
        <f>BD58*VLOOKUP('Données projet'!$B$11,Paramètres!$A$1:$I$89,3,0)*VLOOKUP('Données projet'!$B$11,Paramètres!$A$1:$I$89,5,0)</f>
        <v>208.02599999999995</v>
      </c>
      <c r="BF58" s="14">
        <f t="shared" si="37"/>
        <v>51.503980210368603</v>
      </c>
      <c r="BG58" s="22">
        <f t="shared" si="7"/>
        <v>452.01471553305851</v>
      </c>
      <c r="BH58" s="62">
        <f t="shared" si="8"/>
        <v>745.34804886639176</v>
      </c>
      <c r="BI58" s="62">
        <f ca="1">AVERAGE(OFFSET($BH$3,0,0,'Données projet'!$E$11+1,1))-AVERAGE(OFFSET($H$3,0,0,'Données projet'!$E$11+1,1))</f>
        <v>310.95287409903602</v>
      </c>
      <c r="BJ58" s="62">
        <f t="shared" si="38"/>
        <v>224.10083380795163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-5.6843418860808015E-14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-5.6843418860808015E-14</v>
      </c>
      <c r="O59" s="14">
        <f>N59*VLOOKUP('Données projet'!$B$9,Paramètres!$A$1:$I$89,3,0)*VLOOKUP('Données projet'!$B$9,Paramètres!$A$1:$I$89,5,0)</f>
        <v>-3.1036506698001178E-14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240.19940780300527</v>
      </c>
      <c r="T59" s="62">
        <f t="shared" si="34"/>
        <v>355.71054384071715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1.2464969047207044</v>
      </c>
      <c r="AA59" s="23">
        <f>EXP(-LN(2)/25)*AA58+(1-EXP(-LN(2)/25))/(LN(2)/25)*Calculateur!V59*Calculateur!X59*VLOOKUP('Données projet'!$B$9,Paramètres!$A$1:$I$89,3,0)*0.475*44/12</f>
        <v>6.0566124367485052</v>
      </c>
      <c r="AB59" s="23">
        <f>EXP(-LN(2)/2)*AB58+(1-EXP(-LN(2)/2))/(LN(2)/2)*V59*Y59*VLOOKUP('Données projet'!$B$9,Paramètres!$A$1:$I$89,3,0)*0.475*44/12</f>
        <v>3.2834054355611927E-3</v>
      </c>
      <c r="AC59" s="24">
        <f t="shared" si="3"/>
        <v>7.3063927469047707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17.625</v>
      </c>
      <c r="AI59" s="14">
        <f>IF('Données projet'!$A$62&gt;35,AI58+AH59-AQ58,IF(A59&lt;'Données projet'!$A$62,$AF$205^A59,IF(A59='Données projet'!$A$62,'Données projet'!$B$62,AI58+AH59-AQ58)))</f>
        <v>392.75000000000006</v>
      </c>
      <c r="AJ59" s="14">
        <f>AI59*VLOOKUP('Données projet'!$B$10,Paramètres!$A$1:$I$89,3,0)*VLOOKUP('Données projet'!$B$10,Paramètres!$A$1:$I$89,5,0)</f>
        <v>234.86450000000002</v>
      </c>
      <c r="AK59" s="14">
        <f t="shared" si="35"/>
        <v>57.33321552572081</v>
      </c>
      <c r="AL59" s="22">
        <f t="shared" si="4"/>
        <v>508.9110212072971</v>
      </c>
      <c r="AM59" s="62">
        <f t="shared" si="5"/>
        <v>802.24435454063041</v>
      </c>
      <c r="AN59" s="62">
        <f ca="1">AVERAGE(OFFSET($AM$3,0,0,'Données projet'!$E$10+1,1))-AVERAGE(OFFSET($H$3,0,0,'Données projet'!$E$10+1,1))</f>
        <v>287.69656598881124</v>
      </c>
      <c r="AO59" s="62">
        <f t="shared" si="36"/>
        <v>221.9773436301067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2.939723079077563</v>
      </c>
      <c r="AW59" s="23">
        <f>EXP(-LN(2)/2)*AW58+(1-EXP(-LN(2)/2))/(LN(2)/2)*AQ59*AT59*VLOOKUP('Données projet'!$B$10,Paramètres!$A$1:$I$89,3,0)*0.475*44/12</f>
        <v>1.7360957725030416E-3</v>
      </c>
      <c r="AX59" s="23">
        <f t="shared" si="6"/>
        <v>2.941459174850066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13.5</v>
      </c>
      <c r="BD59" s="13">
        <f>IF('Données projet'!$A$88&gt;35,BD58+BC59-BL58,IF(A59&lt;'Données projet'!$A$88,$BA$205^A59,IF(A59='Données projet'!$A$88,'Données projet'!$B$88,BD58+BC59-BL58)))</f>
        <v>457.99999999999989</v>
      </c>
      <c r="BE59" s="14">
        <f>BD59*VLOOKUP('Données projet'!$B$11,Paramètres!$A$1:$I$89,3,0)*VLOOKUP('Données projet'!$B$11,Paramètres!$A$1:$I$89,5,0)</f>
        <v>214.34399999999997</v>
      </c>
      <c r="BF59" s="14">
        <f t="shared" si="37"/>
        <v>52.883724855822585</v>
      </c>
      <c r="BG59" s="22">
        <f t="shared" si="7"/>
        <v>465.4216207905576</v>
      </c>
      <c r="BH59" s="62">
        <f t="shared" si="8"/>
        <v>758.75495412389091</v>
      </c>
      <c r="BI59" s="62">
        <f ca="1">AVERAGE(OFFSET($BH$3,0,0,'Données projet'!$E$11+1,1))-AVERAGE(OFFSET($H$3,0,0,'Données projet'!$E$11+1,1))</f>
        <v>310.95287409903602</v>
      </c>
      <c r="BJ59" s="62">
        <f t="shared" si="38"/>
        <v>224.10083380795163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-5.6843418860808015E-14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-5.6843418860808015E-14</v>
      </c>
      <c r="O60" s="14">
        <f>N60*VLOOKUP('Données projet'!$B$9,Paramètres!$A$1:$I$89,3,0)*VLOOKUP('Données projet'!$B$9,Paramètres!$A$1:$I$89,5,0)</f>
        <v>-3.1036506698001178E-14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240.19940780300527</v>
      </c>
      <c r="T60" s="62">
        <f t="shared" si="34"/>
        <v>355.71054384071715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1.2220538607071711</v>
      </c>
      <c r="AA60" s="23">
        <f>EXP(-LN(2)/25)*AA59+(1-EXP(-LN(2)/25))/(LN(2)/25)*Calculateur!V60*Calculateur!X60*VLOOKUP('Données projet'!$B$9,Paramètres!$A$1:$I$89,3,0)*0.475*44/12</f>
        <v>5.8909940511622123</v>
      </c>
      <c r="AB60" s="23">
        <f>EXP(-LN(2)/2)*AB59+(1-EXP(-LN(2)/2))/(LN(2)/2)*V60*Y60*VLOOKUP('Données projet'!$B$9,Paramètres!$A$1:$I$89,3,0)*0.475*44/12</f>
        <v>2.321718248870089E-3</v>
      </c>
      <c r="AC60" s="24">
        <f t="shared" si="3"/>
        <v>7.1153696301182539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17.625</v>
      </c>
      <c r="AI60" s="14">
        <f>IF('Données projet'!$A$62&gt;35,AI59+AH60-AQ59,IF(A60&lt;'Données projet'!$A$62,$AF$205^A60,IF(A60='Données projet'!$A$62,'Données projet'!$B$62,AI59+AH60-AQ59)))</f>
        <v>410.37500000000006</v>
      </c>
      <c r="AJ60" s="14">
        <f>AI60*VLOOKUP('Données projet'!$B$10,Paramètres!$A$1:$I$89,3,0)*VLOOKUP('Données projet'!$B$10,Paramètres!$A$1:$I$89,5,0)</f>
        <v>245.40425000000005</v>
      </c>
      <c r="AK60" s="14">
        <f t="shared" si="35"/>
        <v>59.60076999447687</v>
      </c>
      <c r="AL60" s="22">
        <f t="shared" si="4"/>
        <v>531.21707649038069</v>
      </c>
      <c r="AM60" s="62">
        <f t="shared" si="5"/>
        <v>824.55040982371406</v>
      </c>
      <c r="AN60" s="62">
        <f ca="1">AVERAGE(OFFSET($AM$3,0,0,'Données projet'!$E$10+1,1))-AVERAGE(OFFSET($H$3,0,0,'Données projet'!$E$10+1,1))</f>
        <v>287.69656598881124</v>
      </c>
      <c r="AO60" s="62">
        <f t="shared" si="36"/>
        <v>221.9773436301067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2.8593361968868694</v>
      </c>
      <c r="AW60" s="23">
        <f>EXP(-LN(2)/2)*AW59+(1-EXP(-LN(2)/2))/(LN(2)/2)*AQ60*AT60*VLOOKUP('Données projet'!$B$10,Paramètres!$A$1:$I$89,3,0)*0.475*44/12</f>
        <v>1.2276050935261984E-3</v>
      </c>
      <c r="AX60" s="23">
        <f t="shared" si="6"/>
        <v>2.8605638019803954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13.5</v>
      </c>
      <c r="BD60" s="13">
        <f>IF('Données projet'!$A$88&gt;35,BD59+BC60-BL59,IF(A60&lt;'Données projet'!$A$88,$BA$205^A60,IF(A60='Données projet'!$A$88,'Données projet'!$B$88,BD59+BC60-BL59)))</f>
        <v>471.49999999999989</v>
      </c>
      <c r="BE60" s="14">
        <f>BD60*VLOOKUP('Données projet'!$B$11,Paramètres!$A$1:$I$89,3,0)*VLOOKUP('Données projet'!$B$11,Paramètres!$A$1:$I$89,5,0)</f>
        <v>220.66199999999995</v>
      </c>
      <c r="BF60" s="14">
        <f t="shared" si="37"/>
        <v>54.258742979954953</v>
      </c>
      <c r="BG60" s="22">
        <f t="shared" si="7"/>
        <v>478.82029402342147</v>
      </c>
      <c r="BH60" s="62">
        <f t="shared" si="8"/>
        <v>772.15362735675478</v>
      </c>
      <c r="BI60" s="62">
        <f ca="1">AVERAGE(OFFSET($BH$3,0,0,'Données projet'!$E$11+1,1))-AVERAGE(OFFSET($H$3,0,0,'Données projet'!$E$11+1,1))</f>
        <v>310.95287409903602</v>
      </c>
      <c r="BJ60" s="62">
        <f t="shared" si="38"/>
        <v>224.10083380795163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-5.6843418860808015E-14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-5.6843418860808015E-14</v>
      </c>
      <c r="O61" s="14">
        <f>N61*VLOOKUP('Données projet'!$B$9,Paramètres!$A$1:$I$89,3,0)*VLOOKUP('Données projet'!$B$9,Paramètres!$A$1:$I$89,5,0)</f>
        <v>-3.1036506698001178E-14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240.19940780300527</v>
      </c>
      <c r="T61" s="62">
        <f t="shared" si="34"/>
        <v>355.71054384071715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1.1980901298779585</v>
      </c>
      <c r="AA61" s="23">
        <f>EXP(-LN(2)/25)*AA60+(1-EXP(-LN(2)/25))/(LN(2)/25)*Calculateur!V61*Calculateur!X61*VLOOKUP('Données projet'!$B$9,Paramètres!$A$1:$I$89,3,0)*0.475*44/12</f>
        <v>5.7299045090392688</v>
      </c>
      <c r="AB61" s="23">
        <f>EXP(-LN(2)/2)*AB60+(1-EXP(-LN(2)/2))/(LN(2)/2)*V61*Y61*VLOOKUP('Données projet'!$B$9,Paramètres!$A$1:$I$89,3,0)*0.475*44/12</f>
        <v>1.6417027177805963E-3</v>
      </c>
      <c r="AC61" s="24">
        <f t="shared" si="3"/>
        <v>6.9296363416350077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>
        <f>VLOOKUP(A61,'Données projet'!$A$61:$I$81,2,0)</f>
        <v>428</v>
      </c>
      <c r="AG61" s="13">
        <f>VLOOKUP(A61,'Données projet'!$A$61:$I$81,9,0)</f>
        <v>17.625</v>
      </c>
      <c r="AH61" s="13">
        <f t="array" ref="AH61">INDEX(AG:AG,MIN(IF(ISNUMBER(AG61:AG257),ROW(AG61:AG257),"")))</f>
        <v>17.625</v>
      </c>
      <c r="AI61" s="14">
        <f>IF('Données projet'!$A$62&gt;35,AI60+AH61-AQ60,IF(A61&lt;'Données projet'!$A$62,$AF$205^A61,IF(A61='Données projet'!$A$62,'Données projet'!$B$62,AI60+AH61-AQ60)))</f>
        <v>428.00000000000006</v>
      </c>
      <c r="AJ61" s="14">
        <f>AI61*VLOOKUP('Données projet'!$B$10,Paramètres!$A$1:$I$89,3,0)*VLOOKUP('Données projet'!$B$10,Paramètres!$A$1:$I$89,5,0)</f>
        <v>255.94400000000005</v>
      </c>
      <c r="AK61" s="14">
        <f t="shared" si="35"/>
        <v>61.857013102708898</v>
      </c>
      <c r="AL61" s="22">
        <f t="shared" si="4"/>
        <v>553.50343115388478</v>
      </c>
      <c r="AM61" s="62">
        <f t="shared" si="5"/>
        <v>846.83676448721803</v>
      </c>
      <c r="AN61" s="62">
        <f ca="1">AVERAGE(OFFSET($AM$3,0,0,'Données projet'!$E$10+1,1))-AVERAGE(OFFSET($H$3,0,0,'Données projet'!$E$10+1,1))</f>
        <v>287.69656598881124</v>
      </c>
      <c r="AO61" s="62">
        <f t="shared" si="36"/>
        <v>221.9773436301067</v>
      </c>
      <c r="AP61" s="16">
        <f>IF(ISNA(VLOOKUP(A61,'Données projet'!$A$61:$I$81,3,0)),0,VLOOKUP(A61,'Données projet'!$A$61:$I$81,3,0))</f>
        <v>8</v>
      </c>
      <c r="AQ61" s="16">
        <f>IF(ISNA(VLOOKUP(A61,'Données projet'!$A$61:$I$81,4,0)),0,VLOOKUP(A61,'Données projet'!$A$61:$I$81,4,0))</f>
        <v>78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2.7811474982170425</v>
      </c>
      <c r="AW61" s="23">
        <f>EXP(-LN(2)/2)*AW60+(1-EXP(-LN(2)/2))/(LN(2)/2)*AQ61*AT61*VLOOKUP('Données projet'!$B$10,Paramètres!$A$1:$I$89,3,0)*0.475*44/12</f>
        <v>8.6804788625152078E-4</v>
      </c>
      <c r="AX61" s="23">
        <f t="shared" si="6"/>
        <v>2.782015546103294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13.5</v>
      </c>
      <c r="BD61" s="13">
        <f>IF('Données projet'!$A$88&gt;35,BD60+BC61-BL60,IF(A61&lt;'Données projet'!$A$88,$BA$205^A61,IF(A61='Données projet'!$A$88,'Données projet'!$B$88,BD60+BC61-BL60)))</f>
        <v>484.99999999999989</v>
      </c>
      <c r="BE61" s="14">
        <f>BD61*VLOOKUP('Données projet'!$B$11,Paramètres!$A$1:$I$89,3,0)*VLOOKUP('Données projet'!$B$11,Paramètres!$A$1:$I$89,5,0)</f>
        <v>226.97999999999996</v>
      </c>
      <c r="BF61" s="14">
        <f t="shared" si="37"/>
        <v>55.629185455335929</v>
      </c>
      <c r="BG61" s="22">
        <f t="shared" si="7"/>
        <v>492.21099800137659</v>
      </c>
      <c r="BH61" s="62">
        <f t="shared" si="8"/>
        <v>785.54433133470991</v>
      </c>
      <c r="BI61" s="62">
        <f ca="1">AVERAGE(OFFSET($BH$3,0,0,'Données projet'!$E$11+1,1))-AVERAGE(OFFSET($H$3,0,0,'Données projet'!$E$11+1,1))</f>
        <v>310.95287409903602</v>
      </c>
      <c r="BJ61" s="62">
        <f t="shared" si="38"/>
        <v>224.10083380795163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-5.6843418860808015E-14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-5.6843418860808015E-14</v>
      </c>
      <c r="O62" s="14">
        <f>N62*VLOOKUP('Données projet'!$B$9,Paramètres!$A$1:$I$89,3,0)*VLOOKUP('Données projet'!$B$9,Paramètres!$A$1:$I$89,5,0)</f>
        <v>-3.1036506698001178E-14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240.19940780300527</v>
      </c>
      <c r="T62" s="62">
        <f t="shared" si="34"/>
        <v>355.71054384071715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1.1745963131938741</v>
      </c>
      <c r="AA62" s="23">
        <f>EXP(-LN(2)/25)*AA61+(1-EXP(-LN(2)/25))/(LN(2)/25)*Calculateur!V62*Calculateur!X62*VLOOKUP('Données projet'!$B$9,Paramètres!$A$1:$I$89,3,0)*0.475*44/12</f>
        <v>5.5732199689170079</v>
      </c>
      <c r="AB62" s="23">
        <f>EXP(-LN(2)/2)*AB61+(1-EXP(-LN(2)/2))/(LN(2)/2)*V62*Y62*VLOOKUP('Données projet'!$B$9,Paramètres!$A$1:$I$89,3,0)*0.475*44/12</f>
        <v>1.1608591244350445E-3</v>
      </c>
      <c r="AC62" s="24">
        <f t="shared" si="3"/>
        <v>6.7489771412353177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16.625</v>
      </c>
      <c r="AI62" s="14">
        <f>IF('Données projet'!$A$62&gt;35,AI61+AH62-AQ61,IF(A62&lt;'Données projet'!$A$62,$AF$205^A62,IF(A62='Données projet'!$A$62,'Données projet'!$B$62,AI61+AH62-AQ61)))</f>
        <v>366.62500000000006</v>
      </c>
      <c r="AJ62" s="14">
        <f>AI62*VLOOKUP('Données projet'!$B$10,Paramètres!$A$1:$I$89,3,0)*VLOOKUP('Données projet'!$B$10,Paramètres!$A$1:$I$89,5,0)</f>
        <v>219.24175000000005</v>
      </c>
      <c r="AK62" s="14">
        <f t="shared" si="35"/>
        <v>53.950050729111297</v>
      </c>
      <c r="AL62" s="22">
        <f t="shared" si="4"/>
        <v>475.80905293653558</v>
      </c>
      <c r="AM62" s="62">
        <f t="shared" si="5"/>
        <v>769.14238626986889</v>
      </c>
      <c r="AN62" s="62">
        <f ca="1">AVERAGE(OFFSET($AM$3,0,0,'Données projet'!$E$10+1,1))-AVERAGE(OFFSET($H$3,0,0,'Données projet'!$E$10+1,1))</f>
        <v>287.69656598881124</v>
      </c>
      <c r="AO62" s="62">
        <f t="shared" si="36"/>
        <v>221.9773436301067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2.705096873624107</v>
      </c>
      <c r="AW62" s="23">
        <f>EXP(-LN(2)/2)*AW61+(1-EXP(-LN(2)/2))/(LN(2)/2)*AQ62*AT62*VLOOKUP('Données projet'!$B$10,Paramètres!$A$1:$I$89,3,0)*0.475*44/12</f>
        <v>6.138025467630992E-4</v>
      </c>
      <c r="AX62" s="23">
        <f t="shared" si="6"/>
        <v>2.7057106761708702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13.5</v>
      </c>
      <c r="BD62" s="13">
        <f>IF('Données projet'!$A$88&gt;35,BD61+BC62-BL61,IF(A62&lt;'Données projet'!$A$88,$BA$205^A62,IF(A62='Données projet'!$A$88,'Données projet'!$B$88,BD61+BC62-BL61)))</f>
        <v>498.49999999999989</v>
      </c>
      <c r="BE62" s="14">
        <f>BD62*VLOOKUP('Données projet'!$B$11,Paramètres!$A$1:$I$89,3,0)*VLOOKUP('Données projet'!$B$11,Paramètres!$A$1:$I$89,5,0)</f>
        <v>233.29799999999994</v>
      </c>
      <c r="BF62" s="14">
        <f t="shared" si="37"/>
        <v>56.995194277534011</v>
      </c>
      <c r="BG62" s="22">
        <f t="shared" si="7"/>
        <v>505.59398003337168</v>
      </c>
      <c r="BH62" s="62">
        <f t="shared" si="8"/>
        <v>798.92731336670499</v>
      </c>
      <c r="BI62" s="62">
        <f ca="1">AVERAGE(OFFSET($BH$3,0,0,'Données projet'!$E$11+1,1))-AVERAGE(OFFSET($H$3,0,0,'Données projet'!$E$11+1,1))</f>
        <v>310.95287409903602</v>
      </c>
      <c r="BJ62" s="62">
        <f t="shared" si="38"/>
        <v>224.10083380795163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-5.6843418860808015E-14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-5.6843418860808015E-14</v>
      </c>
      <c r="O63" s="14">
        <f>N63*VLOOKUP('Données projet'!$B$9,Paramètres!$A$1:$I$89,3,0)*VLOOKUP('Données projet'!$B$9,Paramètres!$A$1:$I$89,5,0)</f>
        <v>-3.1036506698001178E-14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240.19940780300527</v>
      </c>
      <c r="T63" s="62">
        <f t="shared" si="34"/>
        <v>355.71054384071715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1.1515631959251513</v>
      </c>
      <c r="AA63" s="23">
        <f>EXP(-LN(2)/25)*AA62+(1-EXP(-LN(2)/25))/(LN(2)/25)*Calculateur!V63*Calculateur!X63*VLOOKUP('Données projet'!$B$9,Paramètres!$A$1:$I$89,3,0)*0.475*44/12</f>
        <v>5.420819975784072</v>
      </c>
      <c r="AB63" s="23">
        <f>EXP(-LN(2)/2)*AB62+(1-EXP(-LN(2)/2))/(LN(2)/2)*V63*Y63*VLOOKUP('Données projet'!$B$9,Paramètres!$A$1:$I$89,3,0)*0.475*44/12</f>
        <v>8.2085135889029817E-4</v>
      </c>
      <c r="AC63" s="24">
        <f t="shared" si="3"/>
        <v>6.5732040230681132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16.625</v>
      </c>
      <c r="AI63" s="14">
        <f>IF('Données projet'!$A$62&gt;35,AI62+AH63-AQ62,IF(A63&lt;'Données projet'!$A$62,$AF$205^A63,IF(A63='Données projet'!$A$62,'Données projet'!$B$62,AI62+AH63-AQ62)))</f>
        <v>383.25000000000006</v>
      </c>
      <c r="AJ63" s="14">
        <f>AI63*VLOOKUP('Données projet'!$B$10,Paramètres!$A$1:$I$89,3,0)*VLOOKUP('Données projet'!$B$10,Paramètres!$A$1:$I$89,5,0)</f>
        <v>229.18350000000007</v>
      </c>
      <c r="AK63" s="14">
        <f t="shared" si="35"/>
        <v>56.106098616839645</v>
      </c>
      <c r="AL63" s="22">
        <f t="shared" si="4"/>
        <v>496.87938425766248</v>
      </c>
      <c r="AM63" s="62">
        <f t="shared" si="5"/>
        <v>790.21271759099579</v>
      </c>
      <c r="AN63" s="62">
        <f ca="1">AVERAGE(OFFSET($AM$3,0,0,'Données projet'!$E$10+1,1))-AVERAGE(OFFSET($H$3,0,0,'Données projet'!$E$10+1,1))</f>
        <v>287.69656598881124</v>
      </c>
      <c r="AO63" s="62">
        <f t="shared" si="36"/>
        <v>221.9773436301067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2.6311258573599936</v>
      </c>
      <c r="AW63" s="23">
        <f>EXP(-LN(2)/2)*AW62+(1-EXP(-LN(2)/2))/(LN(2)/2)*AQ63*AT63*VLOOKUP('Données projet'!$B$10,Paramètres!$A$1:$I$89,3,0)*0.475*44/12</f>
        <v>4.3402394312576039E-4</v>
      </c>
      <c r="AX63" s="23">
        <f t="shared" si="6"/>
        <v>2.6315598813031196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512</v>
      </c>
      <c r="BB63" s="13">
        <f>VLOOKUP(A63,'Données projet'!$A$87:$I$107,9,0)</f>
        <v>13.5</v>
      </c>
      <c r="BC63" s="13">
        <f t="array" ref="BC63">INDEX(BB:BB,MIN(IF(ISNUMBER(BB63:BB259),ROW(BB63:BB259),"")))</f>
        <v>13.5</v>
      </c>
      <c r="BD63" s="13">
        <f>IF('Données projet'!$A$88&gt;35,BD62+BC63-BL62,IF(A63&lt;'Données projet'!$A$88,$BA$205^A63,IF(A63='Données projet'!$A$88,'Données projet'!$B$88,BD62+BC63-BL62)))</f>
        <v>511.99999999999989</v>
      </c>
      <c r="BE63" s="14">
        <f>BD63*VLOOKUP('Données projet'!$B$11,Paramètres!$A$1:$I$89,3,0)*VLOOKUP('Données projet'!$B$11,Paramètres!$A$1:$I$89,5,0)</f>
        <v>239.61599999999996</v>
      </c>
      <c r="BF63" s="14">
        <f t="shared" si="37"/>
        <v>58.356903313490157</v>
      </c>
      <c r="BG63" s="22">
        <f t="shared" si="7"/>
        <v>518.96947327099531</v>
      </c>
      <c r="BH63" s="62">
        <f t="shared" si="8"/>
        <v>812.30280660432868</v>
      </c>
      <c r="BI63" s="62">
        <f ca="1">AVERAGE(OFFSET($BH$3,0,0,'Données projet'!$E$11+1,1))-AVERAGE(OFFSET($H$3,0,0,'Données projet'!$E$11+1,1))</f>
        <v>310.95287409903602</v>
      </c>
      <c r="BJ63" s="62">
        <f t="shared" si="38"/>
        <v>224.10083380795163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102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-5.6843418860808015E-14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-5.6843418860808015E-14</v>
      </c>
      <c r="O64" s="14">
        <f>N64*VLOOKUP('Données projet'!$B$9,Paramètres!$A$1:$I$89,3,0)*VLOOKUP('Données projet'!$B$9,Paramètres!$A$1:$I$89,5,0)</f>
        <v>-3.1036506698001178E-14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240.19940780300527</v>
      </c>
      <c r="T64" s="62">
        <f t="shared" si="34"/>
        <v>355.71054384071715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1.128981744037254</v>
      </c>
      <c r="AA64" s="23">
        <f>EXP(-LN(2)/25)*AA63+(1-EXP(-LN(2)/25))/(LN(2)/25)*Calculateur!V64*Calculateur!X64*VLOOKUP('Données projet'!$B$9,Paramètres!$A$1:$I$89,3,0)*0.475*44/12</f>
        <v>5.2725873684777236</v>
      </c>
      <c r="AB64" s="23">
        <f>EXP(-LN(2)/2)*AB63+(1-EXP(-LN(2)/2))/(LN(2)/2)*V64*Y64*VLOOKUP('Données projet'!$B$9,Paramètres!$A$1:$I$89,3,0)*0.475*44/12</f>
        <v>5.8042956221752225E-4</v>
      </c>
      <c r="AC64" s="24">
        <f t="shared" si="3"/>
        <v>6.4021495420771943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16.625</v>
      </c>
      <c r="AI64" s="14">
        <f>IF('Données projet'!$A$62&gt;35,AI63+AH64-AQ63,IF(A64&lt;'Données projet'!$A$62,$AF$205^A64,IF(A64='Données projet'!$A$62,'Données projet'!$B$62,AI63+AH64-AQ63)))</f>
        <v>399.87500000000006</v>
      </c>
      <c r="AJ64" s="14">
        <f>AI64*VLOOKUP('Données projet'!$B$10,Paramètres!$A$1:$I$89,3,0)*VLOOKUP('Données projet'!$B$10,Paramètres!$A$1:$I$89,5,0)</f>
        <v>239.12525000000005</v>
      </c>
      <c r="AK64" s="14">
        <f t="shared" si="35"/>
        <v>58.251283780505084</v>
      </c>
      <c r="AL64" s="22">
        <f t="shared" si="4"/>
        <v>517.93079633437981</v>
      </c>
      <c r="AM64" s="62">
        <f t="shared" si="5"/>
        <v>811.26412966771318</v>
      </c>
      <c r="AN64" s="62">
        <f ca="1">AVERAGE(OFFSET($AM$3,0,0,'Données projet'!$E$10+1,1))-AVERAGE(OFFSET($H$3,0,0,'Données projet'!$E$10+1,1))</f>
        <v>287.69656598881124</v>
      </c>
      <c r="AO64" s="62">
        <f t="shared" si="36"/>
        <v>221.9773436301067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2.5591775824255891</v>
      </c>
      <c r="AW64" s="23">
        <f>EXP(-LN(2)/2)*AW63+(1-EXP(-LN(2)/2))/(LN(2)/2)*AQ64*AT64*VLOOKUP('Données projet'!$B$10,Paramètres!$A$1:$I$89,3,0)*0.475*44/12</f>
        <v>3.069012733815496E-4</v>
      </c>
      <c r="AX64" s="23">
        <f t="shared" si="6"/>
        <v>2.5594844836989705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15.5</v>
      </c>
      <c r="BD64" s="13">
        <f>IF('Données projet'!$A$88&gt;35,BD63+BC64-BL63,IF(A64&lt;'Données projet'!$A$88,$BA$205^A64,IF(A64='Données projet'!$A$88,'Données projet'!$B$88,BD63+BC64-BL63)))</f>
        <v>425.49999999999989</v>
      </c>
      <c r="BE64" s="14">
        <f>BD64*VLOOKUP('Données projet'!$B$11,Paramètres!$A$1:$I$89,3,0)*VLOOKUP('Données projet'!$B$11,Paramètres!$A$1:$I$89,5,0)</f>
        <v>199.13399999999993</v>
      </c>
      <c r="BF64" s="14">
        <f t="shared" si="37"/>
        <v>49.553799097205186</v>
      </c>
      <c r="BG64" s="22">
        <f t="shared" si="7"/>
        <v>433.13125009429888</v>
      </c>
      <c r="BH64" s="62">
        <f t="shared" si="8"/>
        <v>726.46458342763219</v>
      </c>
      <c r="BI64" s="62">
        <f ca="1">AVERAGE(OFFSET($BH$3,0,0,'Données projet'!$E$11+1,1))-AVERAGE(OFFSET($H$3,0,0,'Données projet'!$E$11+1,1))</f>
        <v>310.95287409903602</v>
      </c>
      <c r="BJ64" s="62">
        <f t="shared" si="38"/>
        <v>224.10083380795163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-5.6843418860808015E-14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-5.6843418860808015E-14</v>
      </c>
      <c r="O65" s="14">
        <f>N65*VLOOKUP('Données projet'!$B$9,Paramètres!$A$1:$I$89,3,0)*VLOOKUP('Données projet'!$B$9,Paramètres!$A$1:$I$89,5,0)</f>
        <v>-3.1036506698001178E-14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240.19940780300527</v>
      </c>
      <c r="T65" s="62">
        <f t="shared" si="34"/>
        <v>355.71054384071715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1.1068431006475528</v>
      </c>
      <c r="AA65" s="23">
        <f>EXP(-LN(2)/25)*AA64+(1-EXP(-LN(2)/25))/(LN(2)/25)*Calculateur!V65*Calculateur!X65*VLOOKUP('Données projet'!$B$9,Paramètres!$A$1:$I$89,3,0)*0.475*44/12</f>
        <v>5.1284081896133813</v>
      </c>
      <c r="AB65" s="23">
        <f>EXP(-LN(2)/2)*AB64+(1-EXP(-LN(2)/2))/(LN(2)/2)*V65*Y65*VLOOKUP('Données projet'!$B$9,Paramètres!$A$1:$I$89,3,0)*0.475*44/12</f>
        <v>4.1042567944514908E-4</v>
      </c>
      <c r="AC65" s="24">
        <f t="shared" si="3"/>
        <v>6.2356617159403793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16.625</v>
      </c>
      <c r="AI65" s="14">
        <f>IF('Données projet'!$A$62&gt;35,AI64+AH65-AQ64,IF(A65&lt;'Données projet'!$A$62,$AF$205^A65,IF(A65='Données projet'!$A$62,'Données projet'!$B$62,AI64+AH65-AQ64)))</f>
        <v>416.50000000000006</v>
      </c>
      <c r="AJ65" s="14">
        <f>AI65*VLOOKUP('Données projet'!$B$10,Paramètres!$A$1:$I$89,3,0)*VLOOKUP('Données projet'!$B$10,Paramètres!$A$1:$I$89,5,0)</f>
        <v>249.06700000000004</v>
      </c>
      <c r="AK65" s="14">
        <f t="shared" si="35"/>
        <v>60.386109489804014</v>
      </c>
      <c r="AL65" s="22">
        <f t="shared" si="4"/>
        <v>538.96416569474195</v>
      </c>
      <c r="AM65" s="62">
        <f t="shared" si="5"/>
        <v>832.29749902807521</v>
      </c>
      <c r="AN65" s="62">
        <f ca="1">AVERAGE(OFFSET($AM$3,0,0,'Données projet'!$E$10+1,1))-AVERAGE(OFFSET($H$3,0,0,'Données projet'!$E$10+1,1))</f>
        <v>287.69656598881124</v>
      </c>
      <c r="AO65" s="62">
        <f t="shared" si="36"/>
        <v>221.9773436301067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2.4891967368528616</v>
      </c>
      <c r="AW65" s="23">
        <f>EXP(-LN(2)/2)*AW64+(1-EXP(-LN(2)/2))/(LN(2)/2)*AQ65*AT65*VLOOKUP('Données projet'!$B$10,Paramètres!$A$1:$I$89,3,0)*0.475*44/12</f>
        <v>2.170119715628802E-4</v>
      </c>
      <c r="AX65" s="23">
        <f t="shared" si="6"/>
        <v>2.4894137488244246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15.5</v>
      </c>
      <c r="BD65" s="13">
        <f>IF('Données projet'!$A$88&gt;35,BD64+BC65-BL64,IF(A65&lt;'Données projet'!$A$88,$BA$205^A65,IF(A65='Données projet'!$A$88,'Données projet'!$B$88,BD64+BC65-BL64)))</f>
        <v>440.99999999999989</v>
      </c>
      <c r="BE65" s="14">
        <f>BD65*VLOOKUP('Données projet'!$B$11,Paramètres!$A$1:$I$89,3,0)*VLOOKUP('Données projet'!$B$11,Paramètres!$A$1:$I$89,5,0)</f>
        <v>206.38799999999995</v>
      </c>
      <c r="BF65" s="14">
        <f t="shared" si="37"/>
        <v>51.145477584014834</v>
      </c>
      <c r="BG65" s="22">
        <f t="shared" si="7"/>
        <v>448.53747345882579</v>
      </c>
      <c r="BH65" s="62">
        <f t="shared" si="8"/>
        <v>741.8708067921591</v>
      </c>
      <c r="BI65" s="62">
        <f ca="1">AVERAGE(OFFSET($BH$3,0,0,'Données projet'!$E$11+1,1))-AVERAGE(OFFSET($H$3,0,0,'Données projet'!$E$11+1,1))</f>
        <v>310.95287409903602</v>
      </c>
      <c r="BJ65" s="62">
        <f t="shared" si="38"/>
        <v>224.10083380795163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-5.6843418860808015E-14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-5.6843418860808015E-14</v>
      </c>
      <c r="O66" s="14">
        <f>N66*VLOOKUP('Données projet'!$B$9,Paramètres!$A$1:$I$89,3,0)*VLOOKUP('Données projet'!$B$9,Paramètres!$A$1:$I$89,5,0)</f>
        <v>-3.1036506698001178E-14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240.19940780300527</v>
      </c>
      <c r="T66" s="62">
        <f t="shared" si="34"/>
        <v>355.71054384071715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1.0851385825514843</v>
      </c>
      <c r="AA66" s="23">
        <f>EXP(-LN(2)/25)*AA65+(1-EXP(-LN(2)/25))/(LN(2)/25)*Calculateur!V66*Calculateur!X66*VLOOKUP('Données projet'!$B$9,Paramètres!$A$1:$I$89,3,0)*0.475*44/12</f>
        <v>4.9881715979771375</v>
      </c>
      <c r="AB66" s="23">
        <f>EXP(-LN(2)/2)*AB65+(1-EXP(-LN(2)/2))/(LN(2)/2)*V66*Y66*VLOOKUP('Données projet'!$B$9,Paramètres!$A$1:$I$89,3,0)*0.475*44/12</f>
        <v>2.9021478110876112E-4</v>
      </c>
      <c r="AC66" s="24">
        <f t="shared" si="3"/>
        <v>6.0736003953097306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16.625</v>
      </c>
      <c r="AI66" s="14">
        <f>IF('Données projet'!$A$62&gt;35,AI65+AH66-AQ65,IF(A66&lt;'Données projet'!$A$62,$AF$205^A66,IF(A66='Données projet'!$A$62,'Données projet'!$B$62,AI65+AH66-AQ65)))</f>
        <v>433.12500000000006</v>
      </c>
      <c r="AJ66" s="14">
        <f>AI66*VLOOKUP('Données projet'!$B$10,Paramètres!$A$1:$I$89,3,0)*VLOOKUP('Données projet'!$B$10,Paramètres!$A$1:$I$89,5,0)</f>
        <v>259.00875000000008</v>
      </c>
      <c r="AK66" s="14">
        <f t="shared" si="35"/>
        <v>62.511036563235727</v>
      </c>
      <c r="AL66" s="22">
        <f t="shared" si="4"/>
        <v>559.98029493096897</v>
      </c>
      <c r="AM66" s="62">
        <f t="shared" si="5"/>
        <v>853.31362826430222</v>
      </c>
      <c r="AN66" s="62">
        <f ca="1">AVERAGE(OFFSET($AM$3,0,0,'Données projet'!$E$10+1,1))-AVERAGE(OFFSET($H$3,0,0,'Données projet'!$E$10+1,1))</f>
        <v>287.69656598881124</v>
      </c>
      <c r="AO66" s="62">
        <f t="shared" si="36"/>
        <v>221.9773436301067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2.4211295211824528</v>
      </c>
      <c r="AW66" s="23">
        <f>EXP(-LN(2)/2)*AW65+(1-EXP(-LN(2)/2))/(LN(2)/2)*AQ66*AT66*VLOOKUP('Données projet'!$B$10,Paramètres!$A$1:$I$89,3,0)*0.475*44/12</f>
        <v>1.534506366907748E-4</v>
      </c>
      <c r="AX66" s="23">
        <f t="shared" si="6"/>
        <v>2.4212829718191435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15.5</v>
      </c>
      <c r="BD66" s="13">
        <f>IF('Données projet'!$A$88&gt;35,BD65+BC66-BL65,IF(A66&lt;'Données projet'!$A$88,$BA$205^A66,IF(A66='Données projet'!$A$88,'Données projet'!$B$88,BD65+BC66-BL65)))</f>
        <v>456.49999999999989</v>
      </c>
      <c r="BE66" s="14">
        <f>BD66*VLOOKUP('Données projet'!$B$11,Paramètres!$A$1:$I$89,3,0)*VLOOKUP('Données projet'!$B$11,Paramètres!$A$1:$I$89,5,0)</f>
        <v>213.64199999999994</v>
      </c>
      <c r="BF66" s="14">
        <f t="shared" si="37"/>
        <v>52.730656153675348</v>
      </c>
      <c r="BG66" s="22">
        <f t="shared" si="7"/>
        <v>463.93237613431779</v>
      </c>
      <c r="BH66" s="62">
        <f t="shared" si="8"/>
        <v>757.26570946765105</v>
      </c>
      <c r="BI66" s="62">
        <f ca="1">AVERAGE(OFFSET($BH$3,0,0,'Données projet'!$E$11+1,1))-AVERAGE(OFFSET($H$3,0,0,'Données projet'!$E$11+1,1))</f>
        <v>310.95287409903602</v>
      </c>
      <c r="BJ66" s="62">
        <f t="shared" si="38"/>
        <v>224.10083380795163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-5.6843418860808015E-14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-5.6843418860808015E-14</v>
      </c>
      <c r="O67" s="14">
        <f>N67*VLOOKUP('Données projet'!$B$9,Paramètres!$A$1:$I$89,3,0)*VLOOKUP('Données projet'!$B$9,Paramètres!$A$1:$I$89,5,0)</f>
        <v>-3.1036506698001178E-14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240.19940780300527</v>
      </c>
      <c r="T67" s="62">
        <f t="shared" si="34"/>
        <v>355.71054384071715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1.0638596768168309</v>
      </c>
      <c r="AA67" s="23">
        <f>EXP(-LN(2)/25)*AA66+(1-EXP(-LN(2)/25))/(LN(2)/25)*Calculateur!V67*Calculateur!X67*VLOOKUP('Données projet'!$B$9,Paramètres!$A$1:$I$89,3,0)*0.475*44/12</f>
        <v>4.8517697833139088</v>
      </c>
      <c r="AB67" s="23">
        <f>EXP(-LN(2)/2)*AB66+(1-EXP(-LN(2)/2))/(LN(2)/2)*V67*Y67*VLOOKUP('Données projet'!$B$9,Paramètres!$A$1:$I$89,3,0)*0.475*44/12</f>
        <v>2.0521283972257454E-4</v>
      </c>
      <c r="AC67" s="24">
        <f t="shared" si="3"/>
        <v>5.9158346729704627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16.625</v>
      </c>
      <c r="AI67" s="14">
        <f>IF('Données projet'!$A$62&gt;35,AI66+AH67-AQ66,IF(A67&lt;'Données projet'!$A$62,$AF$205^A67,IF(A67='Données projet'!$A$62,'Données projet'!$B$62,AI66+AH67-AQ66)))</f>
        <v>449.75000000000006</v>
      </c>
      <c r="AJ67" s="14">
        <f>AI67*VLOOKUP('Données projet'!$B$10,Paramètres!$A$1:$I$89,3,0)*VLOOKUP('Données projet'!$B$10,Paramètres!$A$1:$I$89,5,0)</f>
        <v>268.95050000000009</v>
      </c>
      <c r="AK67" s="14">
        <f t="shared" si="35"/>
        <v>64.626488439895155</v>
      </c>
      <c r="AL67" s="22">
        <f t="shared" si="4"/>
        <v>580.97992153281746</v>
      </c>
      <c r="AM67" s="62">
        <f t="shared" si="5"/>
        <v>874.31325486615083</v>
      </c>
      <c r="AN67" s="62">
        <f ca="1">AVERAGE(OFFSET($AM$3,0,0,'Données projet'!$E$10+1,1))-AVERAGE(OFFSET($H$3,0,0,'Données projet'!$E$10+1,1))</f>
        <v>287.69656598881124</v>
      </c>
      <c r="AO67" s="62">
        <f t="shared" si="36"/>
        <v>221.9773436301067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2.3549236071040509</v>
      </c>
      <c r="AW67" s="23">
        <f>EXP(-LN(2)/2)*AW66+(1-EXP(-LN(2)/2))/(LN(2)/2)*AQ67*AT67*VLOOKUP('Données projet'!$B$10,Paramètres!$A$1:$I$89,3,0)*0.475*44/12</f>
        <v>1.085059857814401E-4</v>
      </c>
      <c r="AX67" s="23">
        <f t="shared" si="6"/>
        <v>2.3550321130898322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15.5</v>
      </c>
      <c r="BD67" s="13">
        <f>IF('Données projet'!$A$88&gt;35,BD66+BC67-BL66,IF(A67&lt;'Données projet'!$A$88,$BA$205^A67,IF(A67='Données projet'!$A$88,'Données projet'!$B$88,BD66+BC67-BL66)))</f>
        <v>471.99999999999989</v>
      </c>
      <c r="BE67" s="14">
        <f>BD67*VLOOKUP('Données projet'!$B$11,Paramètres!$A$1:$I$89,3,0)*VLOOKUP('Données projet'!$B$11,Paramètres!$A$1:$I$89,5,0)</f>
        <v>220.89599999999996</v>
      </c>
      <c r="BF67" s="14">
        <f t="shared" si="37"/>
        <v>54.309580803412281</v>
      </c>
      <c r="BG67" s="22">
        <f t="shared" si="7"/>
        <v>479.31638656594299</v>
      </c>
      <c r="BH67" s="62">
        <f t="shared" si="8"/>
        <v>772.64971989927631</v>
      </c>
      <c r="BI67" s="62">
        <f ca="1">AVERAGE(OFFSET($BH$3,0,0,'Données projet'!$E$11+1,1))-AVERAGE(OFFSET($H$3,0,0,'Données projet'!$E$11+1,1))</f>
        <v>310.95287409903602</v>
      </c>
      <c r="BJ67" s="62">
        <f t="shared" si="38"/>
        <v>224.10083380795163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-5.6843418860808015E-14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-5.6843418860808015E-14</v>
      </c>
      <c r="O68" s="14">
        <f>N68*VLOOKUP('Données projet'!$B$9,Paramètres!$A$1:$I$89,3,0)*VLOOKUP('Données projet'!$B$9,Paramètres!$A$1:$I$89,5,0)</f>
        <v>-3.1036506698001178E-14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240.19940780300527</v>
      </c>
      <c r="T68" s="62">
        <f t="shared" si="34"/>
        <v>355.71054384071715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1.0429980374447831</v>
      </c>
      <c r="AA68" s="23">
        <f>EXP(-LN(2)/25)*AA67+(1-EXP(-LN(2)/25))/(LN(2)/25)*Calculateur!V68*Calculateur!X68*VLOOKUP('Données projet'!$B$9,Paramètres!$A$1:$I$89,3,0)*0.475*44/12</f>
        <v>4.7190978834457056</v>
      </c>
      <c r="AB68" s="23">
        <f>EXP(-LN(2)/2)*AB67+(1-EXP(-LN(2)/2))/(LN(2)/2)*V68*Y68*VLOOKUP('Données projet'!$B$9,Paramètres!$A$1:$I$89,3,0)*0.475*44/12</f>
        <v>1.4510739055438056E-4</v>
      </c>
      <c r="AC68" s="24">
        <f t="shared" ref="AC68:AC131" si="57">SUM(Z68:AB68)</f>
        <v>5.7622410282810428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16.625</v>
      </c>
      <c r="AI68" s="14">
        <f>IF('Données projet'!$A$62&gt;35,AI67+AH68-AQ67,IF(A68&lt;'Données projet'!$A$62,$AF$205^A68,IF(A68='Données projet'!$A$62,'Données projet'!$B$62,AI67+AH68-AQ67)))</f>
        <v>466.37500000000006</v>
      </c>
      <c r="AJ68" s="14">
        <f>AI68*VLOOKUP('Données projet'!$B$10,Paramètres!$A$1:$I$89,3,0)*VLOOKUP('Données projet'!$B$10,Paramètres!$A$1:$I$89,5,0)</f>
        <v>278.89225000000005</v>
      </c>
      <c r="AK68" s="14">
        <f t="shared" si="35"/>
        <v>66.732855480271084</v>
      </c>
      <c r="AL68" s="22">
        <f t="shared" ref="AL68:AL131" si="58">(AJ68+AK68)*0.475*44/12</f>
        <v>601.96372537813886</v>
      </c>
      <c r="AM68" s="62">
        <f t="shared" ref="AM68:AM131" si="59">AL68+(AD68+AE68)*44/12</f>
        <v>895.29705871147212</v>
      </c>
      <c r="AN68" s="62">
        <f ca="1">AVERAGE(OFFSET($AM$3,0,0,'Données projet'!$E$10+1,1))-AVERAGE(OFFSET($H$3,0,0,'Données projet'!$E$10+1,1))</f>
        <v>287.69656598881124</v>
      </c>
      <c r="AO68" s="62">
        <f t="shared" si="36"/>
        <v>221.9773436301067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2.2905280972277402</v>
      </c>
      <c r="AW68" s="23">
        <f>EXP(-LN(2)/2)*AW67+(1-EXP(-LN(2)/2))/(LN(2)/2)*AQ68*AT68*VLOOKUP('Données projet'!$B$10,Paramètres!$A$1:$I$89,3,0)*0.475*44/12</f>
        <v>7.6725318345387399E-5</v>
      </c>
      <c r="AX68" s="23">
        <f t="shared" ref="AX68:AX131" si="60">SUM(AU68:AW68)</f>
        <v>2.2906048225460856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15.5</v>
      </c>
      <c r="BD68" s="13">
        <f>IF('Données projet'!$A$88&gt;35,BD67+BC68-BL67,IF(A68&lt;'Données projet'!$A$88,$BA$205^A68,IF(A68='Données projet'!$A$88,'Données projet'!$B$88,BD67+BC68-BL67)))</f>
        <v>487.49999999999989</v>
      </c>
      <c r="BE68" s="14">
        <f>BD68*VLOOKUP('Données projet'!$B$11,Paramètres!$A$1:$I$89,3,0)*VLOOKUP('Données projet'!$B$11,Paramètres!$A$1:$I$89,5,0)</f>
        <v>228.14999999999992</v>
      </c>
      <c r="BF68" s="14">
        <f t="shared" si="37"/>
        <v>55.882480456847652</v>
      </c>
      <c r="BG68" s="22">
        <f t="shared" ref="BG68:BG131" si="61">(BE68+BF68)*0.475*44/12</f>
        <v>494.68990346234278</v>
      </c>
      <c r="BH68" s="62">
        <f t="shared" ref="BH68:BH131" si="62">BG68+(AY68+AZ68)*44/12</f>
        <v>788.0232367956761</v>
      </c>
      <c r="BI68" s="62">
        <f ca="1">AVERAGE(OFFSET($BH$3,0,0,'Données projet'!$E$11+1,1))-AVERAGE(OFFSET($H$3,0,0,'Données projet'!$E$11+1,1))</f>
        <v>310.95287409903602</v>
      </c>
      <c r="BJ68" s="62">
        <f t="shared" si="38"/>
        <v>224.10083380795163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-5.6843418860808015E-14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-5.6843418860808015E-14</v>
      </c>
      <c r="O69" s="14">
        <f>N69*VLOOKUP('Données projet'!$B$9,Paramètres!$A$1:$I$89,3,0)*VLOOKUP('Données projet'!$B$9,Paramètres!$A$1:$I$89,5,0)</f>
        <v>-3.1036506698001178E-14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240.19940780300527</v>
      </c>
      <c r="T69" s="62">
        <f t="shared" ref="T69:T132" si="88">$T$3</f>
        <v>355.71054384071715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1.0225454820964777</v>
      </c>
      <c r="AA69" s="23">
        <f>EXP(-LN(2)/25)*AA68+(1-EXP(-LN(2)/25))/(LN(2)/25)*Calculateur!V69*Calculateur!X69*VLOOKUP('Données projet'!$B$9,Paramètres!$A$1:$I$89,3,0)*0.475*44/12</f>
        <v>4.5900539036563108</v>
      </c>
      <c r="AB69" s="23">
        <f>EXP(-LN(2)/2)*AB68+(1-EXP(-LN(2)/2))/(LN(2)/2)*V69*Y69*VLOOKUP('Données projet'!$B$9,Paramètres!$A$1:$I$89,3,0)*0.475*44/12</f>
        <v>1.0260641986128727E-4</v>
      </c>
      <c r="AC69" s="24">
        <f t="shared" si="57"/>
        <v>5.6127019921726493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>
        <f>VLOOKUP(A69,'Données projet'!$A$61:$I$81,2,0)</f>
        <v>483</v>
      </c>
      <c r="AG69" s="13">
        <f>VLOOKUP(A69,'Données projet'!$A$61:$I$81,9,0)</f>
        <v>16.625</v>
      </c>
      <c r="AH69" s="13">
        <f t="array" ref="AH69">INDEX(AG:AG,MIN(IF(ISNUMBER(AG69:AG265),ROW(AG69:AG265),"")))</f>
        <v>16.625</v>
      </c>
      <c r="AI69" s="14">
        <f>IF('Données projet'!$A$62&gt;35,AI68+AH69-AQ68,IF(A69&lt;'Données projet'!$A$62,$AF$205^A69,IF(A69='Données projet'!$A$62,'Données projet'!$B$62,AI68+AH69-AQ68)))</f>
        <v>483.00000000000006</v>
      </c>
      <c r="AJ69" s="14">
        <f>AI69*VLOOKUP('Données projet'!$B$10,Paramètres!$A$1:$I$89,3,0)*VLOOKUP('Données projet'!$B$10,Paramètres!$A$1:$I$89,5,0)</f>
        <v>288.83400000000006</v>
      </c>
      <c r="AK69" s="14">
        <f t="shared" ref="AK69:AK132" si="89">EXP(-1.0587+0.8836*LN(AJ69)+0.284)</f>
        <v>68.830498636563377</v>
      </c>
      <c r="AL69" s="22">
        <f t="shared" si="58"/>
        <v>622.932335125348</v>
      </c>
      <c r="AM69" s="62">
        <f t="shared" si="59"/>
        <v>916.26566845868138</v>
      </c>
      <c r="AN69" s="62">
        <f ca="1">AVERAGE(OFFSET($AM$3,0,0,'Données projet'!$E$10+1,1))-AVERAGE(OFFSET($H$3,0,0,'Données projet'!$E$10+1,1))</f>
        <v>287.69656598881124</v>
      </c>
      <c r="AO69" s="62">
        <f t="shared" ref="AO69:AO132" si="90">$AO$3</f>
        <v>221.9773436301067</v>
      </c>
      <c r="AP69" s="16">
        <f>IF(ISNA(VLOOKUP(A69,'Données projet'!$A$61:$I$81,3,0)),0,VLOOKUP(A69,'Données projet'!$A$61:$I$81,3,0))</f>
        <v>9</v>
      </c>
      <c r="AQ69" s="16">
        <f>IF(ISNA(VLOOKUP(A69,'Données projet'!$A$61:$I$81,4,0)),0,VLOOKUP(A69,'Données projet'!$A$61:$I$81,4,0))</f>
        <v>65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2.22789348595541</v>
      </c>
      <c r="AW69" s="23">
        <f>EXP(-LN(2)/2)*AW68+(1-EXP(-LN(2)/2))/(LN(2)/2)*AQ69*AT69*VLOOKUP('Données projet'!$B$10,Paramètres!$A$1:$I$89,3,0)*0.475*44/12</f>
        <v>5.4252992890720049E-5</v>
      </c>
      <c r="AX69" s="23">
        <f t="shared" si="60"/>
        <v>2.2279477389483007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15.5</v>
      </c>
      <c r="BD69" s="13">
        <f>IF('Données projet'!$A$88&gt;35,BD68+BC69-BL68,IF(A69&lt;'Données projet'!$A$88,$BA$205^A69,IF(A69='Données projet'!$A$88,'Données projet'!$B$88,BD68+BC69-BL68)))</f>
        <v>502.99999999999989</v>
      </c>
      <c r="BE69" s="14">
        <f>BD69*VLOOKUP('Données projet'!$B$11,Paramètres!$A$1:$I$89,3,0)*VLOOKUP('Données projet'!$B$11,Paramètres!$A$1:$I$89,5,0)</f>
        <v>235.40399999999994</v>
      </c>
      <c r="BF69" s="14">
        <f t="shared" ref="BF69:BF132" si="91">EXP(-1.0587+0.8836*LN(BE69)+0.284)</f>
        <v>57.449568653781753</v>
      </c>
      <c r="BG69" s="22">
        <f t="shared" si="61"/>
        <v>510.05329873866975</v>
      </c>
      <c r="BH69" s="62">
        <f t="shared" si="62"/>
        <v>803.38663207200307</v>
      </c>
      <c r="BI69" s="62">
        <f ca="1">AVERAGE(OFFSET($BH$3,0,0,'Données projet'!$E$11+1,1))-AVERAGE(OFFSET($H$3,0,0,'Données projet'!$E$11+1,1))</f>
        <v>310.95287409903602</v>
      </c>
      <c r="BJ69" s="62">
        <f t="shared" ref="BJ69:BJ132" si="92">$BJ$3</f>
        <v>224.10083380795163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-5.6843418860808015E-14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-5.6843418860808015E-14</v>
      </c>
      <c r="O70" s="14">
        <f>N70*VLOOKUP('Données projet'!$B$9,Paramètres!$A$1:$I$89,3,0)*VLOOKUP('Données projet'!$B$9,Paramètres!$A$1:$I$89,5,0)</f>
        <v>-3.1036506698001178E-14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240.19940780300527</v>
      </c>
      <c r="T70" s="62">
        <f t="shared" si="88"/>
        <v>355.71054384071715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1.0024939888837254</v>
      </c>
      <c r="AA70" s="23">
        <f>EXP(-LN(2)/25)*AA69+(1-EXP(-LN(2)/25))/(LN(2)/25)*Calculateur!V70*Calculateur!X70*VLOOKUP('Données projet'!$B$9,Paramètres!$A$1:$I$89,3,0)*0.475*44/12</f>
        <v>4.4645386382803851</v>
      </c>
      <c r="AB70" s="23">
        <f>EXP(-LN(2)/2)*AB69+(1-EXP(-LN(2)/2))/(LN(2)/2)*V70*Y70*VLOOKUP('Données projet'!$B$9,Paramètres!$A$1:$I$89,3,0)*0.475*44/12</f>
        <v>7.2553695277190281E-5</v>
      </c>
      <c r="AC70" s="24">
        <f t="shared" si="57"/>
        <v>5.467105180859388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12.875</v>
      </c>
      <c r="AI70" s="14">
        <f>IF('Données projet'!$A$62&gt;35,AI69+AH70-AQ69,IF(A70&lt;'Données projet'!$A$62,$AF$205^A70,IF(A70='Données projet'!$A$62,'Données projet'!$B$62,AI69+AH70-AQ69)))</f>
        <v>430.87500000000006</v>
      </c>
      <c r="AJ70" s="14">
        <f>AI70*VLOOKUP('Données projet'!$B$10,Paramètres!$A$1:$I$89,3,0)*VLOOKUP('Données projet'!$B$10,Paramètres!$A$1:$I$89,5,0)</f>
        <v>257.66325000000006</v>
      </c>
      <c r="AK70" s="14">
        <f t="shared" si="89"/>
        <v>62.224015868041043</v>
      </c>
      <c r="AL70" s="22">
        <f t="shared" si="58"/>
        <v>557.13698805350487</v>
      </c>
      <c r="AM70" s="62">
        <f t="shared" si="59"/>
        <v>850.47032138683812</v>
      </c>
      <c r="AN70" s="62">
        <f ca="1">AVERAGE(OFFSET($AM$3,0,0,'Données projet'!$E$10+1,1))-AVERAGE(OFFSET($H$3,0,0,'Données projet'!$E$10+1,1))</f>
        <v>287.69656598881124</v>
      </c>
      <c r="AO70" s="62">
        <f t="shared" si="90"/>
        <v>221.9773436301067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2.1669716214221326</v>
      </c>
      <c r="AW70" s="23">
        <f>EXP(-LN(2)/2)*AW69+(1-EXP(-LN(2)/2))/(LN(2)/2)*AQ70*AT70*VLOOKUP('Données projet'!$B$10,Paramètres!$A$1:$I$89,3,0)*0.475*44/12</f>
        <v>3.83626591726937E-5</v>
      </c>
      <c r="AX70" s="23">
        <f t="shared" si="60"/>
        <v>2.1670099840813055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15.5</v>
      </c>
      <c r="BD70" s="13">
        <f>IF('Données projet'!$A$88&gt;35,BD69+BC70-BL69,IF(A70&lt;'Données projet'!$A$88,$BA$205^A70,IF(A70='Données projet'!$A$88,'Données projet'!$B$88,BD69+BC70-BL69)))</f>
        <v>518.49999999999989</v>
      </c>
      <c r="BE70" s="14">
        <f>BD70*VLOOKUP('Données projet'!$B$11,Paramètres!$A$1:$I$89,3,0)*VLOOKUP('Données projet'!$B$11,Paramètres!$A$1:$I$89,5,0)</f>
        <v>242.65799999999993</v>
      </c>
      <c r="BF70" s="14">
        <f t="shared" si="91"/>
        <v>59.011045025839607</v>
      </c>
      <c r="BG70" s="22">
        <f t="shared" si="61"/>
        <v>525.40692008667054</v>
      </c>
      <c r="BH70" s="62">
        <f t="shared" si="62"/>
        <v>818.74025342000391</v>
      </c>
      <c r="BI70" s="62">
        <f ca="1">AVERAGE(OFFSET($BH$3,0,0,'Données projet'!$E$11+1,1))-AVERAGE(OFFSET($H$3,0,0,'Données projet'!$E$11+1,1))</f>
        <v>310.95287409903602</v>
      </c>
      <c r="BJ70" s="62">
        <f t="shared" si="92"/>
        <v>224.10083380795163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-5.6843418860808015E-14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-5.6843418860808015E-14</v>
      </c>
      <c r="O71" s="14">
        <f>N71*VLOOKUP('Données projet'!$B$9,Paramètres!$A$1:$I$89,3,0)*VLOOKUP('Données projet'!$B$9,Paramètres!$A$1:$I$89,5,0)</f>
        <v>-3.1036506698001178E-14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240.19940780300527</v>
      </c>
      <c r="T71" s="62">
        <f t="shared" si="88"/>
        <v>355.71054384071715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0.98283569322267206</v>
      </c>
      <c r="AA71" s="23">
        <f>EXP(-LN(2)/25)*AA70+(1-EXP(-LN(2)/25))/(LN(2)/25)*Calculateur!V71*Calculateur!X71*VLOOKUP('Données projet'!$B$9,Paramètres!$A$1:$I$89,3,0)*0.475*44/12</f>
        <v>4.3424555944367249</v>
      </c>
      <c r="AB71" s="23">
        <f>EXP(-LN(2)/2)*AB70+(1-EXP(-LN(2)/2))/(LN(2)/2)*V71*Y71*VLOOKUP('Données projet'!$B$9,Paramètres!$A$1:$I$89,3,0)*0.475*44/12</f>
        <v>5.1303209930643636E-5</v>
      </c>
      <c r="AC71" s="24">
        <f t="shared" si="57"/>
        <v>5.3253425908693277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12.875</v>
      </c>
      <c r="AI71" s="14">
        <f>IF('Données projet'!$A$62&gt;35,AI70+AH71-AQ70,IF(A71&lt;'Données projet'!$A$62,$AF$205^A71,IF(A71='Données projet'!$A$62,'Données projet'!$B$62,AI70+AH71-AQ70)))</f>
        <v>443.75000000000006</v>
      </c>
      <c r="AJ71" s="14">
        <f>AI71*VLOOKUP('Données projet'!$B$10,Paramètres!$A$1:$I$89,3,0)*VLOOKUP('Données projet'!$B$10,Paramètres!$A$1:$I$89,5,0)</f>
        <v>265.36250000000007</v>
      </c>
      <c r="AK71" s="14">
        <f t="shared" si="89"/>
        <v>63.864084559847946</v>
      </c>
      <c r="AL71" s="22">
        <f t="shared" si="58"/>
        <v>573.40296810840198</v>
      </c>
      <c r="AM71" s="62">
        <f t="shared" si="59"/>
        <v>866.73630144173535</v>
      </c>
      <c r="AN71" s="62">
        <f ca="1">AVERAGE(OFFSET($AM$3,0,0,'Données projet'!$E$10+1,1))-AVERAGE(OFFSET($H$3,0,0,'Données projet'!$E$10+1,1))</f>
        <v>287.69656598881124</v>
      </c>
      <c r="AO71" s="62">
        <f t="shared" si="90"/>
        <v>221.9773436301067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2.1077156684782596</v>
      </c>
      <c r="AW71" s="23">
        <f>EXP(-LN(2)/2)*AW70+(1-EXP(-LN(2)/2))/(LN(2)/2)*AQ71*AT71*VLOOKUP('Données projet'!$B$10,Paramètres!$A$1:$I$89,3,0)*0.475*44/12</f>
        <v>2.7126496445360025E-5</v>
      </c>
      <c r="AX71" s="23">
        <f t="shared" si="60"/>
        <v>2.1077427949747052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15.5</v>
      </c>
      <c r="BD71" s="13">
        <f>IF('Données projet'!$A$88&gt;35,BD70+BC71-BL70,IF(A71&lt;'Données projet'!$A$88,$BA$205^A71,IF(A71='Données projet'!$A$88,'Données projet'!$B$88,BD70+BC71-BL70)))</f>
        <v>533.99999999999989</v>
      </c>
      <c r="BE71" s="14">
        <f>BD71*VLOOKUP('Données projet'!$B$11,Paramètres!$A$1:$I$89,3,0)*VLOOKUP('Données projet'!$B$11,Paramètres!$A$1:$I$89,5,0)</f>
        <v>249.91199999999995</v>
      </c>
      <c r="BF71" s="14">
        <f t="shared" si="91"/>
        <v>60.56709659070836</v>
      </c>
      <c r="BG71" s="22">
        <f t="shared" si="61"/>
        <v>540.7510932288169</v>
      </c>
      <c r="BH71" s="62">
        <f t="shared" si="62"/>
        <v>834.08442656215016</v>
      </c>
      <c r="BI71" s="62">
        <f ca="1">AVERAGE(OFFSET($BH$3,0,0,'Données projet'!$E$11+1,1))-AVERAGE(OFFSET($H$3,0,0,'Données projet'!$E$11+1,1))</f>
        <v>310.95287409903602</v>
      </c>
      <c r="BJ71" s="62">
        <f t="shared" si="92"/>
        <v>224.10083380795163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-5.6843418860808015E-14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-5.6843418860808015E-14</v>
      </c>
      <c r="O72" s="14">
        <f>N72*VLOOKUP('Données projet'!$B$9,Paramètres!$A$1:$I$89,3,0)*VLOOKUP('Données projet'!$B$9,Paramètres!$A$1:$I$89,5,0)</f>
        <v>-3.1036506698001178E-14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240.19940780300527</v>
      </c>
      <c r="T72" s="62">
        <f t="shared" si="88"/>
        <v>355.71054384071715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0.96356288474915552</v>
      </c>
      <c r="AA72" s="23">
        <f>EXP(-LN(2)/25)*AA71+(1-EXP(-LN(2)/25))/(LN(2)/25)*Calculateur!V72*Calculateur!X72*VLOOKUP('Données projet'!$B$9,Paramètres!$A$1:$I$89,3,0)*0.475*44/12</f>
        <v>4.223710917847038</v>
      </c>
      <c r="AB72" s="23">
        <f>EXP(-LN(2)/2)*AB71+(1-EXP(-LN(2)/2))/(LN(2)/2)*V72*Y72*VLOOKUP('Données projet'!$B$9,Paramètres!$A$1:$I$89,3,0)*0.475*44/12</f>
        <v>3.6276847638595141E-5</v>
      </c>
      <c r="AC72" s="24">
        <f t="shared" si="57"/>
        <v>5.187310079443832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12.875</v>
      </c>
      <c r="AI72" s="14">
        <f>IF('Données projet'!$A$62&gt;35,AI71+AH72-AQ71,IF(A72&lt;'Données projet'!$A$62,$AF$205^A72,IF(A72='Données projet'!$A$62,'Données projet'!$B$62,AI71+AH72-AQ71)))</f>
        <v>456.62500000000006</v>
      </c>
      <c r="AJ72" s="14">
        <f>AI72*VLOOKUP('Données projet'!$B$10,Paramètres!$A$1:$I$89,3,0)*VLOOKUP('Données projet'!$B$10,Paramètres!$A$1:$I$89,5,0)</f>
        <v>273.06175000000007</v>
      </c>
      <c r="AK72" s="14">
        <f t="shared" si="89"/>
        <v>65.49862286970442</v>
      </c>
      <c r="AL72" s="22">
        <f t="shared" si="58"/>
        <v>589.65931608140193</v>
      </c>
      <c r="AM72" s="62">
        <f t="shared" si="59"/>
        <v>882.9926494147353</v>
      </c>
      <c r="AN72" s="62">
        <f ca="1">AVERAGE(OFFSET($AM$3,0,0,'Données projet'!$E$10+1,1))-AVERAGE(OFFSET($H$3,0,0,'Données projet'!$E$10+1,1))</f>
        <v>287.69656598881124</v>
      </c>
      <c r="AO72" s="62">
        <f t="shared" si="90"/>
        <v>221.9773436301067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2.0500800726837718</v>
      </c>
      <c r="AW72" s="23">
        <f>EXP(-LN(2)/2)*AW71+(1-EXP(-LN(2)/2))/(LN(2)/2)*AQ72*AT72*VLOOKUP('Données projet'!$B$10,Paramètres!$A$1:$I$89,3,0)*0.475*44/12</f>
        <v>1.918132958634685E-5</v>
      </c>
      <c r="AX72" s="23">
        <f t="shared" si="60"/>
        <v>2.0500992540133582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15.5</v>
      </c>
      <c r="BD72" s="13">
        <f>IF('Données projet'!$A$88&gt;35,BD71+BC72-BL71,IF(A72&lt;'Données projet'!$A$88,$BA$205^A72,IF(A72='Données projet'!$A$88,'Données projet'!$B$88,BD71+BC72-BL71)))</f>
        <v>549.49999999999989</v>
      </c>
      <c r="BE72" s="14">
        <f>BD72*VLOOKUP('Données projet'!$B$11,Paramètres!$A$1:$I$89,3,0)*VLOOKUP('Données projet'!$B$11,Paramètres!$A$1:$I$89,5,0)</f>
        <v>257.16599999999994</v>
      </c>
      <c r="BF72" s="14">
        <f t="shared" si="91"/>
        <v>62.117898891884423</v>
      </c>
      <c r="BG72" s="22">
        <f t="shared" si="61"/>
        <v>556.08612390336521</v>
      </c>
      <c r="BH72" s="62">
        <f t="shared" si="62"/>
        <v>849.41945723669846</v>
      </c>
      <c r="BI72" s="62">
        <f ca="1">AVERAGE(OFFSET($BH$3,0,0,'Données projet'!$E$11+1,1))-AVERAGE(OFFSET($H$3,0,0,'Données projet'!$E$11+1,1))</f>
        <v>310.95287409903602</v>
      </c>
      <c r="BJ72" s="62">
        <f t="shared" si="92"/>
        <v>224.10083380795163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-5.6843418860808015E-14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-5.6843418860808015E-14</v>
      </c>
      <c r="O73" s="14">
        <f>N73*VLOOKUP('Données projet'!$B$9,Paramètres!$A$1:$I$89,3,0)*VLOOKUP('Données projet'!$B$9,Paramètres!$A$1:$I$89,5,0)</f>
        <v>-3.1036506698001178E-14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240.19940780300527</v>
      </c>
      <c r="T73" s="62">
        <f t="shared" si="88"/>
        <v>355.71054384071715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0.94466800429455222</v>
      </c>
      <c r="AA73" s="23">
        <f>EXP(-LN(2)/25)*AA72+(1-EXP(-LN(2)/25))/(LN(2)/25)*Calculateur!V73*Calculateur!X73*VLOOKUP('Données projet'!$B$9,Paramètres!$A$1:$I$89,3,0)*0.475*44/12</f>
        <v>4.1082133206832072</v>
      </c>
      <c r="AB73" s="23">
        <f>EXP(-LN(2)/2)*AB72+(1-EXP(-LN(2)/2))/(LN(2)/2)*V73*Y73*VLOOKUP('Données projet'!$B$9,Paramètres!$A$1:$I$89,3,0)*0.475*44/12</f>
        <v>2.5651604965321818E-5</v>
      </c>
      <c r="AC73" s="24">
        <f t="shared" si="57"/>
        <v>5.052906976582725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12.875</v>
      </c>
      <c r="AI73" s="14">
        <f>IF('Données projet'!$A$62&gt;35,AI72+AH73-AQ72,IF(A73&lt;'Données projet'!$A$62,$AF$205^A73,IF(A73='Données projet'!$A$62,'Données projet'!$B$62,AI72+AH73-AQ72)))</f>
        <v>469.50000000000006</v>
      </c>
      <c r="AJ73" s="14">
        <f>AI73*VLOOKUP('Données projet'!$B$10,Paramètres!$A$1:$I$89,3,0)*VLOOKUP('Données projet'!$B$10,Paramètres!$A$1:$I$89,5,0)</f>
        <v>280.76100000000002</v>
      </c>
      <c r="AK73" s="14">
        <f t="shared" si="89"/>
        <v>67.12780464438184</v>
      </c>
      <c r="AL73" s="22">
        <f t="shared" si="58"/>
        <v>605.90633475563175</v>
      </c>
      <c r="AM73" s="62">
        <f t="shared" si="59"/>
        <v>899.23966808896512</v>
      </c>
      <c r="AN73" s="62">
        <f ca="1">AVERAGE(OFFSET($AM$3,0,0,'Données projet'!$E$10+1,1))-AVERAGE(OFFSET($H$3,0,0,'Données projet'!$E$10+1,1))</f>
        <v>287.69656598881124</v>
      </c>
      <c r="AO73" s="62">
        <f t="shared" si="90"/>
        <v>221.9773436301067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1.9940205252872085</v>
      </c>
      <c r="AW73" s="23">
        <f>EXP(-LN(2)/2)*AW72+(1-EXP(-LN(2)/2))/(LN(2)/2)*AQ73*AT73*VLOOKUP('Données projet'!$B$10,Paramètres!$A$1:$I$89,3,0)*0.475*44/12</f>
        <v>1.3563248222680012E-5</v>
      </c>
      <c r="AX73" s="23">
        <f t="shared" si="60"/>
        <v>1.9940340885354313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565</v>
      </c>
      <c r="BB73" s="13">
        <f>VLOOKUP(A73,'Données projet'!$A$87:$I$107,9,0)</f>
        <v>15.5</v>
      </c>
      <c r="BC73" s="13">
        <f t="array" ref="BC73">INDEX(BB:BB,MIN(IF(ISNUMBER(BB73:BB269),ROW(BB73:BB269),"")))</f>
        <v>15.5</v>
      </c>
      <c r="BD73" s="13">
        <f>IF('Données projet'!$A$88&gt;35,BD72+BC73-BL72,IF(A73&lt;'Données projet'!$A$88,$BA$205^A73,IF(A73='Données projet'!$A$88,'Données projet'!$B$88,BD72+BC73-BL72)))</f>
        <v>564.99999999999989</v>
      </c>
      <c r="BE73" s="14">
        <f>BD73*VLOOKUP('Données projet'!$B$11,Paramètres!$A$1:$I$89,3,0)*VLOOKUP('Données projet'!$B$11,Paramètres!$A$1:$I$89,5,0)</f>
        <v>264.41999999999996</v>
      </c>
      <c r="BF73" s="14">
        <f t="shared" si="91"/>
        <v>63.663617006208391</v>
      </c>
      <c r="BG73" s="22">
        <f t="shared" si="61"/>
        <v>571.41229961914621</v>
      </c>
      <c r="BH73" s="62">
        <f t="shared" si="62"/>
        <v>864.74563295247958</v>
      </c>
      <c r="BI73" s="62">
        <f ca="1">AVERAGE(OFFSET($BH$3,0,0,'Données projet'!$E$11+1,1))-AVERAGE(OFFSET($H$3,0,0,'Données projet'!$E$11+1,1))</f>
        <v>310.95287409903602</v>
      </c>
      <c r="BJ73" s="62">
        <f t="shared" si="92"/>
        <v>224.10083380795163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113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-5.6843418860808015E-14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-5.6843418860808015E-14</v>
      </c>
      <c r="O74" s="14">
        <f>N74*VLOOKUP('Données projet'!$B$9,Paramètres!$A$1:$I$89,3,0)*VLOOKUP('Données projet'!$B$9,Paramètres!$A$1:$I$89,5,0)</f>
        <v>-3.1036506698001178E-14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240.19940780300527</v>
      </c>
      <c r="T74" s="62">
        <f t="shared" si="88"/>
        <v>355.71054384071715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0.9261436409209246</v>
      </c>
      <c r="AA74" s="23">
        <f>EXP(-LN(2)/25)*AA73+(1-EXP(-LN(2)/25))/(LN(2)/25)*Calculateur!V74*Calculateur!X74*VLOOKUP('Données projet'!$B$9,Paramètres!$A$1:$I$89,3,0)*0.475*44/12</f>
        <v>3.9958740113875759</v>
      </c>
      <c r="AB74" s="23">
        <f>EXP(-LN(2)/2)*AB73+(1-EXP(-LN(2)/2))/(LN(2)/2)*V74*Y74*VLOOKUP('Données projet'!$B$9,Paramètres!$A$1:$I$89,3,0)*0.475*44/12</f>
        <v>1.813842381929757E-5</v>
      </c>
      <c r="AC74" s="24">
        <f t="shared" si="57"/>
        <v>4.9220357907323198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12.875</v>
      </c>
      <c r="AI74" s="14">
        <f>IF('Données projet'!$A$62&gt;35,AI73+AH74-AQ73,IF(A74&lt;'Données projet'!$A$62,$AF$205^A74,IF(A74='Données projet'!$A$62,'Données projet'!$B$62,AI73+AH74-AQ73)))</f>
        <v>482.37500000000006</v>
      </c>
      <c r="AJ74" s="14">
        <f>AI74*VLOOKUP('Données projet'!$B$10,Paramètres!$A$1:$I$89,3,0)*VLOOKUP('Données projet'!$B$10,Paramètres!$A$1:$I$89,5,0)</f>
        <v>288.46025000000009</v>
      </c>
      <c r="AK74" s="14">
        <f t="shared" si="89"/>
        <v>68.75179365327233</v>
      </c>
      <c r="AL74" s="22">
        <f t="shared" si="58"/>
        <v>622.14430936278279</v>
      </c>
      <c r="AM74" s="62">
        <f t="shared" si="59"/>
        <v>915.47764269611616</v>
      </c>
      <c r="AN74" s="62">
        <f ca="1">AVERAGE(OFFSET($AM$3,0,0,'Données projet'!$E$10+1,1))-AVERAGE(OFFSET($H$3,0,0,'Données projet'!$E$10+1,1))</f>
        <v>287.69656598881124</v>
      </c>
      <c r="AO74" s="62">
        <f t="shared" si="90"/>
        <v>221.9773436301067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1.9394939291622477</v>
      </c>
      <c r="AW74" s="23">
        <f>EXP(-LN(2)/2)*AW73+(1-EXP(-LN(2)/2))/(LN(2)/2)*AQ74*AT74*VLOOKUP('Données projet'!$B$10,Paramètres!$A$1:$I$89,3,0)*0.475*44/12</f>
        <v>9.5906647931734249E-6</v>
      </c>
      <c r="AX74" s="23">
        <f t="shared" si="60"/>
        <v>1.9395035198270409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17</v>
      </c>
      <c r="BD74" s="13">
        <f>IF('Données projet'!$A$88&gt;35,BD73+BC74-BL73,IF(A74&lt;'Données projet'!$A$88,$BA$205^A74,IF(A74='Données projet'!$A$88,'Données projet'!$B$88,BD73+BC74-BL73)))</f>
        <v>468.99999999999989</v>
      </c>
      <c r="BE74" s="14">
        <f>BD74*VLOOKUP('Données projet'!$B$11,Paramètres!$A$1:$I$89,3,0)*VLOOKUP('Données projet'!$B$11,Paramètres!$A$1:$I$89,5,0)</f>
        <v>219.49199999999993</v>
      </c>
      <c r="BF74" s="14">
        <f t="shared" si="91"/>
        <v>54.004459579686618</v>
      </c>
      <c r="BG74" s="22">
        <f t="shared" si="61"/>
        <v>476.33966710128726</v>
      </c>
      <c r="BH74" s="62">
        <f t="shared" si="62"/>
        <v>769.67300043462058</v>
      </c>
      <c r="BI74" s="62">
        <f ca="1">AVERAGE(OFFSET($BH$3,0,0,'Données projet'!$E$11+1,1))-AVERAGE(OFFSET($H$3,0,0,'Données projet'!$E$11+1,1))</f>
        <v>310.95287409903602</v>
      </c>
      <c r="BJ74" s="62">
        <f t="shared" si="92"/>
        <v>224.10083380795163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-5.6843418860808015E-14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-5.6843418860808015E-14</v>
      </c>
      <c r="O75" s="14">
        <f>N75*VLOOKUP('Données projet'!$B$9,Paramètres!$A$1:$I$89,3,0)*VLOOKUP('Données projet'!$B$9,Paramètres!$A$1:$I$89,5,0)</f>
        <v>-3.1036506698001178E-14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240.19940780300527</v>
      </c>
      <c r="T75" s="62">
        <f t="shared" si="88"/>
        <v>355.71054384071715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0.90798252901430776</v>
      </c>
      <c r="AA75" s="23">
        <f>EXP(-LN(2)/25)*AA74+(1-EXP(-LN(2)/25))/(LN(2)/25)*Calculateur!V75*Calculateur!X75*VLOOKUP('Données projet'!$B$9,Paramètres!$A$1:$I$89,3,0)*0.475*44/12</f>
        <v>3.8866066264123011</v>
      </c>
      <c r="AB75" s="23">
        <f>EXP(-LN(2)/2)*AB74+(1-EXP(-LN(2)/2))/(LN(2)/2)*V75*Y75*VLOOKUP('Données projet'!$B$9,Paramètres!$A$1:$I$89,3,0)*0.475*44/12</f>
        <v>1.2825802482660909E-5</v>
      </c>
      <c r="AC75" s="24">
        <f t="shared" si="57"/>
        <v>4.794601981229091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12.875</v>
      </c>
      <c r="AI75" s="14">
        <f>IF('Données projet'!$A$62&gt;35,AI74+AH75-AQ74,IF(A75&lt;'Données projet'!$A$62,$AF$205^A75,IF(A75='Données projet'!$A$62,'Données projet'!$B$62,AI74+AH75-AQ74)))</f>
        <v>495.25000000000006</v>
      </c>
      <c r="AJ75" s="14">
        <f>AI75*VLOOKUP('Données projet'!$B$10,Paramètres!$A$1:$I$89,3,0)*VLOOKUP('Données projet'!$B$10,Paramètres!$A$1:$I$89,5,0)</f>
        <v>296.15950000000004</v>
      </c>
      <c r="AK75" s="14">
        <f t="shared" si="89"/>
        <v>70.370744425720076</v>
      </c>
      <c r="AL75" s="22">
        <f t="shared" si="58"/>
        <v>638.37350904146251</v>
      </c>
      <c r="AM75" s="62">
        <f t="shared" si="59"/>
        <v>931.70684237479577</v>
      </c>
      <c r="AN75" s="62">
        <f ca="1">AVERAGE(OFFSET($AM$3,0,0,'Données projet'!$E$10+1,1))-AVERAGE(OFFSET($H$3,0,0,'Données projet'!$E$10+1,1))</f>
        <v>287.69656598881124</v>
      </c>
      <c r="AO75" s="62">
        <f t="shared" si="90"/>
        <v>221.9773436301067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1.8864583656757532</v>
      </c>
      <c r="AW75" s="23">
        <f>EXP(-LN(2)/2)*AW74+(1-EXP(-LN(2)/2))/(LN(2)/2)*AQ75*AT75*VLOOKUP('Données projet'!$B$10,Paramètres!$A$1:$I$89,3,0)*0.475*44/12</f>
        <v>6.7816241113400061E-6</v>
      </c>
      <c r="AX75" s="23">
        <f t="shared" si="60"/>
        <v>1.8864651472998646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17</v>
      </c>
      <c r="BD75" s="13">
        <f>IF('Données projet'!$A$88&gt;35,BD74+BC75-BL74,IF(A75&lt;'Données projet'!$A$88,$BA$205^A75,IF(A75='Données projet'!$A$88,'Données projet'!$B$88,BD74+BC75-BL74)))</f>
        <v>485.99999999999989</v>
      </c>
      <c r="BE75" s="14">
        <f>BD75*VLOOKUP('Données projet'!$B$11,Paramètres!$A$1:$I$89,3,0)*VLOOKUP('Données projet'!$B$11,Paramètres!$A$1:$I$89,5,0)</f>
        <v>227.44799999999995</v>
      </c>
      <c r="BF75" s="14">
        <f t="shared" si="91"/>
        <v>55.730521649800686</v>
      </c>
      <c r="BG75" s="22">
        <f t="shared" si="61"/>
        <v>493.20259187340275</v>
      </c>
      <c r="BH75" s="62">
        <f t="shared" si="62"/>
        <v>786.53592520673601</v>
      </c>
      <c r="BI75" s="62">
        <f ca="1">AVERAGE(OFFSET($BH$3,0,0,'Données projet'!$E$11+1,1))-AVERAGE(OFFSET($H$3,0,0,'Données projet'!$E$11+1,1))</f>
        <v>310.95287409903602</v>
      </c>
      <c r="BJ75" s="62">
        <f t="shared" si="92"/>
        <v>224.10083380795163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-5.6843418860808015E-14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-5.6843418860808015E-14</v>
      </c>
      <c r="O76" s="14">
        <f>N76*VLOOKUP('Données projet'!$B$9,Paramètres!$A$1:$I$89,3,0)*VLOOKUP('Données projet'!$B$9,Paramètres!$A$1:$I$89,5,0)</f>
        <v>-3.1036506698001178E-14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240.19940780300527</v>
      </c>
      <c r="T76" s="62">
        <f t="shared" si="88"/>
        <v>355.71054384071715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0.89017754543499528</v>
      </c>
      <c r="AA76" s="23">
        <f>EXP(-LN(2)/25)*AA75+(1-EXP(-LN(2)/25))/(LN(2)/25)*Calculateur!V76*Calculateur!X76*VLOOKUP('Données projet'!$B$9,Paramètres!$A$1:$I$89,3,0)*0.475*44/12</f>
        <v>3.7803271638252971</v>
      </c>
      <c r="AB76" s="23">
        <f>EXP(-LN(2)/2)*AB75+(1-EXP(-LN(2)/2))/(LN(2)/2)*V76*Y76*VLOOKUP('Données projet'!$B$9,Paramètres!$A$1:$I$89,3,0)*0.475*44/12</f>
        <v>9.0692119096487851E-6</v>
      </c>
      <c r="AC76" s="24">
        <f t="shared" si="57"/>
        <v>4.6705137784722019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12.875</v>
      </c>
      <c r="AI76" s="14">
        <f>IF('Données projet'!$A$62&gt;35,AI75+AH76-AQ75,IF(A76&lt;'Données projet'!$A$62,$AF$205^A76,IF(A76='Données projet'!$A$62,'Données projet'!$B$62,AI75+AH76-AQ75)))</f>
        <v>508.12500000000006</v>
      </c>
      <c r="AJ76" s="14">
        <f>AI76*VLOOKUP('Données projet'!$B$10,Paramètres!$A$1:$I$89,3,0)*VLOOKUP('Données projet'!$B$10,Paramètres!$A$1:$I$89,5,0)</f>
        <v>303.85875000000004</v>
      </c>
      <c r="AK76" s="14">
        <f t="shared" si="89"/>
        <v>71.984802998830631</v>
      </c>
      <c r="AL76" s="22">
        <f t="shared" si="58"/>
        <v>654.59418813963009</v>
      </c>
      <c r="AM76" s="62">
        <f t="shared" si="59"/>
        <v>947.92752147296346</v>
      </c>
      <c r="AN76" s="62">
        <f ca="1">AVERAGE(OFFSET($AM$3,0,0,'Données projet'!$E$10+1,1))-AVERAGE(OFFSET($H$3,0,0,'Données projet'!$E$10+1,1))</f>
        <v>287.69656598881124</v>
      </c>
      <c r="AO76" s="62">
        <f t="shared" si="90"/>
        <v>221.9773436301067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1.8348730624618159</v>
      </c>
      <c r="AW76" s="23">
        <f>EXP(-LN(2)/2)*AW75+(1-EXP(-LN(2)/2))/(LN(2)/2)*AQ76*AT76*VLOOKUP('Données projet'!$B$10,Paramètres!$A$1:$I$89,3,0)*0.475*44/12</f>
        <v>4.7953323965867125E-6</v>
      </c>
      <c r="AX76" s="23">
        <f t="shared" si="60"/>
        <v>1.8348778577942124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17</v>
      </c>
      <c r="BD76" s="13">
        <f>IF('Données projet'!$A$88&gt;35,BD75+BC76-BL75,IF(A76&lt;'Données projet'!$A$88,$BA$205^A76,IF(A76='Données projet'!$A$88,'Données projet'!$B$88,BD75+BC76-BL75)))</f>
        <v>502.99999999999989</v>
      </c>
      <c r="BE76" s="14">
        <f>BD76*VLOOKUP('Données projet'!$B$11,Paramètres!$A$1:$I$89,3,0)*VLOOKUP('Données projet'!$B$11,Paramètres!$A$1:$I$89,5,0)</f>
        <v>235.40399999999994</v>
      </c>
      <c r="BF76" s="14">
        <f t="shared" si="91"/>
        <v>57.449568653781753</v>
      </c>
      <c r="BG76" s="22">
        <f t="shared" si="61"/>
        <v>510.05329873866975</v>
      </c>
      <c r="BH76" s="62">
        <f t="shared" si="62"/>
        <v>803.38663207200307</v>
      </c>
      <c r="BI76" s="62">
        <f ca="1">AVERAGE(OFFSET($BH$3,0,0,'Données projet'!$E$11+1,1))-AVERAGE(OFFSET($H$3,0,0,'Données projet'!$E$11+1,1))</f>
        <v>310.95287409903602</v>
      </c>
      <c r="BJ76" s="62">
        <f t="shared" si="92"/>
        <v>224.10083380795163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-5.6843418860808015E-14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-5.6843418860808015E-14</v>
      </c>
      <c r="O77" s="14">
        <f>N77*VLOOKUP('Données projet'!$B$9,Paramètres!$A$1:$I$89,3,0)*VLOOKUP('Données projet'!$B$9,Paramètres!$A$1:$I$89,5,0)</f>
        <v>-3.1036506698001178E-14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240.19940780300527</v>
      </c>
      <c r="T77" s="62">
        <f t="shared" si="88"/>
        <v>355.71054384071715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0.87272170672370541</v>
      </c>
      <c r="AA77" s="23">
        <f>EXP(-LN(2)/25)*AA76+(1-EXP(-LN(2)/25))/(LN(2)/25)*Calculateur!V77*Calculateur!X77*VLOOKUP('Données projet'!$B$9,Paramètres!$A$1:$I$89,3,0)*0.475*44/12</f>
        <v>3.6769539187317291</v>
      </c>
      <c r="AB77" s="23">
        <f>EXP(-LN(2)/2)*AB76+(1-EXP(-LN(2)/2))/(LN(2)/2)*V77*Y77*VLOOKUP('Données projet'!$B$9,Paramètres!$A$1:$I$89,3,0)*0.475*44/12</f>
        <v>6.4129012413304544E-6</v>
      </c>
      <c r="AC77" s="24">
        <f t="shared" si="57"/>
        <v>4.5496820383566758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>
        <f>VLOOKUP(A77,'Données projet'!$A$61:$I$81,2,0)</f>
        <v>521</v>
      </c>
      <c r="AG77" s="13">
        <f>VLOOKUP(A77,'Données projet'!$A$61:$I$81,9,0)</f>
        <v>12.875</v>
      </c>
      <c r="AH77" s="13">
        <f t="array" ref="AH77">INDEX(AG:AG,MIN(IF(ISNUMBER(AG77:AG273),ROW(AG77:AG273),"")))</f>
        <v>12.875</v>
      </c>
      <c r="AI77" s="14">
        <f>IF('Données projet'!$A$62&gt;35,AI76+AH77-AQ76,IF(A77&lt;'Données projet'!$A$62,$AF$205^A77,IF(A77='Données projet'!$A$62,'Données projet'!$B$62,AI76+AH77-AQ76)))</f>
        <v>521</v>
      </c>
      <c r="AJ77" s="14">
        <f>AI77*VLOOKUP('Données projet'!$B$10,Paramètres!$A$1:$I$89,3,0)*VLOOKUP('Données projet'!$B$10,Paramètres!$A$1:$I$89,5,0)</f>
        <v>311.55799999999999</v>
      </c>
      <c r="AK77" s="14">
        <f t="shared" si="89"/>
        <v>73.594107587354372</v>
      </c>
      <c r="AL77" s="22">
        <f t="shared" si="58"/>
        <v>670.80658738130876</v>
      </c>
      <c r="AM77" s="62">
        <f t="shared" si="59"/>
        <v>964.13992071464213</v>
      </c>
      <c r="AN77" s="62">
        <f ca="1">AVERAGE(OFFSET($AM$3,0,0,'Données projet'!$E$10+1,1))-AVERAGE(OFFSET($H$3,0,0,'Données projet'!$E$10+1,1))</f>
        <v>287.69656598881124</v>
      </c>
      <c r="AO77" s="62">
        <f t="shared" si="90"/>
        <v>221.9773436301067</v>
      </c>
      <c r="AP77" s="16">
        <f>IF(ISNA(VLOOKUP(A77,'Données projet'!$A$61:$I$81,3,0)),0,VLOOKUP(A77,'Données projet'!$A$61:$I$81,3,0))</f>
        <v>10</v>
      </c>
      <c r="AQ77" s="16">
        <f>IF(ISNA(VLOOKUP(A77,'Données projet'!$A$61:$I$81,4,0)),0,VLOOKUP(A77,'Données projet'!$A$61:$I$81,4,0))</f>
        <v>37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1.7846983620770169</v>
      </c>
      <c r="AW77" s="23">
        <f>EXP(-LN(2)/2)*AW76+(1-EXP(-LN(2)/2))/(LN(2)/2)*AQ77*AT77*VLOOKUP('Données projet'!$B$10,Paramètres!$A$1:$I$89,3,0)*0.475*44/12</f>
        <v>3.3908120556700031E-6</v>
      </c>
      <c r="AX77" s="23">
        <f t="shared" si="60"/>
        <v>1.7847017528890725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17</v>
      </c>
      <c r="BD77" s="13">
        <f>IF('Données projet'!$A$88&gt;35,BD76+BC77-BL76,IF(A77&lt;'Données projet'!$A$88,$BA$205^A77,IF(A77='Données projet'!$A$88,'Données projet'!$B$88,BD76+BC77-BL76)))</f>
        <v>519.99999999999989</v>
      </c>
      <c r="BE77" s="14">
        <f>BD77*VLOOKUP('Données projet'!$B$11,Paramètres!$A$1:$I$89,3,0)*VLOOKUP('Données projet'!$B$11,Paramètres!$A$1:$I$89,5,0)</f>
        <v>243.35999999999996</v>
      </c>
      <c r="BF77" s="14">
        <f t="shared" si="91"/>
        <v>59.161864860837127</v>
      </c>
      <c r="BG77" s="22">
        <f t="shared" si="61"/>
        <v>526.89224796595784</v>
      </c>
      <c r="BH77" s="62">
        <f t="shared" si="62"/>
        <v>820.22558129929121</v>
      </c>
      <c r="BI77" s="62">
        <f ca="1">AVERAGE(OFFSET($BH$3,0,0,'Données projet'!$E$11+1,1))-AVERAGE(OFFSET($H$3,0,0,'Données projet'!$E$11+1,1))</f>
        <v>310.95287409903602</v>
      </c>
      <c r="BJ77" s="62">
        <f t="shared" si="92"/>
        <v>224.10083380795163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-5.6843418860808015E-14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-5.6843418860808015E-14</v>
      </c>
      <c r="O78" s="14">
        <f>N78*VLOOKUP('Données projet'!$B$9,Paramètres!$A$1:$I$89,3,0)*VLOOKUP('Données projet'!$B$9,Paramètres!$A$1:$I$89,5,0)</f>
        <v>-3.1036506698001178E-14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240.19940780300527</v>
      </c>
      <c r="T78" s="62">
        <f t="shared" si="88"/>
        <v>355.71054384071715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0.85560816636253367</v>
      </c>
      <c r="AA78" s="23">
        <f>EXP(-LN(2)/25)*AA77+(1-EXP(-LN(2)/25))/(LN(2)/25)*Calculateur!V78*Calculateur!X78*VLOOKUP('Données projet'!$B$9,Paramètres!$A$1:$I$89,3,0)*0.475*44/12</f>
        <v>3.5764074204614071</v>
      </c>
      <c r="AB78" s="23">
        <f>EXP(-LN(2)/2)*AB77+(1-EXP(-LN(2)/2))/(LN(2)/2)*V78*Y78*VLOOKUP('Données projet'!$B$9,Paramètres!$A$1:$I$89,3,0)*0.475*44/12</f>
        <v>4.5346059548243926E-6</v>
      </c>
      <c r="AC78" s="24">
        <f t="shared" si="57"/>
        <v>4.4320201214298951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8.875</v>
      </c>
      <c r="AI78" s="14">
        <f>IF('Données projet'!$A$62&gt;35,AI77+AH78-AQ77,IF(A78&lt;'Données projet'!$A$62,$AF$205^A78,IF(A78='Données projet'!$A$62,'Données projet'!$B$62,AI77+AH78-AQ77)))</f>
        <v>492.875</v>
      </c>
      <c r="AJ78" s="14">
        <f>AI78*VLOOKUP('Données projet'!$B$10,Paramètres!$A$1:$I$89,3,0)*VLOOKUP('Données projet'!$B$10,Paramètres!$A$1:$I$89,5,0)</f>
        <v>294.73925000000003</v>
      </c>
      <c r="AK78" s="14">
        <f t="shared" si="89"/>
        <v>70.072475236035828</v>
      </c>
      <c r="AL78" s="22">
        <f t="shared" si="58"/>
        <v>635.38042145276233</v>
      </c>
      <c r="AM78" s="62">
        <f t="shared" si="59"/>
        <v>928.71375478609571</v>
      </c>
      <c r="AN78" s="62">
        <f ca="1">AVERAGE(OFFSET($AM$3,0,0,'Données projet'!$E$10+1,1))-AVERAGE(OFFSET($H$3,0,0,'Données projet'!$E$10+1,1))</f>
        <v>287.69656598881124</v>
      </c>
      <c r="AO78" s="62">
        <f t="shared" si="90"/>
        <v>221.9773436301067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1.735895691512813</v>
      </c>
      <c r="AW78" s="23">
        <f>EXP(-LN(2)/2)*AW77+(1-EXP(-LN(2)/2))/(LN(2)/2)*AQ78*AT78*VLOOKUP('Données projet'!$B$10,Paramètres!$A$1:$I$89,3,0)*0.475*44/12</f>
        <v>2.3976661982933562E-6</v>
      </c>
      <c r="AX78" s="23">
        <f t="shared" si="60"/>
        <v>1.7358980891790112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17</v>
      </c>
      <c r="BD78" s="13">
        <f>IF('Données projet'!$A$88&gt;35,BD77+BC78-BL77,IF(A78&lt;'Données projet'!$A$88,$BA$205^A78,IF(A78='Données projet'!$A$88,'Données projet'!$B$88,BD77+BC78-BL77)))</f>
        <v>536.99999999999989</v>
      </c>
      <c r="BE78" s="14">
        <f>BD78*VLOOKUP('Données projet'!$B$11,Paramètres!$A$1:$I$89,3,0)*VLOOKUP('Données projet'!$B$11,Paramètres!$A$1:$I$89,5,0)</f>
        <v>251.31599999999997</v>
      </c>
      <c r="BF78" s="14">
        <f t="shared" si="91"/>
        <v>60.86765628024984</v>
      </c>
      <c r="BG78" s="22">
        <f t="shared" si="61"/>
        <v>543.71986802143499</v>
      </c>
      <c r="BH78" s="62">
        <f t="shared" si="62"/>
        <v>837.05320135476836</v>
      </c>
      <c r="BI78" s="62">
        <f ca="1">AVERAGE(OFFSET($BH$3,0,0,'Données projet'!$E$11+1,1))-AVERAGE(OFFSET($H$3,0,0,'Données projet'!$E$11+1,1))</f>
        <v>310.95287409903602</v>
      </c>
      <c r="BJ78" s="62">
        <f t="shared" si="92"/>
        <v>224.10083380795163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-5.6843418860808015E-14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-5.6843418860808015E-14</v>
      </c>
      <c r="O79" s="14">
        <f>N79*VLOOKUP('Données projet'!$B$9,Paramètres!$A$1:$I$89,3,0)*VLOOKUP('Données projet'!$B$9,Paramètres!$A$1:$I$89,5,0)</f>
        <v>-3.1036506698001178E-14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240.19940780300527</v>
      </c>
      <c r="T79" s="62">
        <f t="shared" si="88"/>
        <v>355.71054384071715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0.8388302120896155</v>
      </c>
      <c r="AA79" s="23">
        <f>EXP(-LN(2)/25)*AA78+(1-EXP(-LN(2)/25))/(LN(2)/25)*Calculateur!V79*Calculateur!X79*VLOOKUP('Données projet'!$B$9,Paramètres!$A$1:$I$89,3,0)*0.475*44/12</f>
        <v>3.4786103714737977</v>
      </c>
      <c r="AB79" s="23">
        <f>EXP(-LN(2)/2)*AB78+(1-EXP(-LN(2)/2))/(LN(2)/2)*V79*Y79*VLOOKUP('Données projet'!$B$9,Paramètres!$A$1:$I$89,3,0)*0.475*44/12</f>
        <v>3.2064506206652272E-6</v>
      </c>
      <c r="AC79" s="24">
        <f t="shared" si="57"/>
        <v>4.3174437900140337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8.875</v>
      </c>
      <c r="AI79" s="14">
        <f>IF('Données projet'!$A$62&gt;35,AI78+AH79-AQ78,IF(A79&lt;'Données projet'!$A$62,$AF$205^A79,IF(A79='Données projet'!$A$62,'Données projet'!$B$62,AI78+AH79-AQ78)))</f>
        <v>501.75</v>
      </c>
      <c r="AJ79" s="14">
        <f>AI79*VLOOKUP('Données projet'!$B$10,Paramètres!$A$1:$I$89,3,0)*VLOOKUP('Données projet'!$B$10,Paramètres!$A$1:$I$89,5,0)</f>
        <v>300.04650000000004</v>
      </c>
      <c r="AK79" s="14">
        <f t="shared" si="89"/>
        <v>71.186211573839699</v>
      </c>
      <c r="AL79" s="22">
        <f t="shared" si="58"/>
        <v>646.56363932443753</v>
      </c>
      <c r="AM79" s="62">
        <f t="shared" si="59"/>
        <v>939.8969726577709</v>
      </c>
      <c r="AN79" s="62">
        <f ca="1">AVERAGE(OFFSET($AM$3,0,0,'Données projet'!$E$10+1,1))-AVERAGE(OFFSET($H$3,0,0,'Données projet'!$E$10+1,1))</f>
        <v>287.69656598881124</v>
      </c>
      <c r="AO79" s="62">
        <f t="shared" si="90"/>
        <v>221.9773436301067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1.688427532541608</v>
      </c>
      <c r="AW79" s="23">
        <f>EXP(-LN(2)/2)*AW78+(1-EXP(-LN(2)/2))/(LN(2)/2)*AQ79*AT79*VLOOKUP('Données projet'!$B$10,Paramètres!$A$1:$I$89,3,0)*0.475*44/12</f>
        <v>1.6954060278350015E-6</v>
      </c>
      <c r="AX79" s="23">
        <f t="shared" si="60"/>
        <v>1.6884292279476358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17</v>
      </c>
      <c r="BD79" s="13">
        <f>IF('Données projet'!$A$88&gt;35,BD78+BC79-BL78,IF(A79&lt;'Données projet'!$A$88,$BA$205^A79,IF(A79='Données projet'!$A$88,'Données projet'!$B$88,BD78+BC79-BL78)))</f>
        <v>553.99999999999989</v>
      </c>
      <c r="BE79" s="14">
        <f>BD79*VLOOKUP('Données projet'!$B$11,Paramètres!$A$1:$I$89,3,0)*VLOOKUP('Données projet'!$B$11,Paramètres!$A$1:$I$89,5,0)</f>
        <v>259.27199999999993</v>
      </c>
      <c r="BF79" s="14">
        <f t="shared" si="91"/>
        <v>62.567172460757938</v>
      </c>
      <c r="BG79" s="22">
        <f t="shared" si="61"/>
        <v>560.53655870248667</v>
      </c>
      <c r="BH79" s="62">
        <f t="shared" si="62"/>
        <v>853.86989203581993</v>
      </c>
      <c r="BI79" s="62">
        <f ca="1">AVERAGE(OFFSET($BH$3,0,0,'Données projet'!$E$11+1,1))-AVERAGE(OFFSET($H$3,0,0,'Données projet'!$E$11+1,1))</f>
        <v>310.95287409903602</v>
      </c>
      <c r="BJ79" s="62">
        <f t="shared" si="92"/>
        <v>224.10083380795163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-5.6843418860808015E-14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-5.6843418860808015E-14</v>
      </c>
      <c r="O80" s="14">
        <f>N80*VLOOKUP('Données projet'!$B$9,Paramètres!$A$1:$I$89,3,0)*VLOOKUP('Données projet'!$B$9,Paramètres!$A$1:$I$89,5,0)</f>
        <v>-3.1036506698001178E-14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240.19940780300527</v>
      </c>
      <c r="T80" s="62">
        <f t="shared" si="88"/>
        <v>355.71054384071715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0.82238126326644767</v>
      </c>
      <c r="AA80" s="23">
        <f>EXP(-LN(2)/25)*AA79+(1-EXP(-LN(2)/25))/(LN(2)/25)*Calculateur!V80*Calculateur!X80*VLOOKUP('Données projet'!$B$9,Paramètres!$A$1:$I$89,3,0)*0.475*44/12</f>
        <v>3.3834875879336779</v>
      </c>
      <c r="AB80" s="23">
        <f>EXP(-LN(2)/2)*AB79+(1-EXP(-LN(2)/2))/(LN(2)/2)*V80*Y80*VLOOKUP('Données projet'!$B$9,Paramètres!$A$1:$I$89,3,0)*0.475*44/12</f>
        <v>2.2673029774121963E-6</v>
      </c>
      <c r="AC80" s="24">
        <f t="shared" si="57"/>
        <v>4.2058711185031026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8.875</v>
      </c>
      <c r="AI80" s="14">
        <f>IF('Données projet'!$A$62&gt;35,AI79+AH80-AQ79,IF(A80&lt;'Données projet'!$A$62,$AF$205^A80,IF(A80='Données projet'!$A$62,'Données projet'!$B$62,AI79+AH80-AQ79)))</f>
        <v>510.625</v>
      </c>
      <c r="AJ80" s="14">
        <f>AI80*VLOOKUP('Données projet'!$B$10,Paramètres!$A$1:$I$89,3,0)*VLOOKUP('Données projet'!$B$10,Paramètres!$A$1:$I$89,5,0)</f>
        <v>305.35375000000005</v>
      </c>
      <c r="AK80" s="14">
        <f t="shared" si="89"/>
        <v>72.297657079406008</v>
      </c>
      <c r="AL80" s="22">
        <f t="shared" si="58"/>
        <v>657.74286732996552</v>
      </c>
      <c r="AM80" s="62">
        <f t="shared" si="59"/>
        <v>951.07620066329878</v>
      </c>
      <c r="AN80" s="62">
        <f ca="1">AVERAGE(OFFSET($AM$3,0,0,'Données projet'!$E$10+1,1))-AVERAGE(OFFSET($H$3,0,0,'Données projet'!$E$10+1,1))</f>
        <v>287.69656598881124</v>
      </c>
      <c r="AO80" s="62">
        <f t="shared" si="90"/>
        <v>221.9773436301067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1.6422573928737128</v>
      </c>
      <c r="AW80" s="23">
        <f>EXP(-LN(2)/2)*AW79+(1-EXP(-LN(2)/2))/(LN(2)/2)*AQ80*AT80*VLOOKUP('Données projet'!$B$10,Paramètres!$A$1:$I$89,3,0)*0.475*44/12</f>
        <v>1.1988330991466781E-6</v>
      </c>
      <c r="AX80" s="23">
        <f t="shared" si="60"/>
        <v>1.642258591706812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17</v>
      </c>
      <c r="BD80" s="13">
        <f>IF('Données projet'!$A$88&gt;35,BD79+BC80-BL79,IF(A80&lt;'Données projet'!$A$88,$BA$205^A80,IF(A80='Données projet'!$A$88,'Données projet'!$B$88,BD79+BC80-BL79)))</f>
        <v>570.99999999999989</v>
      </c>
      <c r="BE80" s="14">
        <f>BD80*VLOOKUP('Données projet'!$B$11,Paramètres!$A$1:$I$89,3,0)*VLOOKUP('Données projet'!$B$11,Paramètres!$A$1:$I$89,5,0)</f>
        <v>267.22799999999995</v>
      </c>
      <c r="BF80" s="14">
        <f t="shared" si="91"/>
        <v>64.260628062866161</v>
      </c>
      <c r="BG80" s="22">
        <f t="shared" si="61"/>
        <v>577.34269387615848</v>
      </c>
      <c r="BH80" s="62">
        <f t="shared" si="62"/>
        <v>870.67602720949185</v>
      </c>
      <c r="BI80" s="62">
        <f ca="1">AVERAGE(OFFSET($BH$3,0,0,'Données projet'!$E$11+1,1))-AVERAGE(OFFSET($H$3,0,0,'Données projet'!$E$11+1,1))</f>
        <v>310.95287409903602</v>
      </c>
      <c r="BJ80" s="62">
        <f t="shared" si="92"/>
        <v>224.10083380795163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-5.6843418860808015E-14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-5.6843418860808015E-14</v>
      </c>
      <c r="O81" s="14">
        <f>N81*VLOOKUP('Données projet'!$B$9,Paramètres!$A$1:$I$89,3,0)*VLOOKUP('Données projet'!$B$9,Paramètres!$A$1:$I$89,5,0)</f>
        <v>-3.1036506698001178E-14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240.19940780300527</v>
      </c>
      <c r="T81" s="62">
        <f t="shared" si="88"/>
        <v>355.71054384071715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0.80625486829683402</v>
      </c>
      <c r="AA81" s="23">
        <f>EXP(-LN(2)/25)*AA80+(1-EXP(-LN(2)/25))/(LN(2)/25)*Calculateur!V81*Calculateur!X81*VLOOKUP('Données projet'!$B$9,Paramètres!$A$1:$I$89,3,0)*0.475*44/12</f>
        <v>3.2909659419117521</v>
      </c>
      <c r="AB81" s="23">
        <f>EXP(-LN(2)/2)*AB80+(1-EXP(-LN(2)/2))/(LN(2)/2)*V81*Y81*VLOOKUP('Données projet'!$B$9,Paramètres!$A$1:$I$89,3,0)*0.475*44/12</f>
        <v>1.6032253103326136E-6</v>
      </c>
      <c r="AC81" s="24">
        <f t="shared" si="57"/>
        <v>4.0972224134338973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8.875</v>
      </c>
      <c r="AI81" s="14">
        <f>IF('Données projet'!$A$62&gt;35,AI80+AH81-AQ80,IF(A81&lt;'Données projet'!$A$62,$AF$205^A81,IF(A81='Données projet'!$A$62,'Données projet'!$B$62,AI80+AH81-AQ80)))</f>
        <v>519.5</v>
      </c>
      <c r="AJ81" s="14">
        <f>AI81*VLOOKUP('Données projet'!$B$10,Paramètres!$A$1:$I$89,3,0)*VLOOKUP('Données projet'!$B$10,Paramètres!$A$1:$I$89,5,0)</f>
        <v>310.661</v>
      </c>
      <c r="AK81" s="14">
        <f t="shared" si="89"/>
        <v>73.406856163089444</v>
      </c>
      <c r="AL81" s="22">
        <f t="shared" si="58"/>
        <v>668.91818281738085</v>
      </c>
      <c r="AM81" s="62">
        <f t="shared" si="59"/>
        <v>962.25151615071422</v>
      </c>
      <c r="AN81" s="62">
        <f ca="1">AVERAGE(OFFSET($AM$3,0,0,'Données projet'!$E$10+1,1))-AVERAGE(OFFSET($H$3,0,0,'Données projet'!$E$10+1,1))</f>
        <v>287.69656598881124</v>
      </c>
      <c r="AO81" s="62">
        <f t="shared" si="90"/>
        <v>221.9773436301067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1.5973497781030181</v>
      </c>
      <c r="AW81" s="23">
        <f>EXP(-LN(2)/2)*AW80+(1-EXP(-LN(2)/2))/(LN(2)/2)*AQ81*AT81*VLOOKUP('Données projet'!$B$10,Paramètres!$A$1:$I$89,3,0)*0.475*44/12</f>
        <v>8.4770301391750077E-7</v>
      </c>
      <c r="AX81" s="23">
        <f t="shared" si="60"/>
        <v>1.5973506258060322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17</v>
      </c>
      <c r="BD81" s="13">
        <f>IF('Données projet'!$A$88&gt;35,BD80+BC81-BL80,IF(A81&lt;'Données projet'!$A$88,$BA$205^A81,IF(A81='Données projet'!$A$88,'Données projet'!$B$88,BD80+BC81-BL80)))</f>
        <v>587.99999999999989</v>
      </c>
      <c r="BE81" s="14">
        <f>BD81*VLOOKUP('Données projet'!$B$11,Paramètres!$A$1:$I$89,3,0)*VLOOKUP('Données projet'!$B$11,Paramètres!$A$1:$I$89,5,0)</f>
        <v>275.18399999999997</v>
      </c>
      <c r="BF81" s="14">
        <f t="shared" si="91"/>
        <v>65.948224238651079</v>
      </c>
      <c r="BG81" s="22">
        <f t="shared" si="61"/>
        <v>594.13862388231712</v>
      </c>
      <c r="BH81" s="62">
        <f t="shared" si="62"/>
        <v>887.47195721565049</v>
      </c>
      <c r="BI81" s="62">
        <f ca="1">AVERAGE(OFFSET($BH$3,0,0,'Données projet'!$E$11+1,1))-AVERAGE(OFFSET($H$3,0,0,'Données projet'!$E$11+1,1))</f>
        <v>310.95287409903602</v>
      </c>
      <c r="BJ81" s="62">
        <f t="shared" si="92"/>
        <v>224.10083380795163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-5.6843418860808015E-14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-5.6843418860808015E-14</v>
      </c>
      <c r="O82" s="14">
        <f>N82*VLOOKUP('Données projet'!$B$9,Paramètres!$A$1:$I$89,3,0)*VLOOKUP('Données projet'!$B$9,Paramètres!$A$1:$I$89,5,0)</f>
        <v>-3.1036506698001178E-14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240.19940780300527</v>
      </c>
      <c r="T82" s="62">
        <f t="shared" si="88"/>
        <v>355.71054384071715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0.7904447020964448</v>
      </c>
      <c r="AA82" s="23">
        <f>EXP(-LN(2)/25)*AA81+(1-EXP(-LN(2)/25))/(LN(2)/25)*Calculateur!V82*Calculateur!X82*VLOOKUP('Données projet'!$B$9,Paramètres!$A$1:$I$89,3,0)*0.475*44/12</f>
        <v>3.200974305165798</v>
      </c>
      <c r="AB82" s="23">
        <f>EXP(-LN(2)/2)*AB81+(1-EXP(-LN(2)/2))/(LN(2)/2)*V82*Y82*VLOOKUP('Données projet'!$B$9,Paramètres!$A$1:$I$89,3,0)*0.475*44/12</f>
        <v>1.1336514887060981E-6</v>
      </c>
      <c r="AC82" s="24">
        <f t="shared" si="57"/>
        <v>3.9914201409137315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8.875</v>
      </c>
      <c r="AI82" s="14">
        <f>IF('Données projet'!$A$62&gt;35,AI81+AH82-AQ81,IF(A82&lt;'Données projet'!$A$62,$AF$205^A82,IF(A82='Données projet'!$A$62,'Données projet'!$B$62,AI81+AH82-AQ81)))</f>
        <v>528.375</v>
      </c>
      <c r="AJ82" s="14">
        <f>AI82*VLOOKUP('Données projet'!$B$10,Paramètres!$A$1:$I$89,3,0)*VLOOKUP('Données projet'!$B$10,Paramètres!$A$1:$I$89,5,0)</f>
        <v>315.96825000000001</v>
      </c>
      <c r="AK82" s="14">
        <f t="shared" si="89"/>
        <v>74.513851630905478</v>
      </c>
      <c r="AL82" s="22">
        <f t="shared" si="58"/>
        <v>680.08966034049365</v>
      </c>
      <c r="AM82" s="62">
        <f t="shared" si="59"/>
        <v>973.42299367382702</v>
      </c>
      <c r="AN82" s="62">
        <f ca="1">AVERAGE(OFFSET($AM$3,0,0,'Données projet'!$E$10+1,1))-AVERAGE(OFFSET($H$3,0,0,'Données projet'!$E$10+1,1))</f>
        <v>287.69656598881124</v>
      </c>
      <c r="AO82" s="62">
        <f t="shared" si="90"/>
        <v>221.9773436301067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1.553670164419817</v>
      </c>
      <c r="AW82" s="23">
        <f>EXP(-LN(2)/2)*AW81+(1-EXP(-LN(2)/2))/(LN(2)/2)*AQ82*AT82*VLOOKUP('Données projet'!$B$10,Paramètres!$A$1:$I$89,3,0)*0.475*44/12</f>
        <v>5.9941654957333906E-7</v>
      </c>
      <c r="AX82" s="23">
        <f t="shared" si="60"/>
        <v>1.5536707638363665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17</v>
      </c>
      <c r="BD82" s="13">
        <f>IF('Données projet'!$A$88&gt;35,BD81+BC82-BL81,IF(A82&lt;'Données projet'!$A$88,$BA$205^A82,IF(A82='Données projet'!$A$88,'Données projet'!$B$88,BD81+BC82-BL81)))</f>
        <v>604.99999999999989</v>
      </c>
      <c r="BE82" s="14">
        <f>BD82*VLOOKUP('Données projet'!$B$11,Paramètres!$A$1:$I$89,3,0)*VLOOKUP('Données projet'!$B$11,Paramètres!$A$1:$I$89,5,0)</f>
        <v>283.13999999999993</v>
      </c>
      <c r="BF82" s="14">
        <f t="shared" si="91"/>
        <v>67.630149847511944</v>
      </c>
      <c r="BG82" s="22">
        <f t="shared" si="61"/>
        <v>610.92467765108313</v>
      </c>
      <c r="BH82" s="62">
        <f t="shared" si="62"/>
        <v>904.25801098441639</v>
      </c>
      <c r="BI82" s="62">
        <f ca="1">AVERAGE(OFFSET($BH$3,0,0,'Données projet'!$E$11+1,1))-AVERAGE(OFFSET($H$3,0,0,'Données projet'!$E$11+1,1))</f>
        <v>310.95287409903602</v>
      </c>
      <c r="BJ82" s="62">
        <f t="shared" si="92"/>
        <v>224.10083380795163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-5.6843418860808015E-14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-5.6843418860808015E-14</v>
      </c>
      <c r="O83" s="14">
        <f>N83*VLOOKUP('Données projet'!$B$9,Paramètres!$A$1:$I$89,3,0)*VLOOKUP('Données projet'!$B$9,Paramètres!$A$1:$I$89,5,0)</f>
        <v>-3.1036506698001178E-14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240.19940780300527</v>
      </c>
      <c r="T83" s="62">
        <f t="shared" si="88"/>
        <v>355.71054384071715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0.77494456361199604</v>
      </c>
      <c r="AA83" s="23">
        <f>EXP(-LN(2)/25)*AA82+(1-EXP(-LN(2)/25))/(LN(2)/25)*Calculateur!V83*Calculateur!X83*VLOOKUP('Données projet'!$B$9,Paramètres!$A$1:$I$89,3,0)*0.475*44/12</f>
        <v>3.1134434944591165</v>
      </c>
      <c r="AB83" s="23">
        <f>EXP(-LN(2)/2)*AB82+(1-EXP(-LN(2)/2))/(LN(2)/2)*V83*Y83*VLOOKUP('Données projet'!$B$9,Paramètres!$A$1:$I$89,3,0)*0.475*44/12</f>
        <v>8.016126551663068E-7</v>
      </c>
      <c r="AC83" s="24">
        <f t="shared" si="57"/>
        <v>3.8883888596837677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8.875</v>
      </c>
      <c r="AI83" s="14">
        <f>IF('Données projet'!$A$62&gt;35,AI82+AH83-AQ82,IF(A83&lt;'Données projet'!$A$62,$AF$205^A83,IF(A83='Données projet'!$A$62,'Données projet'!$B$62,AI82+AH83-AQ82)))</f>
        <v>537.25</v>
      </c>
      <c r="AJ83" s="14">
        <f>AI83*VLOOKUP('Données projet'!$B$10,Paramètres!$A$1:$I$89,3,0)*VLOOKUP('Données projet'!$B$10,Paramètres!$A$1:$I$89,5,0)</f>
        <v>321.27550000000002</v>
      </c>
      <c r="AK83" s="14">
        <f t="shared" si="89"/>
        <v>75.618684768443416</v>
      </c>
      <c r="AL83" s="22">
        <f t="shared" si="58"/>
        <v>691.25737180503893</v>
      </c>
      <c r="AM83" s="62">
        <f t="shared" si="59"/>
        <v>984.59070513837219</v>
      </c>
      <c r="AN83" s="62">
        <f ca="1">AVERAGE(OFFSET($AM$3,0,0,'Données projet'!$E$10+1,1))-AVERAGE(OFFSET($H$3,0,0,'Données projet'!$E$10+1,1))</f>
        <v>287.69656598881124</v>
      </c>
      <c r="AO83" s="62">
        <f t="shared" si="90"/>
        <v>221.9773436301067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1.5111849720697941</v>
      </c>
      <c r="AW83" s="23">
        <f>EXP(-LN(2)/2)*AW82+(1-EXP(-LN(2)/2))/(LN(2)/2)*AQ83*AT83*VLOOKUP('Données projet'!$B$10,Paramètres!$A$1:$I$89,3,0)*0.475*44/12</f>
        <v>4.2385150695875038E-7</v>
      </c>
      <c r="AX83" s="23">
        <f t="shared" si="60"/>
        <v>1.5111853959213011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622</v>
      </c>
      <c r="BB83" s="13">
        <f>VLOOKUP(A83,'Données projet'!$A$87:$I$107,9,0)</f>
        <v>17</v>
      </c>
      <c r="BC83" s="13">
        <f t="array" ref="BC83">INDEX(BB:BB,MIN(IF(ISNUMBER(BB83:BB279),ROW(BB83:BB279),"")))</f>
        <v>17</v>
      </c>
      <c r="BD83" s="13">
        <f>IF('Données projet'!$A$88&gt;35,BD82+BC83-BL82,IF(A83&lt;'Données projet'!$A$88,$BA$205^A83,IF(A83='Données projet'!$A$88,'Données projet'!$B$88,BD82+BC83-BL82)))</f>
        <v>621.99999999999989</v>
      </c>
      <c r="BE83" s="14">
        <f>BD83*VLOOKUP('Données projet'!$B$11,Paramètres!$A$1:$I$89,3,0)*VLOOKUP('Données projet'!$B$11,Paramètres!$A$1:$I$89,5,0)</f>
        <v>291.09599999999995</v>
      </c>
      <c r="BF83" s="14">
        <f t="shared" si="91"/>
        <v>69.306582531434373</v>
      </c>
      <c r="BG83" s="22">
        <f t="shared" si="61"/>
        <v>627.7011645755814</v>
      </c>
      <c r="BH83" s="62">
        <f t="shared" si="62"/>
        <v>921.03449790891477</v>
      </c>
      <c r="BI83" s="62">
        <f ca="1">AVERAGE(OFFSET($BH$3,0,0,'Données projet'!$E$11+1,1))-AVERAGE(OFFSET($H$3,0,0,'Données projet'!$E$11+1,1))</f>
        <v>310.95287409903602</v>
      </c>
      <c r="BJ83" s="62">
        <f t="shared" si="92"/>
        <v>224.10083380795163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124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-5.6843418860808015E-14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-5.6843418860808015E-14</v>
      </c>
      <c r="O84" s="14">
        <f>N84*VLOOKUP('Données projet'!$B$9,Paramètres!$A$1:$I$89,3,0)*VLOOKUP('Données projet'!$B$9,Paramètres!$A$1:$I$89,5,0)</f>
        <v>-3.1036506698001178E-14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240.19940780300527</v>
      </c>
      <c r="T84" s="62">
        <f t="shared" si="88"/>
        <v>355.71054384071715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0.75974837338907641</v>
      </c>
      <c r="AA84" s="23">
        <f>EXP(-LN(2)/25)*AA83+(1-EXP(-LN(2)/25))/(LN(2)/25)*Calculateur!V84*Calculateur!X84*VLOOKUP('Données projet'!$B$9,Paramètres!$A$1:$I$89,3,0)*0.475*44/12</f>
        <v>3.0283062183742544</v>
      </c>
      <c r="AB84" s="23">
        <f>EXP(-LN(2)/2)*AB83+(1-EXP(-LN(2)/2))/(LN(2)/2)*V84*Y84*VLOOKUP('Données projet'!$B$9,Paramètres!$A$1:$I$89,3,0)*0.475*44/12</f>
        <v>5.6682574435304907E-7</v>
      </c>
      <c r="AC84" s="24">
        <f t="shared" si="57"/>
        <v>3.7880551585890752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8.875</v>
      </c>
      <c r="AI84" s="14">
        <f>IF('Données projet'!$A$62&gt;35,AI83+AH84-AQ83,IF(A84&lt;'Données projet'!$A$62,$AF$205^A84,IF(A84='Données projet'!$A$62,'Données projet'!$B$62,AI83+AH84-AQ83)))</f>
        <v>546.125</v>
      </c>
      <c r="AJ84" s="14">
        <f>AI84*VLOOKUP('Données projet'!$B$10,Paramètres!$A$1:$I$89,3,0)*VLOOKUP('Données projet'!$B$10,Paramètres!$A$1:$I$89,5,0)</f>
        <v>326.58275000000003</v>
      </c>
      <c r="AK84" s="14">
        <f t="shared" si="89"/>
        <v>76.72139541907876</v>
      </c>
      <c r="AL84" s="22">
        <f t="shared" si="58"/>
        <v>702.42138660489547</v>
      </c>
      <c r="AM84" s="62">
        <f t="shared" si="59"/>
        <v>995.75471993822885</v>
      </c>
      <c r="AN84" s="62">
        <f ca="1">AVERAGE(OFFSET($AM$3,0,0,'Données projet'!$E$10+1,1))-AVERAGE(OFFSET($H$3,0,0,'Données projet'!$E$10+1,1))</f>
        <v>287.69656598881124</v>
      </c>
      <c r="AO84" s="62">
        <f t="shared" si="90"/>
        <v>221.9773436301067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1.4698615395387817</v>
      </c>
      <c r="AW84" s="23">
        <f>EXP(-LN(2)/2)*AW83+(1-EXP(-LN(2)/2))/(LN(2)/2)*AQ84*AT84*VLOOKUP('Données projet'!$B$10,Paramètres!$A$1:$I$89,3,0)*0.475*44/12</f>
        <v>2.9970827478666953E-7</v>
      </c>
      <c r="AX84" s="23">
        <f t="shared" si="60"/>
        <v>1.4698618392470566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17.5</v>
      </c>
      <c r="BD84" s="13">
        <f>IF('Données projet'!$A$88&gt;35,BD83+BC84-BL83,IF(A84&lt;'Données projet'!$A$88,$BA$205^A84,IF(A84='Données projet'!$A$88,'Données projet'!$B$88,BD83+BC84-BL83)))</f>
        <v>515.49999999999989</v>
      </c>
      <c r="BE84" s="14">
        <f>BD84*VLOOKUP('Données projet'!$B$11,Paramètres!$A$1:$I$89,3,0)*VLOOKUP('Données projet'!$B$11,Paramètres!$A$1:$I$89,5,0)</f>
        <v>241.25399999999996</v>
      </c>
      <c r="BF84" s="14">
        <f t="shared" si="91"/>
        <v>58.70925280391986</v>
      </c>
      <c r="BG84" s="22">
        <f t="shared" si="61"/>
        <v>522.43599863349357</v>
      </c>
      <c r="BH84" s="62">
        <f t="shared" si="62"/>
        <v>815.76933196682694</v>
      </c>
      <c r="BI84" s="62">
        <f ca="1">AVERAGE(OFFSET($BH$3,0,0,'Données projet'!$E$11+1,1))-AVERAGE(OFFSET($H$3,0,0,'Données projet'!$E$11+1,1))</f>
        <v>310.95287409903602</v>
      </c>
      <c r="BJ84" s="62">
        <f t="shared" si="92"/>
        <v>224.10083380795163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-5.6843418860808015E-14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-5.6843418860808015E-14</v>
      </c>
      <c r="O85" s="14">
        <f>N85*VLOOKUP('Données projet'!$B$9,Paramètres!$A$1:$I$89,3,0)*VLOOKUP('Données projet'!$B$9,Paramètres!$A$1:$I$89,5,0)</f>
        <v>-3.1036506698001178E-14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240.19940780300527</v>
      </c>
      <c r="T85" s="62">
        <f t="shared" si="88"/>
        <v>355.71054384071715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0.74485017118766739</v>
      </c>
      <c r="AA85" s="23">
        <f>EXP(-LN(2)/25)*AA84+(1-EXP(-LN(2)/25))/(LN(2)/25)*Calculateur!V85*Calculateur!X85*VLOOKUP('Données projet'!$B$9,Paramètres!$A$1:$I$89,3,0)*0.475*44/12</f>
        <v>2.9454970255811075</v>
      </c>
      <c r="AB85" s="23">
        <f>EXP(-LN(2)/2)*AB84+(1-EXP(-LN(2)/2))/(LN(2)/2)*V85*Y85*VLOOKUP('Données projet'!$B$9,Paramètres!$A$1:$I$89,3,0)*0.475*44/12</f>
        <v>4.008063275831534E-7</v>
      </c>
      <c r="AC85" s="24">
        <f t="shared" si="57"/>
        <v>3.6903475975751023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>
        <f>VLOOKUP(A85,'Données projet'!$A$61:$I$81,2,0)</f>
        <v>555</v>
      </c>
      <c r="AG85" s="13">
        <f>VLOOKUP(A85,'Données projet'!$A$61:$I$81,9,0)</f>
        <v>8.875</v>
      </c>
      <c r="AH85" s="13">
        <f t="array" ref="AH85">INDEX(AG:AG,MIN(IF(ISNUMBER(AG85:AG281),ROW(AG85:AG281),"")))</f>
        <v>8.875</v>
      </c>
      <c r="AI85" s="14">
        <f>IF('Données projet'!$A$62&gt;35,AI84+AH85-AQ84,IF(A85&lt;'Données projet'!$A$62,$AF$205^A85,IF(A85='Données projet'!$A$62,'Données projet'!$B$62,AI84+AH85-AQ84)))</f>
        <v>555</v>
      </c>
      <c r="AJ85" s="14">
        <f>AI85*VLOOKUP('Données projet'!$B$10,Paramètres!$A$1:$I$89,3,0)*VLOOKUP('Données projet'!$B$10,Paramètres!$A$1:$I$89,5,0)</f>
        <v>331.89000000000004</v>
      </c>
      <c r="AK85" s="14">
        <f t="shared" si="89"/>
        <v>77.822022056956186</v>
      </c>
      <c r="AL85" s="22">
        <f t="shared" si="58"/>
        <v>713.58177174919865</v>
      </c>
      <c r="AM85" s="62">
        <f t="shared" si="59"/>
        <v>1006.9151050825319</v>
      </c>
      <c r="AN85" s="62">
        <f ca="1">AVERAGE(OFFSET($AM$3,0,0,'Données projet'!$E$10+1,1))-AVERAGE(OFFSET($H$3,0,0,'Données projet'!$E$10+1,1))</f>
        <v>287.69656598881124</v>
      </c>
      <c r="AO85" s="62">
        <f t="shared" si="90"/>
        <v>221.9773436301067</v>
      </c>
      <c r="AP85" s="16">
        <f>IF(ISNA(VLOOKUP(A85,'Données projet'!$A$61:$I$81,3,0)),0,VLOOKUP(A85,'Données projet'!$A$61:$I$81,3,0))</f>
        <v>11</v>
      </c>
      <c r="AQ85" s="16">
        <f>IF(ISNA(VLOOKUP(A85,'Données projet'!$A$61:$I$81,4,0)),0,VLOOKUP(A85,'Données projet'!$A$61:$I$81,4,0))</f>
        <v>555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1.4296680984434349</v>
      </c>
      <c r="AW85" s="23">
        <f>EXP(-LN(2)/2)*AW84+(1-EXP(-LN(2)/2))/(LN(2)/2)*AQ85*AT85*VLOOKUP('Données projet'!$B$10,Paramètres!$A$1:$I$89,3,0)*0.475*44/12</f>
        <v>2.1192575347937519E-7</v>
      </c>
      <c r="AX85" s="23">
        <f t="shared" si="60"/>
        <v>1.4296683103691883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17.5</v>
      </c>
      <c r="BD85" s="13">
        <f>IF('Données projet'!$A$88&gt;35,BD84+BC85-BL84,IF(A85&lt;'Données projet'!$A$88,$BA$205^A85,IF(A85='Données projet'!$A$88,'Données projet'!$B$88,BD84+BC85-BL84)))</f>
        <v>532.99999999999989</v>
      </c>
      <c r="BE85" s="14">
        <f>BD85*VLOOKUP('Données projet'!$B$11,Paramètres!$A$1:$I$89,3,0)*VLOOKUP('Données projet'!$B$11,Paramètres!$A$1:$I$89,5,0)</f>
        <v>249.44399999999993</v>
      </c>
      <c r="BF85" s="14">
        <f t="shared" si="91"/>
        <v>60.466866397117599</v>
      </c>
      <c r="BG85" s="22">
        <f t="shared" si="61"/>
        <v>539.76142564164627</v>
      </c>
      <c r="BH85" s="62">
        <f t="shared" si="62"/>
        <v>833.09475897497964</v>
      </c>
      <c r="BI85" s="62">
        <f ca="1">AVERAGE(OFFSET($BH$3,0,0,'Données projet'!$E$11+1,1))-AVERAGE(OFFSET($H$3,0,0,'Données projet'!$E$11+1,1))</f>
        <v>310.95287409903602</v>
      </c>
      <c r="BJ85" s="62">
        <f t="shared" si="92"/>
        <v>224.10083380795163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-5.6843418860808015E-14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-5.6843418860808015E-14</v>
      </c>
      <c r="O86" s="14">
        <f>N86*VLOOKUP('Données projet'!$B$9,Paramètres!$A$1:$I$89,3,0)*VLOOKUP('Données projet'!$B$9,Paramètres!$A$1:$I$89,5,0)</f>
        <v>-3.1036506698001178E-14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240.19940780300527</v>
      </c>
      <c r="T86" s="62">
        <f t="shared" si="88"/>
        <v>355.71054384071715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0.73024411364442188</v>
      </c>
      <c r="AA86" s="23">
        <f>EXP(-LN(2)/25)*AA85+(1-EXP(-LN(2)/25))/(LN(2)/25)*Calculateur!V86*Calculateur!X86*VLOOKUP('Données projet'!$B$9,Paramètres!$A$1:$I$89,3,0)*0.475*44/12</f>
        <v>2.8649522545196358</v>
      </c>
      <c r="AB86" s="23">
        <f>EXP(-LN(2)/2)*AB85+(1-EXP(-LN(2)/2))/(LN(2)/2)*V86*Y86*VLOOKUP('Données projet'!$B$9,Paramètres!$A$1:$I$89,3,0)*0.475*44/12</f>
        <v>2.8341287217652454E-7</v>
      </c>
      <c r="AC86" s="24">
        <f t="shared" si="57"/>
        <v>3.5951966515769298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287.69656598881124</v>
      </c>
      <c r="AO86" s="62">
        <f t="shared" si="90"/>
        <v>221.9773436301067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1.3905737491085215</v>
      </c>
      <c r="AW86" s="23">
        <f>EXP(-LN(2)/2)*AW85+(1-EXP(-LN(2)/2))/(LN(2)/2)*AQ86*AT86*VLOOKUP('Données projet'!$B$10,Paramètres!$A$1:$I$89,3,0)*0.475*44/12</f>
        <v>1.4985413739333476E-7</v>
      </c>
      <c r="AX86" s="23">
        <f t="shared" si="60"/>
        <v>1.3905738989626588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17.5</v>
      </c>
      <c r="BD86" s="13">
        <f>IF('Données projet'!$A$88&gt;35,BD85+BC86-BL85,IF(A86&lt;'Données projet'!$A$88,$BA$205^A86,IF(A86='Données projet'!$A$88,'Données projet'!$B$88,BD85+BC86-BL85)))</f>
        <v>550.49999999999989</v>
      </c>
      <c r="BE86" s="14">
        <f>BD86*VLOOKUP('Données projet'!$B$11,Paramètres!$A$1:$I$89,3,0)*VLOOKUP('Données projet'!$B$11,Paramètres!$A$1:$I$89,5,0)</f>
        <v>257.63399999999996</v>
      </c>
      <c r="BF86" s="14">
        <f t="shared" si="91"/>
        <v>62.217774353261795</v>
      </c>
      <c r="BG86" s="22">
        <f t="shared" si="61"/>
        <v>557.07517366526417</v>
      </c>
      <c r="BH86" s="62">
        <f t="shared" si="62"/>
        <v>850.40850699859743</v>
      </c>
      <c r="BI86" s="62">
        <f ca="1">AVERAGE(OFFSET($BH$3,0,0,'Données projet'!$E$11+1,1))-AVERAGE(OFFSET($H$3,0,0,'Données projet'!$E$11+1,1))</f>
        <v>310.95287409903602</v>
      </c>
      <c r="BJ86" s="62">
        <f t="shared" si="92"/>
        <v>224.10083380795163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-5.6843418860808015E-14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-5.6843418860808015E-14</v>
      </c>
      <c r="O87" s="14">
        <f>N87*VLOOKUP('Données projet'!$B$9,Paramètres!$A$1:$I$89,3,0)*VLOOKUP('Données projet'!$B$9,Paramètres!$A$1:$I$89,5,0)</f>
        <v>-3.1036506698001178E-14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240.19940780300527</v>
      </c>
      <c r="T87" s="62">
        <f t="shared" si="88"/>
        <v>355.71054384071715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0.71592447198078402</v>
      </c>
      <c r="AA87" s="23">
        <f>EXP(-LN(2)/25)*AA86+(1-EXP(-LN(2)/25))/(LN(2)/25)*Calculateur!V87*Calculateur!X87*VLOOKUP('Données projet'!$B$9,Paramètres!$A$1:$I$89,3,0)*0.475*44/12</f>
        <v>2.7866099844585053</v>
      </c>
      <c r="AB87" s="23">
        <f>EXP(-LN(2)/2)*AB86+(1-EXP(-LN(2)/2))/(LN(2)/2)*V87*Y87*VLOOKUP('Données projet'!$B$9,Paramètres!$A$1:$I$89,3,0)*0.475*44/12</f>
        <v>2.004031637915767E-7</v>
      </c>
      <c r="AC87" s="24">
        <f t="shared" si="57"/>
        <v>3.5025346568424531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287.69656598881124</v>
      </c>
      <c r="AO87" s="62">
        <f t="shared" si="90"/>
        <v>221.9773436301067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1.3525484368120537</v>
      </c>
      <c r="AW87" s="23">
        <f>EXP(-LN(2)/2)*AW86+(1-EXP(-LN(2)/2))/(LN(2)/2)*AQ87*AT87*VLOOKUP('Données projet'!$B$10,Paramètres!$A$1:$I$89,3,0)*0.475*44/12</f>
        <v>1.059628767396876E-7</v>
      </c>
      <c r="AX87" s="23">
        <f t="shared" si="60"/>
        <v>1.3525485427749304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17.5</v>
      </c>
      <c r="BD87" s="13">
        <f>IF('Données projet'!$A$88&gt;35,BD86+BC87-BL86,IF(A87&lt;'Données projet'!$A$88,$BA$205^A87,IF(A87='Données projet'!$A$88,'Données projet'!$B$88,BD86+BC87-BL86)))</f>
        <v>567.99999999999989</v>
      </c>
      <c r="BE87" s="14">
        <f>BD87*VLOOKUP('Données projet'!$B$11,Paramètres!$A$1:$I$89,3,0)*VLOOKUP('Données projet'!$B$11,Paramètres!$A$1:$I$89,5,0)</f>
        <v>265.82399999999996</v>
      </c>
      <c r="BF87" s="14">
        <f t="shared" si="91"/>
        <v>63.962214293903529</v>
      </c>
      <c r="BG87" s="22">
        <f t="shared" si="61"/>
        <v>574.37765656188185</v>
      </c>
      <c r="BH87" s="62">
        <f t="shared" si="62"/>
        <v>867.71098989521511</v>
      </c>
      <c r="BI87" s="62">
        <f ca="1">AVERAGE(OFFSET($BH$3,0,0,'Données projet'!$E$11+1,1))-AVERAGE(OFFSET($H$3,0,0,'Données projet'!$E$11+1,1))</f>
        <v>310.95287409903602</v>
      </c>
      <c r="BJ87" s="62">
        <f t="shared" si="92"/>
        <v>224.10083380795163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-5.6843418860808015E-14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-5.6843418860808015E-14</v>
      </c>
      <c r="O88" s="14">
        <f>N88*VLOOKUP('Données projet'!$B$9,Paramètres!$A$1:$I$89,3,0)*VLOOKUP('Données projet'!$B$9,Paramètres!$A$1:$I$89,5,0)</f>
        <v>-3.1036506698001178E-14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240.19940780300527</v>
      </c>
      <c r="T88" s="62">
        <f t="shared" si="88"/>
        <v>355.71054384071715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0.70188562975605107</v>
      </c>
      <c r="AA88" s="23">
        <f>EXP(-LN(2)/25)*AA87+(1-EXP(-LN(2)/25))/(LN(2)/25)*Calculateur!V88*Calculateur!X88*VLOOKUP('Données projet'!$B$9,Paramètres!$A$1:$I$89,3,0)*0.475*44/12</f>
        <v>2.7104099878920374</v>
      </c>
      <c r="AB88" s="23">
        <f>EXP(-LN(2)/2)*AB87+(1-EXP(-LN(2)/2))/(LN(2)/2)*V88*Y88*VLOOKUP('Données projet'!$B$9,Paramètres!$A$1:$I$89,3,0)*0.475*44/12</f>
        <v>1.4170643608826227E-7</v>
      </c>
      <c r="AC88" s="24">
        <f t="shared" si="57"/>
        <v>3.4122957593545244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287.69656598881124</v>
      </c>
      <c r="AO88" s="62">
        <f t="shared" si="90"/>
        <v>221.9773436301067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1.315562928679997</v>
      </c>
      <c r="AW88" s="23">
        <f>EXP(-LN(2)/2)*AW87+(1-EXP(-LN(2)/2))/(LN(2)/2)*AQ88*AT88*VLOOKUP('Données projet'!$B$10,Paramètres!$A$1:$I$89,3,0)*0.475*44/12</f>
        <v>7.4927068696667382E-8</v>
      </c>
      <c r="AX88" s="23">
        <f t="shared" si="60"/>
        <v>1.3155630036070658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17.5</v>
      </c>
      <c r="BD88" s="13">
        <f>IF('Données projet'!$A$88&gt;35,BD87+BC88-BL87,IF(A88&lt;'Données projet'!$A$88,$BA$205^A88,IF(A88='Données projet'!$A$88,'Données projet'!$B$88,BD87+BC88-BL87)))</f>
        <v>585.49999999999989</v>
      </c>
      <c r="BE88" s="14">
        <f>BD88*VLOOKUP('Données projet'!$B$11,Paramètres!$A$1:$I$89,3,0)*VLOOKUP('Données projet'!$B$11,Paramètres!$A$1:$I$89,5,0)</f>
        <v>274.01399999999995</v>
      </c>
      <c r="BF88" s="14">
        <f t="shared" si="91"/>
        <v>65.700408366571935</v>
      </c>
      <c r="BG88" s="22">
        <f t="shared" si="61"/>
        <v>591.66926123844598</v>
      </c>
      <c r="BH88" s="62">
        <f t="shared" si="62"/>
        <v>885.00259457177935</v>
      </c>
      <c r="BI88" s="62">
        <f ca="1">AVERAGE(OFFSET($BH$3,0,0,'Données projet'!$E$11+1,1))-AVERAGE(OFFSET($H$3,0,0,'Données projet'!$E$11+1,1))</f>
        <v>310.95287409903602</v>
      </c>
      <c r="BJ88" s="62">
        <f t="shared" si="92"/>
        <v>224.10083380795163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-5.6843418860808015E-14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-5.6843418860808015E-14</v>
      </c>
      <c r="O89" s="14">
        <f>N89*VLOOKUP('Données projet'!$B$9,Paramètres!$A$1:$I$89,3,0)*VLOOKUP('Données projet'!$B$9,Paramètres!$A$1:$I$89,5,0)</f>
        <v>-3.1036506698001178E-14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240.19940780300527</v>
      </c>
      <c r="T89" s="62">
        <f t="shared" si="88"/>
        <v>355.71054384071715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0.68812208066449687</v>
      </c>
      <c r="AA89" s="23">
        <f>EXP(-LN(2)/25)*AA88+(1-EXP(-LN(2)/25))/(LN(2)/25)*Calculateur!V89*Calculateur!X89*VLOOKUP('Données projet'!$B$9,Paramètres!$A$1:$I$89,3,0)*0.475*44/12</f>
        <v>2.6362936842388631</v>
      </c>
      <c r="AB89" s="23">
        <f>EXP(-LN(2)/2)*AB88+(1-EXP(-LN(2)/2))/(LN(2)/2)*V89*Y89*VLOOKUP('Données projet'!$B$9,Paramètres!$A$1:$I$89,3,0)*0.475*44/12</f>
        <v>1.0020158189578835E-7</v>
      </c>
      <c r="AC89" s="24">
        <f t="shared" si="57"/>
        <v>3.3244158651049416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287.69656598881124</v>
      </c>
      <c r="AO89" s="62">
        <f t="shared" si="90"/>
        <v>221.9773436301067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1.2795887912127948</v>
      </c>
      <c r="AW89" s="23">
        <f>EXP(-LN(2)/2)*AW88+(1-EXP(-LN(2)/2))/(LN(2)/2)*AQ89*AT89*VLOOKUP('Données projet'!$B$10,Paramètres!$A$1:$I$89,3,0)*0.475*44/12</f>
        <v>5.2981438369843798E-8</v>
      </c>
      <c r="AX89" s="23">
        <f t="shared" si="60"/>
        <v>1.2795888441942331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17.5</v>
      </c>
      <c r="BD89" s="13">
        <f>IF('Données projet'!$A$88&gt;35,BD88+BC89-BL88,IF(A89&lt;'Données projet'!$A$88,$BA$205^A89,IF(A89='Données projet'!$A$88,'Données projet'!$B$88,BD88+BC89-BL88)))</f>
        <v>602.99999999999989</v>
      </c>
      <c r="BE89" s="14">
        <f>BD89*VLOOKUP('Données projet'!$B$11,Paramètres!$A$1:$I$89,3,0)*VLOOKUP('Données projet'!$B$11,Paramètres!$A$1:$I$89,5,0)</f>
        <v>282.20399999999995</v>
      </c>
      <c r="BF89" s="14">
        <f t="shared" si="91"/>
        <v>67.432564684485186</v>
      </c>
      <c r="BG89" s="22">
        <f t="shared" si="61"/>
        <v>608.9503501588116</v>
      </c>
      <c r="BH89" s="62">
        <f t="shared" si="62"/>
        <v>902.28368349214497</v>
      </c>
      <c r="BI89" s="62">
        <f ca="1">AVERAGE(OFFSET($BH$3,0,0,'Données projet'!$E$11+1,1))-AVERAGE(OFFSET($H$3,0,0,'Données projet'!$E$11+1,1))</f>
        <v>310.95287409903602</v>
      </c>
      <c r="BJ89" s="62">
        <f t="shared" si="92"/>
        <v>224.10083380795163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-5.6843418860808015E-14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-5.6843418860808015E-14</v>
      </c>
      <c r="O90" s="14">
        <f>N90*VLOOKUP('Données projet'!$B$9,Paramètres!$A$1:$I$89,3,0)*VLOOKUP('Données projet'!$B$9,Paramètres!$A$1:$I$89,5,0)</f>
        <v>-3.1036506698001178E-14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240.19940780300527</v>
      </c>
      <c r="T90" s="62">
        <f t="shared" si="88"/>
        <v>355.71054384071715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0.67462842637569209</v>
      </c>
      <c r="AA90" s="23">
        <f>EXP(-LN(2)/25)*AA89+(1-EXP(-LN(2)/25))/(LN(2)/25)*Calculateur!V90*Calculateur!X90*VLOOKUP('Données projet'!$B$9,Paramètres!$A$1:$I$89,3,0)*0.475*44/12</f>
        <v>2.564204094806692</v>
      </c>
      <c r="AB90" s="23">
        <f>EXP(-LN(2)/2)*AB89+(1-EXP(-LN(2)/2))/(LN(2)/2)*V90*Y90*VLOOKUP('Données projet'!$B$9,Paramètres!$A$1:$I$89,3,0)*0.475*44/12</f>
        <v>7.0853218044131134E-8</v>
      </c>
      <c r="AC90" s="24">
        <f t="shared" si="57"/>
        <v>3.2388325920356018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287.69656598881124</v>
      </c>
      <c r="AO90" s="62">
        <f t="shared" si="90"/>
        <v>221.9773436301067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1.244598368426431</v>
      </c>
      <c r="AW90" s="23">
        <f>EXP(-LN(2)/2)*AW89+(1-EXP(-LN(2)/2))/(LN(2)/2)*AQ90*AT90*VLOOKUP('Données projet'!$B$10,Paramètres!$A$1:$I$89,3,0)*0.475*44/12</f>
        <v>3.7463534348333691E-8</v>
      </c>
      <c r="AX90" s="23">
        <f t="shared" si="60"/>
        <v>1.2445984058899653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17.5</v>
      </c>
      <c r="BD90" s="13">
        <f>IF('Données projet'!$A$88&gt;35,BD89+BC90-BL89,IF(A90&lt;'Données projet'!$A$88,$BA$205^A90,IF(A90='Données projet'!$A$88,'Données projet'!$B$88,BD89+BC90-BL89)))</f>
        <v>620.49999999999989</v>
      </c>
      <c r="BE90" s="14">
        <f>BD90*VLOOKUP('Données projet'!$B$11,Paramètres!$A$1:$I$89,3,0)*VLOOKUP('Données projet'!$B$11,Paramètres!$A$1:$I$89,5,0)</f>
        <v>290.39399999999995</v>
      </c>
      <c r="BF90" s="14">
        <f t="shared" si="91"/>
        <v>69.158878594433091</v>
      </c>
      <c r="BG90" s="22">
        <f t="shared" si="61"/>
        <v>626.22126355197076</v>
      </c>
      <c r="BH90" s="62">
        <f t="shared" si="62"/>
        <v>919.55459688530414</v>
      </c>
      <c r="BI90" s="62">
        <f ca="1">AVERAGE(OFFSET($BH$3,0,0,'Données projet'!$E$11+1,1))-AVERAGE(OFFSET($H$3,0,0,'Données projet'!$E$11+1,1))</f>
        <v>310.95287409903602</v>
      </c>
      <c r="BJ90" s="62">
        <f t="shared" si="92"/>
        <v>224.10083380795163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-5.6843418860808015E-14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-5.6843418860808015E-14</v>
      </c>
      <c r="O91" s="14">
        <f>N91*VLOOKUP('Données projet'!$B$9,Paramètres!$A$1:$I$89,3,0)*VLOOKUP('Données projet'!$B$9,Paramètres!$A$1:$I$89,5,0)</f>
        <v>-3.1036506698001178E-14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240.19940780300527</v>
      </c>
      <c r="T91" s="62">
        <f t="shared" si="88"/>
        <v>355.71054384071715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0.66139937441717433</v>
      </c>
      <c r="AA91" s="23">
        <f>EXP(-LN(2)/25)*AA90+(1-EXP(-LN(2)/25))/(LN(2)/25)*Calculateur!V91*Calculateur!X91*VLOOKUP('Données projet'!$B$9,Paramètres!$A$1:$I$89,3,0)*0.475*44/12</f>
        <v>2.4940857989885701</v>
      </c>
      <c r="AB91" s="23">
        <f>EXP(-LN(2)/2)*AB90+(1-EXP(-LN(2)/2))/(LN(2)/2)*V91*Y91*VLOOKUP('Données projet'!$B$9,Paramètres!$A$1:$I$89,3,0)*0.475*44/12</f>
        <v>5.0100790947894175E-8</v>
      </c>
      <c r="AC91" s="24">
        <f t="shared" si="57"/>
        <v>3.1554852235065356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287.69656598881124</v>
      </c>
      <c r="AO91" s="62">
        <f t="shared" si="90"/>
        <v>221.9773436301067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1.2105647605912266</v>
      </c>
      <c r="AW91" s="23">
        <f>EXP(-LN(2)/2)*AW90+(1-EXP(-LN(2)/2))/(LN(2)/2)*AQ91*AT91*VLOOKUP('Données projet'!$B$10,Paramètres!$A$1:$I$89,3,0)*0.475*44/12</f>
        <v>2.6490719184921899E-8</v>
      </c>
      <c r="AX91" s="23">
        <f t="shared" si="60"/>
        <v>1.2105647870819458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17.5</v>
      </c>
      <c r="BD91" s="13">
        <f>IF('Données projet'!$A$88&gt;35,BD90+BC91-BL90,IF(A91&lt;'Données projet'!$A$88,$BA$205^A91,IF(A91='Données projet'!$A$88,'Données projet'!$B$88,BD90+BC91-BL90)))</f>
        <v>637.99999999999989</v>
      </c>
      <c r="BE91" s="14">
        <f>BD91*VLOOKUP('Données projet'!$B$11,Paramètres!$A$1:$I$89,3,0)*VLOOKUP('Données projet'!$B$11,Paramètres!$A$1:$I$89,5,0)</f>
        <v>298.58399999999995</v>
      </c>
      <c r="BF91" s="14">
        <f t="shared" si="91"/>
        <v>70.879533797607607</v>
      </c>
      <c r="BG91" s="22">
        <f t="shared" si="61"/>
        <v>643.48232136416652</v>
      </c>
      <c r="BH91" s="62">
        <f t="shared" si="62"/>
        <v>936.81565469749989</v>
      </c>
      <c r="BI91" s="62">
        <f ca="1">AVERAGE(OFFSET($BH$3,0,0,'Données projet'!$E$11+1,1))-AVERAGE(OFFSET($H$3,0,0,'Données projet'!$E$11+1,1))</f>
        <v>310.95287409903602</v>
      </c>
      <c r="BJ91" s="62">
        <f t="shared" si="92"/>
        <v>224.10083380795163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-5.6843418860808015E-14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-5.6843418860808015E-14</v>
      </c>
      <c r="O92" s="14">
        <f>N92*VLOOKUP('Données projet'!$B$9,Paramètres!$A$1:$I$89,3,0)*VLOOKUP('Données projet'!$B$9,Paramètres!$A$1:$I$89,5,0)</f>
        <v>-3.1036506698001178E-14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240.19940780300527</v>
      </c>
      <c r="T92" s="62">
        <f t="shared" si="88"/>
        <v>355.71054384071715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0.64842973609863819</v>
      </c>
      <c r="AA92" s="23">
        <f>EXP(-LN(2)/25)*AA91+(1-EXP(-LN(2)/25))/(LN(2)/25)*Calculateur!V92*Calculateur!X92*VLOOKUP('Données projet'!$B$9,Paramètres!$A$1:$I$89,3,0)*0.475*44/12</f>
        <v>2.4258848916569558</v>
      </c>
      <c r="AB92" s="23">
        <f>EXP(-LN(2)/2)*AB91+(1-EXP(-LN(2)/2))/(LN(2)/2)*V92*Y92*VLOOKUP('Données projet'!$B$9,Paramètres!$A$1:$I$89,3,0)*0.475*44/12</f>
        <v>3.5426609022065567E-8</v>
      </c>
      <c r="AC92" s="24">
        <f t="shared" si="57"/>
        <v>3.0743146631822031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287.69656598881124</v>
      </c>
      <c r="AO92" s="62">
        <f t="shared" si="90"/>
        <v>221.9773436301067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1.1774618035520257</v>
      </c>
      <c r="AW92" s="23">
        <f>EXP(-LN(2)/2)*AW91+(1-EXP(-LN(2)/2))/(LN(2)/2)*AQ92*AT92*VLOOKUP('Données projet'!$B$10,Paramètres!$A$1:$I$89,3,0)*0.475*44/12</f>
        <v>1.8731767174166846E-8</v>
      </c>
      <c r="AX92" s="23">
        <f t="shared" si="60"/>
        <v>1.1774618222837929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17.5</v>
      </c>
      <c r="BD92" s="13">
        <f>IF('Données projet'!$A$88&gt;35,BD91+BC92-BL91,IF(A92&lt;'Données projet'!$A$88,$BA$205^A92,IF(A92='Données projet'!$A$88,'Données projet'!$B$88,BD91+BC92-BL91)))</f>
        <v>655.49999999999989</v>
      </c>
      <c r="BE92" s="14">
        <f>BD92*VLOOKUP('Données projet'!$B$11,Paramètres!$A$1:$I$89,3,0)*VLOOKUP('Données projet'!$B$11,Paramètres!$A$1:$I$89,5,0)</f>
        <v>306.77399999999994</v>
      </c>
      <c r="BF92" s="14">
        <f t="shared" si="91"/>
        <v>72.594703343999058</v>
      </c>
      <c r="BG92" s="22">
        <f t="shared" si="61"/>
        <v>660.73382499079833</v>
      </c>
      <c r="BH92" s="62">
        <f t="shared" si="62"/>
        <v>954.0671583241317</v>
      </c>
      <c r="BI92" s="62">
        <f ca="1">AVERAGE(OFFSET($BH$3,0,0,'Données projet'!$E$11+1,1))-AVERAGE(OFFSET($H$3,0,0,'Données projet'!$E$11+1,1))</f>
        <v>310.95287409903602</v>
      </c>
      <c r="BJ92" s="62">
        <f t="shared" si="92"/>
        <v>224.10083380795163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-5.6843418860808015E-14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-5.6843418860808015E-14</v>
      </c>
      <c r="O93" s="14">
        <f>N93*VLOOKUP('Données projet'!$B$9,Paramètres!$A$1:$I$89,3,0)*VLOOKUP('Données projet'!$B$9,Paramètres!$A$1:$I$89,5,0)</f>
        <v>-3.1036506698001178E-14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240.19940780300527</v>
      </c>
      <c r="T93" s="62">
        <f t="shared" si="88"/>
        <v>355.71054384071715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0.63571442447683024</v>
      </c>
      <c r="AA93" s="23">
        <f>EXP(-LN(2)/25)*AA92+(1-EXP(-LN(2)/25))/(LN(2)/25)*Calculateur!V93*Calculateur!X93*VLOOKUP('Données projet'!$B$9,Paramètres!$A$1:$I$89,3,0)*0.475*44/12</f>
        <v>2.3595489417228541</v>
      </c>
      <c r="AB93" s="23">
        <f>EXP(-LN(2)/2)*AB92+(1-EXP(-LN(2)/2))/(LN(2)/2)*V93*Y93*VLOOKUP('Données projet'!$B$9,Paramètres!$A$1:$I$89,3,0)*0.475*44/12</f>
        <v>2.5050395473947088E-8</v>
      </c>
      <c r="AC93" s="24">
        <f t="shared" si="57"/>
        <v>2.9952633912500799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287.69656598881124</v>
      </c>
      <c r="AO93" s="62">
        <f t="shared" si="90"/>
        <v>221.9773436301067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1.1452640486138703</v>
      </c>
      <c r="AW93" s="23">
        <f>EXP(-LN(2)/2)*AW92+(1-EXP(-LN(2)/2))/(LN(2)/2)*AQ93*AT93*VLOOKUP('Données projet'!$B$10,Paramètres!$A$1:$I$89,3,0)*0.475*44/12</f>
        <v>1.3245359592460949E-8</v>
      </c>
      <c r="AX93" s="23">
        <f t="shared" si="60"/>
        <v>1.14526406185923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673</v>
      </c>
      <c r="BB93" s="13">
        <f>VLOOKUP(A93,'Données projet'!$A$87:$I$107,9,0)</f>
        <v>17.5</v>
      </c>
      <c r="BC93" s="13">
        <f t="array" ref="BC93">INDEX(BB:BB,MIN(IF(ISNUMBER(BB93:BB289),ROW(BB93:BB289),"")))</f>
        <v>17.5</v>
      </c>
      <c r="BD93" s="13">
        <f>IF('Données projet'!$A$88&gt;35,BD92+BC93-BL92,IF(A93&lt;'Données projet'!$A$88,$BA$205^A93,IF(A93='Données projet'!$A$88,'Données projet'!$B$88,BD92+BC93-BL92)))</f>
        <v>672.99999999999989</v>
      </c>
      <c r="BE93" s="14">
        <f>BD93*VLOOKUP('Données projet'!$B$11,Paramètres!$A$1:$I$89,3,0)*VLOOKUP('Données projet'!$B$11,Paramètres!$A$1:$I$89,5,0)</f>
        <v>314.96399999999994</v>
      </c>
      <c r="BF93" s="14">
        <f t="shared" si="91"/>
        <v>74.304550517616548</v>
      </c>
      <c r="BG93" s="22">
        <f t="shared" si="61"/>
        <v>677.97605881818208</v>
      </c>
      <c r="BH93" s="62">
        <f t="shared" si="62"/>
        <v>971.30939215151534</v>
      </c>
      <c r="BI93" s="62">
        <f ca="1">AVERAGE(OFFSET($BH$3,0,0,'Données projet'!$E$11+1,1))-AVERAGE(OFFSET($H$3,0,0,'Données projet'!$E$11+1,1))</f>
        <v>310.95287409903602</v>
      </c>
      <c r="BJ93" s="62">
        <f t="shared" si="92"/>
        <v>224.10083380795163</v>
      </c>
      <c r="BK93" s="16">
        <f>IF(ISNA(VLOOKUP(A93,'Données projet'!$A$87:$I$107,3,0)),0,VLOOKUP(A93,'Données projet'!$A$87:$I$107,3,0))</f>
        <v>8</v>
      </c>
      <c r="BL93" s="16">
        <f>IF(ISNA(VLOOKUP(A93,'Données projet'!$A$87:$I$107,4,0)),0,VLOOKUP(A93,'Données projet'!$A$87:$I$107,4,0))</f>
        <v>135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-5.6843418860808015E-14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-5.6843418860808015E-14</v>
      </c>
      <c r="O94" s="14">
        <f>N94*VLOOKUP('Données projet'!$B$9,Paramètres!$A$1:$I$89,3,0)*VLOOKUP('Données projet'!$B$9,Paramètres!$A$1:$I$89,5,0)</f>
        <v>-3.1036506698001178E-14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240.19940780300527</v>
      </c>
      <c r="T94" s="62">
        <f t="shared" si="88"/>
        <v>355.71054384071715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0.62324845236035165</v>
      </c>
      <c r="AA94" s="23">
        <f>EXP(-LN(2)/25)*AA93+(1-EXP(-LN(2)/25))/(LN(2)/25)*Calculateur!V94*Calculateur!X94*VLOOKUP('Données projet'!$B$9,Paramètres!$A$1:$I$89,3,0)*0.475*44/12</f>
        <v>2.2950269518281567</v>
      </c>
      <c r="AB94" s="23">
        <f>EXP(-LN(2)/2)*AB93+(1-EXP(-LN(2)/2))/(LN(2)/2)*V94*Y94*VLOOKUP('Données projet'!$B$9,Paramètres!$A$1:$I$89,3,0)*0.475*44/12</f>
        <v>1.7713304511032783E-8</v>
      </c>
      <c r="AC94" s="24">
        <f t="shared" si="57"/>
        <v>2.918275421901813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287.69656598881124</v>
      </c>
      <c r="AO94" s="62">
        <f t="shared" si="90"/>
        <v>221.9773436301067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1.1139467429777052</v>
      </c>
      <c r="AW94" s="23">
        <f>EXP(-LN(2)/2)*AW93+(1-EXP(-LN(2)/2))/(LN(2)/2)*AQ94*AT94*VLOOKUP('Données projet'!$B$10,Paramètres!$A$1:$I$89,3,0)*0.475*44/12</f>
        <v>9.3658835870834228E-9</v>
      </c>
      <c r="AX94" s="23">
        <f t="shared" si="60"/>
        <v>1.1139467523435889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18.5</v>
      </c>
      <c r="BD94" s="13">
        <f>IF('Données projet'!$A$88&gt;35,BD93+BC94-BL93,IF(A94&lt;'Données projet'!$A$88,$BA$205^A94,IF(A94='Données projet'!$A$88,'Données projet'!$B$88,BD93+BC94-BL93)))</f>
        <v>556.49999999999989</v>
      </c>
      <c r="BE94" s="14">
        <f>BD94*VLOOKUP('Données projet'!$B$11,Paramètres!$A$1:$I$89,3,0)*VLOOKUP('Données projet'!$B$11,Paramètres!$A$1:$I$89,5,0)</f>
        <v>260.44199999999995</v>
      </c>
      <c r="BF94" s="14">
        <f t="shared" si="91"/>
        <v>62.816585178645781</v>
      </c>
      <c r="BG94" s="22">
        <f t="shared" si="61"/>
        <v>563.00870251947458</v>
      </c>
      <c r="BH94" s="62">
        <f t="shared" si="62"/>
        <v>856.34203585280784</v>
      </c>
      <c r="BI94" s="62">
        <f ca="1">AVERAGE(OFFSET($BH$3,0,0,'Données projet'!$E$11+1,1))-AVERAGE(OFFSET($H$3,0,0,'Données projet'!$E$11+1,1))</f>
        <v>310.95287409903602</v>
      </c>
      <c r="BJ94" s="62">
        <f t="shared" si="92"/>
        <v>224.10083380795163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-5.6843418860808015E-14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-5.6843418860808015E-14</v>
      </c>
      <c r="O95" s="14">
        <f>N95*VLOOKUP('Données projet'!$B$9,Paramètres!$A$1:$I$89,3,0)*VLOOKUP('Données projet'!$B$9,Paramètres!$A$1:$I$89,5,0)</f>
        <v>-3.1036506698001178E-14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240.19940780300527</v>
      </c>
      <c r="T95" s="62">
        <f t="shared" si="88"/>
        <v>355.71054384071715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0.61102693035358502</v>
      </c>
      <c r="AA95" s="23">
        <f>EXP(-LN(2)/25)*AA94+(1-EXP(-LN(2)/25))/(LN(2)/25)*Calculateur!V95*Calculateur!X95*VLOOKUP('Données projet'!$B$9,Paramètres!$A$1:$I$89,3,0)*0.475*44/12</f>
        <v>2.2322693191401939</v>
      </c>
      <c r="AB95" s="23">
        <f>EXP(-LN(2)/2)*AB94+(1-EXP(-LN(2)/2))/(LN(2)/2)*V95*Y95*VLOOKUP('Données projet'!$B$9,Paramètres!$A$1:$I$89,3,0)*0.475*44/12</f>
        <v>1.2525197736973544E-8</v>
      </c>
      <c r="AC95" s="24">
        <f t="shared" si="57"/>
        <v>2.8432962620189768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287.69656598881124</v>
      </c>
      <c r="AO95" s="62">
        <f t="shared" si="90"/>
        <v>221.9773436301067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1.0834858107110665</v>
      </c>
      <c r="AW95" s="23">
        <f>EXP(-LN(2)/2)*AW94+(1-EXP(-LN(2)/2))/(LN(2)/2)*AQ95*AT95*VLOOKUP('Données projet'!$B$10,Paramètres!$A$1:$I$89,3,0)*0.475*44/12</f>
        <v>6.6226797962304747E-9</v>
      </c>
      <c r="AX95" s="23">
        <f t="shared" si="60"/>
        <v>1.0834858173337463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18.5</v>
      </c>
      <c r="BD95" s="13">
        <f>IF('Données projet'!$A$88&gt;35,BD94+BC95-BL94,IF(A95&lt;'Données projet'!$A$88,$BA$205^A95,IF(A95='Données projet'!$A$88,'Données projet'!$B$88,BD94+BC95-BL94)))</f>
        <v>574.99999999999989</v>
      </c>
      <c r="BE95" s="14">
        <f>BD95*VLOOKUP('Données projet'!$B$11,Paramètres!$A$1:$I$89,3,0)*VLOOKUP('Données projet'!$B$11,Paramètres!$A$1:$I$89,5,0)</f>
        <v>269.09999999999991</v>
      </c>
      <c r="BF95" s="14">
        <f t="shared" si="91"/>
        <v>64.658229472790993</v>
      </c>
      <c r="BG95" s="22">
        <f t="shared" si="61"/>
        <v>581.29558299844405</v>
      </c>
      <c r="BH95" s="62">
        <f t="shared" si="62"/>
        <v>874.62891633177742</v>
      </c>
      <c r="BI95" s="62">
        <f ca="1">AVERAGE(OFFSET($BH$3,0,0,'Données projet'!$E$11+1,1))-AVERAGE(OFFSET($H$3,0,0,'Données projet'!$E$11+1,1))</f>
        <v>310.95287409903602</v>
      </c>
      <c r="BJ95" s="62">
        <f t="shared" si="92"/>
        <v>224.10083380795163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-5.6843418860808015E-14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-5.6843418860808015E-14</v>
      </c>
      <c r="O96" s="14">
        <f>N96*VLOOKUP('Données projet'!$B$9,Paramètres!$A$1:$I$89,3,0)*VLOOKUP('Données projet'!$B$9,Paramètres!$A$1:$I$89,5,0)</f>
        <v>-3.1036506698001178E-14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240.19940780300527</v>
      </c>
      <c r="T96" s="62">
        <f t="shared" si="88"/>
        <v>355.71054384071715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0.59904506493897869</v>
      </c>
      <c r="AA96" s="23">
        <f>EXP(-LN(2)/25)*AA95+(1-EXP(-LN(2)/25))/(LN(2)/25)*Calculateur!V96*Calculateur!X96*VLOOKUP('Données projet'!$B$9,Paramètres!$A$1:$I$89,3,0)*0.475*44/12</f>
        <v>2.1712277972183638</v>
      </c>
      <c r="AB96" s="23">
        <f>EXP(-LN(2)/2)*AB95+(1-EXP(-LN(2)/2))/(LN(2)/2)*V96*Y96*VLOOKUP('Données projet'!$B$9,Paramètres!$A$1:$I$89,3,0)*0.475*44/12</f>
        <v>8.8566522555163917E-9</v>
      </c>
      <c r="AC96" s="24">
        <f t="shared" si="57"/>
        <v>2.7702728710139946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287.69656598881124</v>
      </c>
      <c r="AO96" s="62">
        <f t="shared" si="90"/>
        <v>221.9773436301067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1.05385783423913</v>
      </c>
      <c r="AW96" s="23">
        <f>EXP(-LN(2)/2)*AW95+(1-EXP(-LN(2)/2))/(LN(2)/2)*AQ96*AT96*VLOOKUP('Données projet'!$B$10,Paramètres!$A$1:$I$89,3,0)*0.475*44/12</f>
        <v>4.6829417935417114E-9</v>
      </c>
      <c r="AX96" s="23">
        <f t="shared" si="60"/>
        <v>1.0538578389220719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18.5</v>
      </c>
      <c r="BD96" s="13">
        <f>IF('Données projet'!$A$88&gt;35,BD95+BC96-BL95,IF(A96&lt;'Données projet'!$A$88,$BA$205^A96,IF(A96='Données projet'!$A$88,'Données projet'!$B$88,BD95+BC96-BL95)))</f>
        <v>593.49999999999989</v>
      </c>
      <c r="BE96" s="14">
        <f>BD96*VLOOKUP('Données projet'!$B$11,Paramètres!$A$1:$I$89,3,0)*VLOOKUP('Données projet'!$B$11,Paramètres!$A$1:$I$89,5,0)</f>
        <v>277.75799999999992</v>
      </c>
      <c r="BF96" s="14">
        <f t="shared" si="91"/>
        <v>66.492988372715388</v>
      </c>
      <c r="BG96" s="22">
        <f t="shared" si="61"/>
        <v>599.57047141581245</v>
      </c>
      <c r="BH96" s="62">
        <f t="shared" si="62"/>
        <v>892.90380474914582</v>
      </c>
      <c r="BI96" s="62">
        <f ca="1">AVERAGE(OFFSET($BH$3,0,0,'Données projet'!$E$11+1,1))-AVERAGE(OFFSET($H$3,0,0,'Données projet'!$E$11+1,1))</f>
        <v>310.95287409903602</v>
      </c>
      <c r="BJ96" s="62">
        <f t="shared" si="92"/>
        <v>224.10083380795163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-5.6843418860808015E-14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-5.6843418860808015E-14</v>
      </c>
      <c r="O97" s="14">
        <f>N97*VLOOKUP('Données projet'!$B$9,Paramètres!$A$1:$I$89,3,0)*VLOOKUP('Données projet'!$B$9,Paramètres!$A$1:$I$89,5,0)</f>
        <v>-3.1036506698001178E-14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240.19940780300527</v>
      </c>
      <c r="T97" s="62">
        <f t="shared" si="88"/>
        <v>355.71054384071715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0.58729815659693652</v>
      </c>
      <c r="AA97" s="23">
        <f>EXP(-LN(2)/25)*AA96+(1-EXP(-LN(2)/25))/(LN(2)/25)*Calculateur!V97*Calculateur!X97*VLOOKUP('Données projet'!$B$9,Paramètres!$A$1:$I$89,3,0)*0.475*44/12</f>
        <v>2.1118554589235203</v>
      </c>
      <c r="AB97" s="23">
        <f>EXP(-LN(2)/2)*AB96+(1-EXP(-LN(2)/2))/(LN(2)/2)*V97*Y97*VLOOKUP('Données projet'!$B$9,Paramètres!$A$1:$I$89,3,0)*0.475*44/12</f>
        <v>6.2625988684867719E-9</v>
      </c>
      <c r="AC97" s="24">
        <f t="shared" si="57"/>
        <v>2.6991536217830556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287.69656598881124</v>
      </c>
      <c r="AO97" s="62">
        <f t="shared" si="90"/>
        <v>221.9773436301067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1.0250400363418861</v>
      </c>
      <c r="AW97" s="23">
        <f>EXP(-LN(2)/2)*AW96+(1-EXP(-LN(2)/2))/(LN(2)/2)*AQ97*AT97*VLOOKUP('Données projet'!$B$10,Paramètres!$A$1:$I$89,3,0)*0.475*44/12</f>
        <v>3.3113398981152374E-9</v>
      </c>
      <c r="AX97" s="23">
        <f t="shared" si="60"/>
        <v>1.025040039653226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18.5</v>
      </c>
      <c r="BD97" s="13">
        <f>IF('Données projet'!$A$88&gt;35,BD96+BC97-BL96,IF(A97&lt;'Données projet'!$A$88,$BA$205^A97,IF(A97='Données projet'!$A$88,'Données projet'!$B$88,BD96+BC97-BL96)))</f>
        <v>611.99999999999989</v>
      </c>
      <c r="BE97" s="14">
        <f>BD97*VLOOKUP('Données projet'!$B$11,Paramètres!$A$1:$I$89,3,0)*VLOOKUP('Données projet'!$B$11,Paramètres!$A$1:$I$89,5,0)</f>
        <v>286.41599999999994</v>
      </c>
      <c r="BF97" s="14">
        <f t="shared" si="91"/>
        <v>68.321101129951188</v>
      </c>
      <c r="BG97" s="22">
        <f t="shared" si="61"/>
        <v>617.83378446799827</v>
      </c>
      <c r="BH97" s="62">
        <f t="shared" si="62"/>
        <v>911.16711780133164</v>
      </c>
      <c r="BI97" s="62">
        <f ca="1">AVERAGE(OFFSET($BH$3,0,0,'Données projet'!$E$11+1,1))-AVERAGE(OFFSET($H$3,0,0,'Données projet'!$E$11+1,1))</f>
        <v>310.95287409903602</v>
      </c>
      <c r="BJ97" s="62">
        <f t="shared" si="92"/>
        <v>224.10083380795163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-5.6843418860808015E-14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-5.6843418860808015E-14</v>
      </c>
      <c r="O98" s="14">
        <f>N98*VLOOKUP('Données projet'!$B$9,Paramètres!$A$1:$I$89,3,0)*VLOOKUP('Données projet'!$B$9,Paramètres!$A$1:$I$89,5,0)</f>
        <v>-3.1036506698001178E-14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240.19940780300527</v>
      </c>
      <c r="T98" s="62">
        <f t="shared" si="88"/>
        <v>355.71054384071715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0.57578159796257522</v>
      </c>
      <c r="AA98" s="23">
        <f>EXP(-LN(2)/25)*AA97+(1-EXP(-LN(2)/25))/(LN(2)/25)*Calculateur!V98*Calculateur!X98*VLOOKUP('Données projet'!$B$9,Paramètres!$A$1:$I$89,3,0)*0.475*44/12</f>
        <v>2.0541066603416049</v>
      </c>
      <c r="AB98" s="23">
        <f>EXP(-LN(2)/2)*AB97+(1-EXP(-LN(2)/2))/(LN(2)/2)*V98*Y98*VLOOKUP('Données projet'!$B$9,Paramètres!$A$1:$I$89,3,0)*0.475*44/12</f>
        <v>4.4283261277581959E-9</v>
      </c>
      <c r="AC98" s="24">
        <f t="shared" si="57"/>
        <v>2.6298882627325062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287.69656598881124</v>
      </c>
      <c r="AO98" s="62">
        <f t="shared" si="90"/>
        <v>221.9773436301067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0.99701026264360448</v>
      </c>
      <c r="AW98" s="23">
        <f>EXP(-LN(2)/2)*AW97+(1-EXP(-LN(2)/2))/(LN(2)/2)*AQ98*AT98*VLOOKUP('Données projet'!$B$10,Paramètres!$A$1:$I$89,3,0)*0.475*44/12</f>
        <v>2.3414708967708557E-9</v>
      </c>
      <c r="AX98" s="23">
        <f t="shared" si="60"/>
        <v>0.99701026498507539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18.5</v>
      </c>
      <c r="BD98" s="13">
        <f>IF('Données projet'!$A$88&gt;35,BD97+BC98-BL97,IF(A98&lt;'Données projet'!$A$88,$BA$205^A98,IF(A98='Données projet'!$A$88,'Données projet'!$B$88,BD97+BC98-BL97)))</f>
        <v>630.49999999999989</v>
      </c>
      <c r="BE98" s="14">
        <f>BD98*VLOOKUP('Données projet'!$B$11,Paramètres!$A$1:$I$89,3,0)*VLOOKUP('Données projet'!$B$11,Paramètres!$A$1:$I$89,5,0)</f>
        <v>295.07399999999996</v>
      </c>
      <c r="BF98" s="14">
        <f t="shared" si="91"/>
        <v>70.142791709481173</v>
      </c>
      <c r="BG98" s="22">
        <f t="shared" si="61"/>
        <v>636.08591222734628</v>
      </c>
      <c r="BH98" s="62">
        <f t="shared" si="62"/>
        <v>929.41924556067966</v>
      </c>
      <c r="BI98" s="62">
        <f ca="1">AVERAGE(OFFSET($BH$3,0,0,'Données projet'!$E$11+1,1))-AVERAGE(OFFSET($H$3,0,0,'Données projet'!$E$11+1,1))</f>
        <v>310.95287409903602</v>
      </c>
      <c r="BJ98" s="62">
        <f t="shared" si="92"/>
        <v>224.10083380795163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-5.6843418860808015E-14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-5.6843418860808015E-14</v>
      </c>
      <c r="O99" s="14">
        <f>N99*VLOOKUP('Données projet'!$B$9,Paramètres!$A$1:$I$89,3,0)*VLOOKUP('Données projet'!$B$9,Paramètres!$A$1:$I$89,5,0)</f>
        <v>-3.1036506698001178E-14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240.19940780300527</v>
      </c>
      <c r="T99" s="62">
        <f t="shared" si="88"/>
        <v>355.71054384071715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0.56449087201862658</v>
      </c>
      <c r="AA99" s="23">
        <f>EXP(-LN(2)/25)*AA98+(1-EXP(-LN(2)/25))/(LN(2)/25)*Calculateur!V99*Calculateur!X99*VLOOKUP('Données projet'!$B$9,Paramètres!$A$1:$I$89,3,0)*0.475*44/12</f>
        <v>1.9979370056937893</v>
      </c>
      <c r="AB99" s="23">
        <f>EXP(-LN(2)/2)*AB98+(1-EXP(-LN(2)/2))/(LN(2)/2)*V99*Y99*VLOOKUP('Données projet'!$B$9,Paramètres!$A$1:$I$89,3,0)*0.475*44/12</f>
        <v>3.131299434243386E-9</v>
      </c>
      <c r="AC99" s="24">
        <f t="shared" si="57"/>
        <v>2.5624278808437153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287.69656598881124</v>
      </c>
      <c r="AO99" s="62">
        <f t="shared" si="90"/>
        <v>221.9773436301067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0.96974696458112408</v>
      </c>
      <c r="AW99" s="23">
        <f>EXP(-LN(2)/2)*AW98+(1-EXP(-LN(2)/2))/(LN(2)/2)*AQ99*AT99*VLOOKUP('Données projet'!$B$10,Paramètres!$A$1:$I$89,3,0)*0.475*44/12</f>
        <v>1.6556699490576187E-9</v>
      </c>
      <c r="AX99" s="23">
        <f t="shared" si="60"/>
        <v>0.96974696623679402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18.5</v>
      </c>
      <c r="BD99" s="13">
        <f>IF('Données projet'!$A$88&gt;35,BD98+BC99-BL98,IF(A99&lt;'Données projet'!$A$88,$BA$205^A99,IF(A99='Données projet'!$A$88,'Données projet'!$B$88,BD98+BC99-BL98)))</f>
        <v>648.99999999999989</v>
      </c>
      <c r="BE99" s="14">
        <f>BD99*VLOOKUP('Données projet'!$B$11,Paramètres!$A$1:$I$89,3,0)*VLOOKUP('Données projet'!$B$11,Paramètres!$A$1:$I$89,5,0)</f>
        <v>303.73199999999997</v>
      </c>
      <c r="BF99" s="14">
        <f t="shared" si="91"/>
        <v>71.958270185981476</v>
      </c>
      <c r="BG99" s="22">
        <f t="shared" si="61"/>
        <v>654.32722057391766</v>
      </c>
      <c r="BH99" s="62">
        <f t="shared" si="62"/>
        <v>947.66055390725091</v>
      </c>
      <c r="BI99" s="62">
        <f ca="1">AVERAGE(OFFSET($BH$3,0,0,'Données projet'!$E$11+1,1))-AVERAGE(OFFSET($H$3,0,0,'Données projet'!$E$11+1,1))</f>
        <v>310.95287409903602</v>
      </c>
      <c r="BJ99" s="62">
        <f t="shared" si="92"/>
        <v>224.10083380795163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-5.6843418860808015E-14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-5.6843418860808015E-14</v>
      </c>
      <c r="O100" s="14">
        <f>N100*VLOOKUP('Données projet'!$B$9,Paramètres!$A$1:$I$89,3,0)*VLOOKUP('Données projet'!$B$9,Paramètres!$A$1:$I$89,5,0)</f>
        <v>-3.1036506698001178E-14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240.19940780300527</v>
      </c>
      <c r="T100" s="62">
        <f t="shared" si="88"/>
        <v>355.71054384071715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0.55342155032377593</v>
      </c>
      <c r="AA100" s="23">
        <f>EXP(-LN(2)/25)*AA99+(1-EXP(-LN(2)/25))/(LN(2)/25)*Calculateur!V100*Calculateur!X100*VLOOKUP('Données projet'!$B$9,Paramètres!$A$1:$I$89,3,0)*0.475*44/12</f>
        <v>1.9433033132061519</v>
      </c>
      <c r="AB100" s="23">
        <f>EXP(-LN(2)/2)*AB99+(1-EXP(-LN(2)/2))/(LN(2)/2)*V100*Y100*VLOOKUP('Données projet'!$B$9,Paramètres!$A$1:$I$89,3,0)*0.475*44/12</f>
        <v>2.2141630638790979E-9</v>
      </c>
      <c r="AC100" s="24">
        <f t="shared" si="57"/>
        <v>2.496724865744091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287.69656598881124</v>
      </c>
      <c r="AO100" s="62">
        <f t="shared" si="90"/>
        <v>221.9773436301067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0.94322918283787671</v>
      </c>
      <c r="AW100" s="23">
        <f>EXP(-LN(2)/2)*AW99+(1-EXP(-LN(2)/2))/(LN(2)/2)*AQ100*AT100*VLOOKUP('Données projet'!$B$10,Paramètres!$A$1:$I$89,3,0)*0.475*44/12</f>
        <v>1.1707354483854278E-9</v>
      </c>
      <c r="AX100" s="23">
        <f t="shared" si="60"/>
        <v>0.94322918400861211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18.5</v>
      </c>
      <c r="BD100" s="13">
        <f>IF('Données projet'!$A$88&gt;35,BD99+BC100-BL99,IF(A100&lt;'Données projet'!$A$88,$BA$205^A100,IF(A100='Données projet'!$A$88,'Données projet'!$B$88,BD99+BC100-BL99)))</f>
        <v>667.49999999999989</v>
      </c>
      <c r="BE100" s="14">
        <f>BD100*VLOOKUP('Données projet'!$B$11,Paramètres!$A$1:$I$89,3,0)*VLOOKUP('Données projet'!$B$11,Paramètres!$A$1:$I$89,5,0)</f>
        <v>312.38999999999993</v>
      </c>
      <c r="BF100" s="14">
        <f t="shared" si="91"/>
        <v>73.767733976388286</v>
      </c>
      <c r="BG100" s="22">
        <f t="shared" si="61"/>
        <v>672.55805334220952</v>
      </c>
      <c r="BH100" s="62">
        <f t="shared" si="62"/>
        <v>965.89138667554289</v>
      </c>
      <c r="BI100" s="62">
        <f ca="1">AVERAGE(OFFSET($BH$3,0,0,'Données projet'!$E$11+1,1))-AVERAGE(OFFSET($H$3,0,0,'Données projet'!$E$11+1,1))</f>
        <v>310.95287409903602</v>
      </c>
      <c r="BJ100" s="62">
        <f t="shared" si="92"/>
        <v>224.10083380795163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-5.6843418860808015E-14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-5.6843418860808015E-14</v>
      </c>
      <c r="O101" s="14">
        <f>N101*VLOOKUP('Données projet'!$B$9,Paramètres!$A$1:$I$89,3,0)*VLOOKUP('Données projet'!$B$9,Paramètres!$A$1:$I$89,5,0)</f>
        <v>-3.1036506698001178E-14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240.19940780300527</v>
      </c>
      <c r="T101" s="62">
        <f t="shared" si="88"/>
        <v>355.71054384071715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0.54256929127574172</v>
      </c>
      <c r="AA101" s="23">
        <f>EXP(-LN(2)/25)*AA100+(1-EXP(-LN(2)/25))/(LN(2)/25)*Calculateur!V101*Calculateur!X101*VLOOKUP('Données projet'!$B$9,Paramètres!$A$1:$I$89,3,0)*0.475*44/12</f>
        <v>1.8901635819126499</v>
      </c>
      <c r="AB101" s="23">
        <f>EXP(-LN(2)/2)*AB100+(1-EXP(-LN(2)/2))/(LN(2)/2)*V101*Y101*VLOOKUP('Données projet'!$B$9,Paramètres!$A$1:$I$89,3,0)*0.475*44/12</f>
        <v>1.565649717121693E-9</v>
      </c>
      <c r="AC101" s="24">
        <f t="shared" si="57"/>
        <v>2.4327328747540413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287.69656598881124</v>
      </c>
      <c r="AO101" s="62">
        <f t="shared" si="90"/>
        <v>221.9773436301067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0.91743653123090807</v>
      </c>
      <c r="AW101" s="23">
        <f>EXP(-LN(2)/2)*AW100+(1-EXP(-LN(2)/2))/(LN(2)/2)*AQ101*AT101*VLOOKUP('Données projet'!$B$10,Paramètres!$A$1:$I$89,3,0)*0.475*44/12</f>
        <v>8.2783497452880934E-10</v>
      </c>
      <c r="AX101" s="23">
        <f t="shared" si="60"/>
        <v>0.91743653205874309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18.5</v>
      </c>
      <c r="BD101" s="13">
        <f>IF('Données projet'!$A$88&gt;35,BD100+BC101-BL100,IF(A101&lt;'Données projet'!$A$88,$BA$205^A101,IF(A101='Données projet'!$A$88,'Données projet'!$B$88,BD100+BC101-BL100)))</f>
        <v>685.99999999999989</v>
      </c>
      <c r="BE101" s="14">
        <f>BD101*VLOOKUP('Données projet'!$B$11,Paramètres!$A$1:$I$89,3,0)*VLOOKUP('Données projet'!$B$11,Paramètres!$A$1:$I$89,5,0)</f>
        <v>321.04799999999994</v>
      </c>
      <c r="BF101" s="14">
        <f t="shared" si="91"/>
        <v>75.571368931978697</v>
      </c>
      <c r="BG101" s="22">
        <f t="shared" si="61"/>
        <v>690.77873422319624</v>
      </c>
      <c r="BH101" s="62">
        <f t="shared" si="62"/>
        <v>984.11206755652961</v>
      </c>
      <c r="BI101" s="62">
        <f ca="1">AVERAGE(OFFSET($BH$3,0,0,'Données projet'!$E$11+1,1))-AVERAGE(OFFSET($H$3,0,0,'Données projet'!$E$11+1,1))</f>
        <v>310.95287409903602</v>
      </c>
      <c r="BJ101" s="62">
        <f t="shared" si="92"/>
        <v>224.10083380795163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-5.6843418860808015E-14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-5.6843418860808015E-14</v>
      </c>
      <c r="O102" s="14">
        <f>N102*VLOOKUP('Données projet'!$B$9,Paramètres!$A$1:$I$89,3,0)*VLOOKUP('Données projet'!$B$9,Paramètres!$A$1:$I$89,5,0)</f>
        <v>-3.1036506698001178E-14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240.19940780300527</v>
      </c>
      <c r="T102" s="62">
        <f t="shared" si="88"/>
        <v>355.71054384071715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0.53192983840841501</v>
      </c>
      <c r="AA102" s="23">
        <f>EXP(-LN(2)/25)*AA101+(1-EXP(-LN(2)/25))/(LN(2)/25)*Calculateur!V102*Calculateur!X102*VLOOKUP('Données projet'!$B$9,Paramètres!$A$1:$I$89,3,0)*0.475*44/12</f>
        <v>1.8384769593658656</v>
      </c>
      <c r="AB102" s="23">
        <f>EXP(-LN(2)/2)*AB101+(1-EXP(-LN(2)/2))/(LN(2)/2)*V102*Y102*VLOOKUP('Données projet'!$B$9,Paramètres!$A$1:$I$89,3,0)*0.475*44/12</f>
        <v>1.107081531939549E-9</v>
      </c>
      <c r="AC102" s="24">
        <f t="shared" si="57"/>
        <v>2.370406798881362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287.69656598881124</v>
      </c>
      <c r="AO102" s="62">
        <f t="shared" si="90"/>
        <v>221.9773436301067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0.89234918103850858</v>
      </c>
      <c r="AW102" s="23">
        <f>EXP(-LN(2)/2)*AW101+(1-EXP(-LN(2)/2))/(LN(2)/2)*AQ102*AT102*VLOOKUP('Données projet'!$B$10,Paramètres!$A$1:$I$89,3,0)*0.475*44/12</f>
        <v>5.8536772419271392E-10</v>
      </c>
      <c r="AX102" s="23">
        <f t="shared" si="60"/>
        <v>0.89234918162387633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18.5</v>
      </c>
      <c r="BD102" s="13">
        <f>IF('Données projet'!$A$88&gt;35,BD101+BC102-BL101,IF(A102&lt;'Données projet'!$A$88,$BA$205^A102,IF(A102='Données projet'!$A$88,'Données projet'!$B$88,BD101+BC102-BL101)))</f>
        <v>704.49999999999989</v>
      </c>
      <c r="BE102" s="14">
        <f>BD102*VLOOKUP('Données projet'!$B$11,Paramètres!$A$1:$I$89,3,0)*VLOOKUP('Données projet'!$B$11,Paramètres!$A$1:$I$89,5,0)</f>
        <v>329.70599999999996</v>
      </c>
      <c r="BF102" s="14">
        <f t="shared" si="91"/>
        <v>77.369350309333612</v>
      </c>
      <c r="BG102" s="22">
        <f t="shared" si="61"/>
        <v>708.98956845542261</v>
      </c>
      <c r="BH102" s="62">
        <f t="shared" si="62"/>
        <v>1002.3229017887559</v>
      </c>
      <c r="BI102" s="62">
        <f ca="1">AVERAGE(OFFSET($BH$3,0,0,'Données projet'!$E$11+1,1))-AVERAGE(OFFSET($H$3,0,0,'Données projet'!$E$11+1,1))</f>
        <v>310.95287409903602</v>
      </c>
      <c r="BJ102" s="62">
        <f t="shared" si="92"/>
        <v>224.10083380795163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-5.6843418860808015E-14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-5.6843418860808015E-14</v>
      </c>
      <c r="O103" s="14">
        <f>N103*VLOOKUP('Données projet'!$B$9,Paramètres!$A$1:$I$89,3,0)*VLOOKUP('Données projet'!$B$9,Paramètres!$A$1:$I$89,5,0)</f>
        <v>-3.1036506698001178E-14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240.19940780300527</v>
      </c>
      <c r="T103" s="62">
        <f t="shared" si="88"/>
        <v>355.71054384071715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0.52149901872239113</v>
      </c>
      <c r="AA103" s="23">
        <f>EXP(-LN(2)/25)*AA102+(1-EXP(-LN(2)/25))/(LN(2)/25)*Calculateur!V103*Calculateur!X103*VLOOKUP('Données projet'!$B$9,Paramètres!$A$1:$I$89,3,0)*0.475*44/12</f>
        <v>1.7882037102307047</v>
      </c>
      <c r="AB103" s="23">
        <f>EXP(-LN(2)/2)*AB102+(1-EXP(-LN(2)/2))/(LN(2)/2)*V103*Y103*VLOOKUP('Données projet'!$B$9,Paramètres!$A$1:$I$89,3,0)*0.475*44/12</f>
        <v>7.8282485856084649E-10</v>
      </c>
      <c r="AC103" s="24">
        <f t="shared" si="57"/>
        <v>2.3097027297359207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287.69656598881124</v>
      </c>
      <c r="AO103" s="62">
        <f t="shared" si="90"/>
        <v>221.9773436301067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0.8679478457564066</v>
      </c>
      <c r="AW103" s="23">
        <f>EXP(-LN(2)/2)*AW102+(1-EXP(-LN(2)/2))/(LN(2)/2)*AQ103*AT103*VLOOKUP('Données projet'!$B$10,Paramètres!$A$1:$I$89,3,0)*0.475*44/12</f>
        <v>4.1391748726440467E-10</v>
      </c>
      <c r="AX103" s="23">
        <f t="shared" si="60"/>
        <v>0.86794784617032406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723</v>
      </c>
      <c r="BB103" s="13">
        <f>VLOOKUP(A103,'Données projet'!$A$87:$I$107,9,0)</f>
        <v>18.5</v>
      </c>
      <c r="BC103" s="13">
        <f t="array" ref="BC103">INDEX(BB:BB,MIN(IF(ISNUMBER(BB103:BB299),ROW(BB103:BB299),"")))</f>
        <v>18.5</v>
      </c>
      <c r="BD103" s="13">
        <f>IF('Données projet'!$A$88&gt;35,BD102+BC103-BL102,IF(A103&lt;'Données projet'!$A$88,$BA$205^A103,IF(A103='Données projet'!$A$88,'Données projet'!$B$88,BD102+BC103-BL102)))</f>
        <v>722.99999999999989</v>
      </c>
      <c r="BE103" s="14">
        <f>BD103*VLOOKUP('Données projet'!$B$11,Paramètres!$A$1:$I$89,3,0)*VLOOKUP('Données projet'!$B$11,Paramètres!$A$1:$I$89,5,0)</f>
        <v>338.36399999999998</v>
      </c>
      <c r="BF103" s="14">
        <f t="shared" si="91"/>
        <v>79.161843636443024</v>
      </c>
      <c r="BG103" s="22">
        <f t="shared" si="61"/>
        <v>727.19084433347155</v>
      </c>
      <c r="BH103" s="62">
        <f t="shared" si="62"/>
        <v>1020.5241776668049</v>
      </c>
      <c r="BI103" s="62">
        <f ca="1">AVERAGE(OFFSET($BH$3,0,0,'Données projet'!$E$11+1,1))-AVERAGE(OFFSET($H$3,0,0,'Données projet'!$E$11+1,1))</f>
        <v>310.95287409903602</v>
      </c>
      <c r="BJ103" s="62">
        <f t="shared" si="92"/>
        <v>224.10083380795163</v>
      </c>
      <c r="BK103" s="16">
        <f>IF(ISNA(VLOOKUP(A103,'Données projet'!$A$87:$I$107,3,0)),0,VLOOKUP(A103,'Données projet'!$A$87:$I$107,3,0))</f>
        <v>9</v>
      </c>
      <c r="BL103" s="16">
        <f>IF(ISNA(VLOOKUP(A103,'Données projet'!$A$87:$I$107,4,0)),0,VLOOKUP(A103,'Données projet'!$A$87:$I$107,4,0))</f>
        <v>723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-5.6843418860808015E-14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-5.6843418860808015E-14</v>
      </c>
      <c r="O104" s="14">
        <f>N104*VLOOKUP('Données projet'!$B$9,Paramètres!$A$1:$I$89,3,0)*VLOOKUP('Données projet'!$B$9,Paramètres!$A$1:$I$89,5,0)</f>
        <v>-3.1036506698001178E-14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240.19940780300527</v>
      </c>
      <c r="T104" s="62">
        <f t="shared" si="88"/>
        <v>355.71054384071715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0.51127274104823839</v>
      </c>
      <c r="AA104" s="23">
        <f>EXP(-LN(2)/25)*AA103+(1-EXP(-LN(2)/25))/(LN(2)/25)*Calculateur!V104*Calculateur!X104*VLOOKUP('Données projet'!$B$9,Paramètres!$A$1:$I$89,3,0)*0.475*44/12</f>
        <v>1.7393051857369</v>
      </c>
      <c r="AB104" s="23">
        <f>EXP(-LN(2)/2)*AB103+(1-EXP(-LN(2)/2))/(LN(2)/2)*V104*Y104*VLOOKUP('Données projet'!$B$9,Paramètres!$A$1:$I$89,3,0)*0.475*44/12</f>
        <v>5.5354076596977448E-10</v>
      </c>
      <c r="AC104" s="24">
        <f t="shared" si="57"/>
        <v>2.250577927338679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287.69656598881124</v>
      </c>
      <c r="AO104" s="62">
        <f t="shared" si="90"/>
        <v>221.9773436301067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0.84421376627080413</v>
      </c>
      <c r="AW104" s="23">
        <f>EXP(-LN(2)/2)*AW103+(1-EXP(-LN(2)/2))/(LN(2)/2)*AQ104*AT104*VLOOKUP('Données projet'!$B$10,Paramètres!$A$1:$I$89,3,0)*0.475*44/12</f>
        <v>2.9268386209635696E-10</v>
      </c>
      <c r="AX104" s="23">
        <f t="shared" si="60"/>
        <v>0.84421376656348801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projet'!$B$11,Paramètres!$A$1:$I$89,3,0)*VLOOKUP('Données projet'!$B$11,Paramètres!$A$1:$I$89,5,0)</f>
        <v>-5.3205440053716299E-14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310.95287409903602</v>
      </c>
      <c r="BJ104" s="62">
        <f t="shared" si="92"/>
        <v>224.10083380795163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-5.6843418860808015E-14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-5.6843418860808015E-14</v>
      </c>
      <c r="O105" s="14">
        <f>N105*VLOOKUP('Données projet'!$B$9,Paramètres!$A$1:$I$89,3,0)*VLOOKUP('Données projet'!$B$9,Paramètres!$A$1:$I$89,5,0)</f>
        <v>-3.1036506698001178E-14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240.19940780300527</v>
      </c>
      <c r="T105" s="62">
        <f t="shared" si="88"/>
        <v>355.71054384071715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0.50124699444186227</v>
      </c>
      <c r="AA105" s="23">
        <f>EXP(-LN(2)/25)*AA104+(1-EXP(-LN(2)/25))/(LN(2)/25)*Calculateur!V105*Calculateur!X105*VLOOKUP('Données projet'!$B$9,Paramètres!$A$1:$I$89,3,0)*0.475*44/12</f>
        <v>1.69174379396684</v>
      </c>
      <c r="AB105" s="23">
        <f>EXP(-LN(2)/2)*AB104+(1-EXP(-LN(2)/2))/(LN(2)/2)*V105*Y105*VLOOKUP('Données projet'!$B$9,Paramètres!$A$1:$I$89,3,0)*0.475*44/12</f>
        <v>3.9141242928042324E-10</v>
      </c>
      <c r="AC105" s="24">
        <f t="shared" si="57"/>
        <v>2.1929907888001146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287.69656598881124</v>
      </c>
      <c r="AO105" s="62">
        <f t="shared" si="90"/>
        <v>221.9773436301067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0.82112869643685649</v>
      </c>
      <c r="AW105" s="23">
        <f>EXP(-LN(2)/2)*AW104+(1-EXP(-LN(2)/2))/(LN(2)/2)*AQ105*AT105*VLOOKUP('Données projet'!$B$10,Paramètres!$A$1:$I$89,3,0)*0.475*44/12</f>
        <v>2.0695874363220234E-10</v>
      </c>
      <c r="AX105" s="23">
        <f t="shared" si="60"/>
        <v>0.82112869664381527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projet'!$B$11,Paramètres!$A$1:$I$89,3,0)*VLOOKUP('Données projet'!$B$11,Paramètres!$A$1:$I$89,5,0)</f>
        <v>-5.3205440053716299E-14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310.95287409903602</v>
      </c>
      <c r="BJ105" s="62">
        <f t="shared" si="92"/>
        <v>224.10083380795163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-5.6843418860808015E-14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-5.6843418860808015E-14</v>
      </c>
      <c r="O106" s="14">
        <f>N106*VLOOKUP('Données projet'!$B$9,Paramètres!$A$1:$I$89,3,0)*VLOOKUP('Données projet'!$B$9,Paramètres!$A$1:$I$89,5,0)</f>
        <v>-3.1036506698001178E-14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240.19940780300527</v>
      </c>
      <c r="T106" s="62">
        <f t="shared" si="88"/>
        <v>355.71054384071715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0.49141784661133558</v>
      </c>
      <c r="AA106" s="23">
        <f>EXP(-LN(2)/25)*AA105+(1-EXP(-LN(2)/25))/(LN(2)/25)*Calculateur!V106*Calculateur!X106*VLOOKUP('Données projet'!$B$9,Paramètres!$A$1:$I$89,3,0)*0.475*44/12</f>
        <v>1.6454829709558771</v>
      </c>
      <c r="AB106" s="23">
        <f>EXP(-LN(2)/2)*AB105+(1-EXP(-LN(2)/2))/(LN(2)/2)*V106*Y106*VLOOKUP('Données projet'!$B$9,Paramètres!$A$1:$I$89,3,0)*0.475*44/12</f>
        <v>2.7677038298488724E-10</v>
      </c>
      <c r="AC106" s="24">
        <f t="shared" si="57"/>
        <v>2.136900817843983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287.69656598881124</v>
      </c>
      <c r="AO106" s="62">
        <f t="shared" si="90"/>
        <v>221.9773436301067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0.79867488905150918</v>
      </c>
      <c r="AW106" s="23">
        <f>EXP(-LN(2)/2)*AW105+(1-EXP(-LN(2)/2))/(LN(2)/2)*AQ106*AT106*VLOOKUP('Données projet'!$B$10,Paramètres!$A$1:$I$89,3,0)*0.475*44/12</f>
        <v>1.4634193104817848E-10</v>
      </c>
      <c r="AX106" s="23">
        <f t="shared" si="60"/>
        <v>0.79867488919785112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projet'!$B$11,Paramètres!$A$1:$I$89,3,0)*VLOOKUP('Données projet'!$B$11,Paramètres!$A$1:$I$89,5,0)</f>
        <v>-5.3205440053716299E-14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310.95287409903602</v>
      </c>
      <c r="BJ106" s="62">
        <f t="shared" si="92"/>
        <v>224.10083380795163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-5.6843418860808015E-14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-5.6843418860808015E-14</v>
      </c>
      <c r="O107" s="14">
        <f>N107*VLOOKUP('Données projet'!$B$9,Paramètres!$A$1:$I$89,3,0)*VLOOKUP('Données projet'!$B$9,Paramètres!$A$1:$I$89,5,0)</f>
        <v>-3.1036506698001178E-14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240.19940780300527</v>
      </c>
      <c r="T107" s="62">
        <f t="shared" si="88"/>
        <v>355.71054384071715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0.48178144237457732</v>
      </c>
      <c r="AA107" s="23">
        <f>EXP(-LN(2)/25)*AA106+(1-EXP(-LN(2)/25))/(LN(2)/25)*Calculateur!V107*Calculateur!X107*VLOOKUP('Données projet'!$B$9,Paramètres!$A$1:$I$89,3,0)*0.475*44/12</f>
        <v>1.6004871525829001</v>
      </c>
      <c r="AB107" s="23">
        <f>EXP(-LN(2)/2)*AB106+(1-EXP(-LN(2)/2))/(LN(2)/2)*V107*Y107*VLOOKUP('Données projet'!$B$9,Paramètres!$A$1:$I$89,3,0)*0.475*44/12</f>
        <v>1.9570621464021162E-10</v>
      </c>
      <c r="AC107" s="24">
        <f t="shared" si="57"/>
        <v>2.0822685951531836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287.69656598881124</v>
      </c>
      <c r="AO107" s="62">
        <f t="shared" si="90"/>
        <v>221.9773436301067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0.7768350822099086</v>
      </c>
      <c r="AW107" s="23">
        <f>EXP(-LN(2)/2)*AW106+(1-EXP(-LN(2)/2))/(LN(2)/2)*AQ107*AT107*VLOOKUP('Données projet'!$B$10,Paramètres!$A$1:$I$89,3,0)*0.475*44/12</f>
        <v>1.0347937181610117E-10</v>
      </c>
      <c r="AX107" s="23">
        <f t="shared" si="60"/>
        <v>0.77683508231338794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projet'!$B$11,Paramètres!$A$1:$I$89,3,0)*VLOOKUP('Données projet'!$B$11,Paramètres!$A$1:$I$89,5,0)</f>
        <v>-5.3205440053716299E-14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310.95287409903602</v>
      </c>
      <c r="BJ107" s="62">
        <f t="shared" si="92"/>
        <v>224.10083380795163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-5.6843418860808015E-14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-5.6843418860808015E-14</v>
      </c>
      <c r="O108" s="14">
        <f>N108*VLOOKUP('Données projet'!$B$9,Paramètres!$A$1:$I$89,3,0)*VLOOKUP('Données projet'!$B$9,Paramètres!$A$1:$I$89,5,0)</f>
        <v>-3.1036506698001178E-14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240.19940780300527</v>
      </c>
      <c r="T108" s="62">
        <f t="shared" si="88"/>
        <v>355.71054384071715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0.47233400214727567</v>
      </c>
      <c r="AA108" s="23">
        <f>EXP(-LN(2)/25)*AA107+(1-EXP(-LN(2)/25))/(LN(2)/25)*Calculateur!V108*Calculateur!X108*VLOOKUP('Données projet'!$B$9,Paramètres!$A$1:$I$89,3,0)*0.475*44/12</f>
        <v>1.5567217472295594</v>
      </c>
      <c r="AB108" s="23">
        <f>EXP(-LN(2)/2)*AB107+(1-EXP(-LN(2)/2))/(LN(2)/2)*V108*Y108*VLOOKUP('Données projet'!$B$9,Paramètres!$A$1:$I$89,3,0)*0.475*44/12</f>
        <v>1.3838519149244362E-10</v>
      </c>
      <c r="AC108" s="24">
        <f t="shared" si="57"/>
        <v>2.0290557495152202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287.69656598881124</v>
      </c>
      <c r="AO108" s="62">
        <f t="shared" si="90"/>
        <v>221.9773436301067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0.75559248603489715</v>
      </c>
      <c r="AW108" s="23">
        <f>EXP(-LN(2)/2)*AW107+(1-EXP(-LN(2)/2))/(LN(2)/2)*AQ108*AT108*VLOOKUP('Données projet'!$B$10,Paramètres!$A$1:$I$89,3,0)*0.475*44/12</f>
        <v>7.317096552408924E-11</v>
      </c>
      <c r="AX108" s="23">
        <f t="shared" si="60"/>
        <v>0.75559248610806806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projet'!$B$11,Paramètres!$A$1:$I$89,3,0)*VLOOKUP('Données projet'!$B$11,Paramètres!$A$1:$I$89,5,0)</f>
        <v>-5.3205440053716299E-14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310.95287409903602</v>
      </c>
      <c r="BJ108" s="62">
        <f t="shared" si="92"/>
        <v>224.10083380795163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-5.6843418860808015E-14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-5.6843418860808015E-14</v>
      </c>
      <c r="O109" s="14">
        <f>N109*VLOOKUP('Données projet'!$B$9,Paramètres!$A$1:$I$89,3,0)*VLOOKUP('Données projet'!$B$9,Paramètres!$A$1:$I$89,5,0)</f>
        <v>-3.1036506698001178E-14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240.19940780300527</v>
      </c>
      <c r="T109" s="62">
        <f t="shared" si="88"/>
        <v>355.71054384071715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0.46307182046046186</v>
      </c>
      <c r="AA109" s="23">
        <f>EXP(-LN(2)/25)*AA108+(1-EXP(-LN(2)/25))/(LN(2)/25)*Calculateur!V109*Calculateur!X109*VLOOKUP('Données projet'!$B$9,Paramètres!$A$1:$I$89,3,0)*0.475*44/12</f>
        <v>1.5141531091871283</v>
      </c>
      <c r="AB109" s="23">
        <f>EXP(-LN(2)/2)*AB108+(1-EXP(-LN(2)/2))/(LN(2)/2)*V109*Y109*VLOOKUP('Données projet'!$B$9,Paramètres!$A$1:$I$89,3,0)*0.475*44/12</f>
        <v>9.7853107320105811E-11</v>
      </c>
      <c r="AC109" s="24">
        <f t="shared" si="57"/>
        <v>1.9772249297454432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287.69656598881124</v>
      </c>
      <c r="AO109" s="62">
        <f t="shared" si="90"/>
        <v>221.9773436301067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0.73493076976939098</v>
      </c>
      <c r="AW109" s="23">
        <f>EXP(-LN(2)/2)*AW108+(1-EXP(-LN(2)/2))/(LN(2)/2)*AQ109*AT109*VLOOKUP('Données projet'!$B$10,Paramètres!$A$1:$I$89,3,0)*0.475*44/12</f>
        <v>5.1739685908050584E-11</v>
      </c>
      <c r="AX109" s="23">
        <f t="shared" si="60"/>
        <v>0.7349307698211307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projet'!$B$11,Paramètres!$A$1:$I$89,3,0)*VLOOKUP('Données projet'!$B$11,Paramètres!$A$1:$I$89,5,0)</f>
        <v>-5.3205440053716299E-14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310.95287409903602</v>
      </c>
      <c r="BJ109" s="62">
        <f t="shared" si="92"/>
        <v>224.10083380795163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-5.6843418860808015E-14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-5.6843418860808015E-14</v>
      </c>
      <c r="O110" s="14">
        <f>N110*VLOOKUP('Données projet'!$B$9,Paramètres!$A$1:$I$89,3,0)*VLOOKUP('Données projet'!$B$9,Paramètres!$A$1:$I$89,5,0)</f>
        <v>-3.1036506698001178E-14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240.19940780300527</v>
      </c>
      <c r="T110" s="62">
        <f t="shared" si="88"/>
        <v>355.71054384071715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0.45399126450715349</v>
      </c>
      <c r="AA110" s="23">
        <f>EXP(-LN(2)/25)*AA109+(1-EXP(-LN(2)/25))/(LN(2)/25)*Calculateur!V110*Calculateur!X110*VLOOKUP('Données projet'!$B$9,Paramètres!$A$1:$I$89,3,0)*0.475*44/12</f>
        <v>1.4727485127905549</v>
      </c>
      <c r="AB110" s="23">
        <f>EXP(-LN(2)/2)*AB109+(1-EXP(-LN(2)/2))/(LN(2)/2)*V110*Y110*VLOOKUP('Données projet'!$B$9,Paramètres!$A$1:$I$89,3,0)*0.475*44/12</f>
        <v>6.919259574622181E-11</v>
      </c>
      <c r="AC110" s="24">
        <f t="shared" si="57"/>
        <v>1.9267397773669011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287.69656598881124</v>
      </c>
      <c r="AO110" s="62">
        <f t="shared" si="90"/>
        <v>221.9773436301067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0.71483404922171756</v>
      </c>
      <c r="AW110" s="23">
        <f>EXP(-LN(2)/2)*AW109+(1-EXP(-LN(2)/2))/(LN(2)/2)*AQ110*AT110*VLOOKUP('Données projet'!$B$10,Paramètres!$A$1:$I$89,3,0)*0.475*44/12</f>
        <v>3.658548276204462E-11</v>
      </c>
      <c r="AX110" s="23">
        <f t="shared" si="60"/>
        <v>0.71483404925830307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projet'!$B$11,Paramètres!$A$1:$I$89,3,0)*VLOOKUP('Données projet'!$B$11,Paramètres!$A$1:$I$89,5,0)</f>
        <v>-5.3205440053716299E-14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310.95287409903602</v>
      </c>
      <c r="BJ110" s="62">
        <f t="shared" si="92"/>
        <v>224.10083380795163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-5.6843418860808015E-14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-5.6843418860808015E-14</v>
      </c>
      <c r="O111" s="14">
        <f>N111*VLOOKUP('Données projet'!$B$9,Paramètres!$A$1:$I$89,3,0)*VLOOKUP('Données projet'!$B$9,Paramètres!$A$1:$I$89,5,0)</f>
        <v>-3.1036506698001178E-14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240.19940780300527</v>
      </c>
      <c r="T111" s="62">
        <f t="shared" si="88"/>
        <v>355.71054384071715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0.44508877271749725</v>
      </c>
      <c r="AA111" s="23">
        <f>EXP(-LN(2)/25)*AA110+(1-EXP(-LN(2)/25))/(LN(2)/25)*Calculateur!V111*Calculateur!X111*VLOOKUP('Données projet'!$B$9,Paramètres!$A$1:$I$89,3,0)*0.475*44/12</f>
        <v>1.4324761272598188</v>
      </c>
      <c r="AB111" s="23">
        <f>EXP(-LN(2)/2)*AB110+(1-EXP(-LN(2)/2))/(LN(2)/2)*V111*Y111*VLOOKUP('Données projet'!$B$9,Paramètres!$A$1:$I$89,3,0)*0.475*44/12</f>
        <v>4.8926553660052906E-11</v>
      </c>
      <c r="AC111" s="24">
        <f t="shared" si="57"/>
        <v>1.8775649000262427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287.69656598881124</v>
      </c>
      <c r="AO111" s="62">
        <f t="shared" si="90"/>
        <v>221.9773436301067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0.69528687455426086</v>
      </c>
      <c r="AW111" s="23">
        <f>EXP(-LN(2)/2)*AW110+(1-EXP(-LN(2)/2))/(LN(2)/2)*AQ111*AT111*VLOOKUP('Données projet'!$B$10,Paramètres!$A$1:$I$89,3,0)*0.475*44/12</f>
        <v>2.5869842954025292E-11</v>
      </c>
      <c r="AX111" s="23">
        <f t="shared" si="60"/>
        <v>0.69528687458013072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projet'!$B$11,Paramètres!$A$1:$I$89,3,0)*VLOOKUP('Données projet'!$B$11,Paramètres!$A$1:$I$89,5,0)</f>
        <v>-5.3205440053716299E-14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310.95287409903602</v>
      </c>
      <c r="BJ111" s="62">
        <f t="shared" si="92"/>
        <v>224.10083380795163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-5.6843418860808015E-14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-5.6843418860808015E-14</v>
      </c>
      <c r="O112" s="14">
        <f>N112*VLOOKUP('Données projet'!$B$9,Paramètres!$A$1:$I$89,3,0)*VLOOKUP('Données projet'!$B$9,Paramètres!$A$1:$I$89,5,0)</f>
        <v>-3.1036506698001178E-14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240.19940780300527</v>
      </c>
      <c r="T112" s="62">
        <f t="shared" si="88"/>
        <v>355.71054384071715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0.43636085336185232</v>
      </c>
      <c r="AA112" s="23">
        <f>EXP(-LN(2)/25)*AA111+(1-EXP(-LN(2)/25))/(LN(2)/25)*Calculateur!V112*Calculateur!X112*VLOOKUP('Données projet'!$B$9,Paramètres!$A$1:$I$89,3,0)*0.475*44/12</f>
        <v>1.3933049922292535</v>
      </c>
      <c r="AB112" s="23">
        <f>EXP(-LN(2)/2)*AB111+(1-EXP(-LN(2)/2))/(LN(2)/2)*V112*Y112*VLOOKUP('Données projet'!$B$9,Paramètres!$A$1:$I$89,3,0)*0.475*44/12</f>
        <v>3.4596297873110905E-11</v>
      </c>
      <c r="AC112" s="24">
        <f t="shared" si="57"/>
        <v>1.8296658456257022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287.69656598881124</v>
      </c>
      <c r="AO112" s="62">
        <f t="shared" si="90"/>
        <v>221.9773436301067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0.67627421840602697</v>
      </c>
      <c r="AW112" s="23">
        <f>EXP(-LN(2)/2)*AW111+(1-EXP(-LN(2)/2))/(LN(2)/2)*AQ112*AT112*VLOOKUP('Données projet'!$B$10,Paramètres!$A$1:$I$89,3,0)*0.475*44/12</f>
        <v>1.829274138102231E-11</v>
      </c>
      <c r="AX112" s="23">
        <f t="shared" si="60"/>
        <v>0.67627421842431967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projet'!$B$11,Paramètres!$A$1:$I$89,3,0)*VLOOKUP('Données projet'!$B$11,Paramètres!$A$1:$I$89,5,0)</f>
        <v>-5.3205440053716299E-14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310.95287409903602</v>
      </c>
      <c r="BJ112" s="62">
        <f t="shared" si="92"/>
        <v>224.10083380795163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-5.6843418860808015E-14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-5.6843418860808015E-14</v>
      </c>
      <c r="O113" s="14">
        <f>N113*VLOOKUP('Données projet'!$B$9,Paramètres!$A$1:$I$89,3,0)*VLOOKUP('Données projet'!$B$9,Paramètres!$A$1:$I$89,5,0)</f>
        <v>-3.1036506698001178E-14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240.19940780300527</v>
      </c>
      <c r="T113" s="62">
        <f t="shared" si="88"/>
        <v>355.71054384071715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0.42780408318126645</v>
      </c>
      <c r="AA113" s="23">
        <f>EXP(-LN(2)/25)*AA112+(1-EXP(-LN(2)/25))/(LN(2)/25)*Calculateur!V113*Calculateur!X113*VLOOKUP('Données projet'!$B$9,Paramètres!$A$1:$I$89,3,0)*0.475*44/12</f>
        <v>1.3552049939460196</v>
      </c>
      <c r="AB113" s="23">
        <f>EXP(-LN(2)/2)*AB112+(1-EXP(-LN(2)/2))/(LN(2)/2)*V113*Y113*VLOOKUP('Données projet'!$B$9,Paramètres!$A$1:$I$89,3,0)*0.475*44/12</f>
        <v>2.4463276830026453E-11</v>
      </c>
      <c r="AC113" s="24">
        <f t="shared" si="57"/>
        <v>1.7830090771517493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287.69656598881124</v>
      </c>
      <c r="AO113" s="62">
        <f t="shared" si="90"/>
        <v>221.9773436301067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0.65778146433999862</v>
      </c>
      <c r="AW113" s="23">
        <f>EXP(-LN(2)/2)*AW112+(1-EXP(-LN(2)/2))/(LN(2)/2)*AQ113*AT113*VLOOKUP('Données projet'!$B$10,Paramètres!$A$1:$I$89,3,0)*0.475*44/12</f>
        <v>1.2934921477012646E-11</v>
      </c>
      <c r="AX113" s="23">
        <f t="shared" si="60"/>
        <v>0.6577814643529335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projet'!$B$11,Paramètres!$A$1:$I$89,3,0)*VLOOKUP('Données projet'!$B$11,Paramètres!$A$1:$I$89,5,0)</f>
        <v>-5.3205440053716299E-14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310.95287409903602</v>
      </c>
      <c r="BJ113" s="62">
        <f t="shared" si="92"/>
        <v>224.10083380795163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-5.6843418860808015E-14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-5.6843418860808015E-14</v>
      </c>
      <c r="O114" s="14">
        <f>N114*VLOOKUP('Données projet'!$B$9,Paramètres!$A$1:$I$89,3,0)*VLOOKUP('Données projet'!$B$9,Paramètres!$A$1:$I$89,5,0)</f>
        <v>-3.1036506698001178E-14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240.19940780300527</v>
      </c>
      <c r="T114" s="62">
        <f t="shared" si="88"/>
        <v>355.71054384071715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0.41941510604480736</v>
      </c>
      <c r="AA114" s="23">
        <f>EXP(-LN(2)/25)*AA113+(1-EXP(-LN(2)/25))/(LN(2)/25)*Calculateur!V114*Calculateur!X114*VLOOKUP('Données projet'!$B$9,Paramètres!$A$1:$I$89,3,0)*0.475*44/12</f>
        <v>1.3181468421194324</v>
      </c>
      <c r="AB114" s="23">
        <f>EXP(-LN(2)/2)*AB113+(1-EXP(-LN(2)/2))/(LN(2)/2)*V114*Y114*VLOOKUP('Données projet'!$B$9,Paramètres!$A$1:$I$89,3,0)*0.475*44/12</f>
        <v>1.7298148936555453E-11</v>
      </c>
      <c r="AC114" s="24">
        <f t="shared" si="57"/>
        <v>1.7375619481815381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287.69656598881124</v>
      </c>
      <c r="AO114" s="62">
        <f t="shared" si="90"/>
        <v>221.9773436301067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0.6397943956063975</v>
      </c>
      <c r="AW114" s="23">
        <f>EXP(-LN(2)/2)*AW113+(1-EXP(-LN(2)/2))/(LN(2)/2)*AQ114*AT114*VLOOKUP('Données projet'!$B$10,Paramètres!$A$1:$I$89,3,0)*0.475*44/12</f>
        <v>9.1463706905111551E-12</v>
      </c>
      <c r="AX114" s="23">
        <f t="shared" si="60"/>
        <v>0.63979439561554385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projet'!$B$11,Paramètres!$A$1:$I$89,3,0)*VLOOKUP('Données projet'!$B$11,Paramètres!$A$1:$I$89,5,0)</f>
        <v>-5.3205440053716299E-14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310.95287409903602</v>
      </c>
      <c r="BJ114" s="62">
        <f t="shared" si="92"/>
        <v>224.10083380795163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-5.6843418860808015E-14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-5.6843418860808015E-14</v>
      </c>
      <c r="O115" s="14">
        <f>N115*VLOOKUP('Données projet'!$B$9,Paramètres!$A$1:$I$89,3,0)*VLOOKUP('Données projet'!$B$9,Paramètres!$A$1:$I$89,5,0)</f>
        <v>-3.1036506698001178E-14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240.19940780300527</v>
      </c>
      <c r="T115" s="62">
        <f t="shared" si="88"/>
        <v>355.71054384071715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0.41119063163322345</v>
      </c>
      <c r="AA115" s="23">
        <f>EXP(-LN(2)/25)*AA114+(1-EXP(-LN(2)/25))/(LN(2)/25)*Calculateur!V115*Calculateur!X115*VLOOKUP('Données projet'!$B$9,Paramètres!$A$1:$I$89,3,0)*0.475*44/12</f>
        <v>1.2821020474033469</v>
      </c>
      <c r="AB115" s="23">
        <f>EXP(-LN(2)/2)*AB114+(1-EXP(-LN(2)/2))/(LN(2)/2)*V115*Y115*VLOOKUP('Données projet'!$B$9,Paramètres!$A$1:$I$89,3,0)*0.475*44/12</f>
        <v>1.2231638415013226E-11</v>
      </c>
      <c r="AC115" s="24">
        <f t="shared" si="57"/>
        <v>1.6932926790488019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287.69656598881124</v>
      </c>
      <c r="AO115" s="62">
        <f t="shared" si="90"/>
        <v>221.9773436301067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0.62229918421321562</v>
      </c>
      <c r="AW115" s="23">
        <f>EXP(-LN(2)/2)*AW114+(1-EXP(-LN(2)/2))/(LN(2)/2)*AQ115*AT115*VLOOKUP('Données projet'!$B$10,Paramètres!$A$1:$I$89,3,0)*0.475*44/12</f>
        <v>6.467460738506323E-12</v>
      </c>
      <c r="AX115" s="23">
        <f t="shared" si="60"/>
        <v>0.62229918421968311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projet'!$B$11,Paramètres!$A$1:$I$89,3,0)*VLOOKUP('Données projet'!$B$11,Paramètres!$A$1:$I$89,5,0)</f>
        <v>-5.3205440053716299E-14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310.95287409903602</v>
      </c>
      <c r="BJ115" s="62">
        <f t="shared" si="92"/>
        <v>224.10083380795163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-5.6843418860808015E-14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-5.6843418860808015E-14</v>
      </c>
      <c r="O116" s="14">
        <f>N116*VLOOKUP('Données projet'!$B$9,Paramètres!$A$1:$I$89,3,0)*VLOOKUP('Données projet'!$B$9,Paramètres!$A$1:$I$89,5,0)</f>
        <v>-3.1036506698001178E-14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240.19940780300527</v>
      </c>
      <c r="T116" s="62">
        <f t="shared" si="88"/>
        <v>355.71054384071715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0.40312743414841662</v>
      </c>
      <c r="AA116" s="23">
        <f>EXP(-LN(2)/25)*AA115+(1-EXP(-LN(2)/25))/(LN(2)/25)*Calculateur!V116*Calculateur!X116*VLOOKUP('Données projet'!$B$9,Paramètres!$A$1:$I$89,3,0)*0.475*44/12</f>
        <v>1.2470428994942859</v>
      </c>
      <c r="AB116" s="23">
        <f>EXP(-LN(2)/2)*AB115+(1-EXP(-LN(2)/2))/(LN(2)/2)*V116*Y116*VLOOKUP('Données projet'!$B$9,Paramètres!$A$1:$I$89,3,0)*0.475*44/12</f>
        <v>8.6490744682777263E-12</v>
      </c>
      <c r="AC116" s="24">
        <f t="shared" si="57"/>
        <v>1.6501703336513516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287.69656598881124</v>
      </c>
      <c r="AO116" s="62">
        <f t="shared" si="90"/>
        <v>221.9773436301067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0.60528238029561343</v>
      </c>
      <c r="AW116" s="23">
        <f>EXP(-LN(2)/2)*AW115+(1-EXP(-LN(2)/2))/(LN(2)/2)*AQ116*AT116*VLOOKUP('Données projet'!$B$10,Paramètres!$A$1:$I$89,3,0)*0.475*44/12</f>
        <v>4.5731853452555775E-12</v>
      </c>
      <c r="AX116" s="23">
        <f t="shared" si="60"/>
        <v>0.60528238030018666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projet'!$B$11,Paramètres!$A$1:$I$89,3,0)*VLOOKUP('Données projet'!$B$11,Paramètres!$A$1:$I$89,5,0)</f>
        <v>-5.3205440053716299E-14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310.95287409903602</v>
      </c>
      <c r="BJ116" s="62">
        <f t="shared" si="92"/>
        <v>224.10083380795163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-5.6843418860808015E-14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-5.6843418860808015E-14</v>
      </c>
      <c r="O117" s="14">
        <f>N117*VLOOKUP('Données projet'!$B$9,Paramètres!$A$1:$I$89,3,0)*VLOOKUP('Données projet'!$B$9,Paramètres!$A$1:$I$89,5,0)</f>
        <v>-3.1036506698001178E-14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240.19940780300527</v>
      </c>
      <c r="T117" s="62">
        <f t="shared" si="88"/>
        <v>355.71054384071715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0.39522235104822201</v>
      </c>
      <c r="AA117" s="23">
        <f>EXP(-LN(2)/25)*AA116+(1-EXP(-LN(2)/25))/(LN(2)/25)*Calculateur!V117*Calculateur!X117*VLOOKUP('Données projet'!$B$9,Paramètres!$A$1:$I$89,3,0)*0.475*44/12</f>
        <v>1.2129424458284788</v>
      </c>
      <c r="AB117" s="23">
        <f>EXP(-LN(2)/2)*AB116+(1-EXP(-LN(2)/2))/(LN(2)/2)*V117*Y117*VLOOKUP('Données projet'!$B$9,Paramètres!$A$1:$I$89,3,0)*0.475*44/12</f>
        <v>6.1158192075066132E-12</v>
      </c>
      <c r="AC117" s="24">
        <f t="shared" si="57"/>
        <v>1.6081647968828165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287.69656598881124</v>
      </c>
      <c r="AO117" s="62">
        <f t="shared" si="90"/>
        <v>221.9773436301067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0.58873090177601295</v>
      </c>
      <c r="AW117" s="23">
        <f>EXP(-LN(2)/2)*AW116+(1-EXP(-LN(2)/2))/(LN(2)/2)*AQ117*AT117*VLOOKUP('Données projet'!$B$10,Paramètres!$A$1:$I$89,3,0)*0.475*44/12</f>
        <v>3.2337303692531615E-12</v>
      </c>
      <c r="AX117" s="23">
        <f t="shared" si="60"/>
        <v>0.5887309017792467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projet'!$B$11,Paramètres!$A$1:$I$89,3,0)*VLOOKUP('Données projet'!$B$11,Paramètres!$A$1:$I$89,5,0)</f>
        <v>-5.3205440053716299E-14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310.95287409903602</v>
      </c>
      <c r="BJ117" s="62">
        <f t="shared" si="92"/>
        <v>224.10083380795163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-5.6843418860808015E-14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-5.6843418860808015E-14</v>
      </c>
      <c r="O118" s="14">
        <f>N118*VLOOKUP('Données projet'!$B$9,Paramètres!$A$1:$I$89,3,0)*VLOOKUP('Données projet'!$B$9,Paramètres!$A$1:$I$89,5,0)</f>
        <v>-3.1036506698001178E-14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240.19940780300527</v>
      </c>
      <c r="T118" s="62">
        <f t="shared" si="88"/>
        <v>355.71054384071715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0.38747228180599763</v>
      </c>
      <c r="AA118" s="23">
        <f>EXP(-LN(2)/25)*AA117+(1-EXP(-LN(2)/25))/(LN(2)/25)*Calculateur!V118*Calculateur!X118*VLOOKUP('Données projet'!$B$9,Paramètres!$A$1:$I$89,3,0)*0.475*44/12</f>
        <v>1.1797744708614279</v>
      </c>
      <c r="AB118" s="23">
        <f>EXP(-LN(2)/2)*AB117+(1-EXP(-LN(2)/2))/(LN(2)/2)*V118*Y118*VLOOKUP('Données projet'!$B$9,Paramètres!$A$1:$I$89,3,0)*0.475*44/12</f>
        <v>4.3245372341388631E-12</v>
      </c>
      <c r="AC118" s="24">
        <f t="shared" si="57"/>
        <v>1.5672467526717502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287.69656598881124</v>
      </c>
      <c r="AO118" s="62">
        <f t="shared" si="90"/>
        <v>221.9773436301067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0.57263202430693527</v>
      </c>
      <c r="AW118" s="23">
        <f>EXP(-LN(2)/2)*AW117+(1-EXP(-LN(2)/2))/(LN(2)/2)*AQ118*AT118*VLOOKUP('Données projet'!$B$10,Paramètres!$A$1:$I$89,3,0)*0.475*44/12</f>
        <v>2.2865926726277888E-12</v>
      </c>
      <c r="AX118" s="23">
        <f t="shared" si="60"/>
        <v>0.57263202430922189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projet'!$B$11,Paramètres!$A$1:$I$89,3,0)*VLOOKUP('Données projet'!$B$11,Paramètres!$A$1:$I$89,5,0)</f>
        <v>-5.3205440053716299E-14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310.95287409903602</v>
      </c>
      <c r="BJ118" s="62">
        <f t="shared" si="92"/>
        <v>224.10083380795163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-5.6843418860808015E-14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-5.6843418860808015E-14</v>
      </c>
      <c r="O119" s="14">
        <f>N119*VLOOKUP('Données projet'!$B$9,Paramètres!$A$1:$I$89,3,0)*VLOOKUP('Données projet'!$B$9,Paramètres!$A$1:$I$89,5,0)</f>
        <v>-3.1036506698001178E-14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240.19940780300527</v>
      </c>
      <c r="T119" s="62">
        <f t="shared" si="88"/>
        <v>355.71054384071715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0.37987418669453782</v>
      </c>
      <c r="AA119" s="23">
        <f>EXP(-LN(2)/25)*AA118+(1-EXP(-LN(2)/25))/(LN(2)/25)*Calculateur!V119*Calculateur!X119*VLOOKUP('Données projet'!$B$9,Paramètres!$A$1:$I$89,3,0)*0.475*44/12</f>
        <v>1.1475134759140793</v>
      </c>
      <c r="AB119" s="23">
        <f>EXP(-LN(2)/2)*AB118+(1-EXP(-LN(2)/2))/(LN(2)/2)*V119*Y119*VLOOKUP('Données projet'!$B$9,Paramètres!$A$1:$I$89,3,0)*0.475*44/12</f>
        <v>3.0579096037533066E-12</v>
      </c>
      <c r="AC119" s="24">
        <f t="shared" si="57"/>
        <v>1.5273876626116751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287.69656598881124</v>
      </c>
      <c r="AO119" s="62">
        <f t="shared" si="90"/>
        <v>221.9773436301067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0.55697337148885273</v>
      </c>
      <c r="AW119" s="23">
        <f>EXP(-LN(2)/2)*AW118+(1-EXP(-LN(2)/2))/(LN(2)/2)*AQ119*AT119*VLOOKUP('Données projet'!$B$10,Paramètres!$A$1:$I$89,3,0)*0.475*44/12</f>
        <v>1.6168651846265807E-12</v>
      </c>
      <c r="AX119" s="23">
        <f t="shared" si="60"/>
        <v>0.55697337149046955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projet'!$B$11,Paramètres!$A$1:$I$89,3,0)*VLOOKUP('Données projet'!$B$11,Paramètres!$A$1:$I$89,5,0)</f>
        <v>-5.3205440053716299E-14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310.95287409903602</v>
      </c>
      <c r="BJ119" s="62">
        <f t="shared" si="92"/>
        <v>224.10083380795163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-5.6843418860808015E-14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-5.6843418860808015E-14</v>
      </c>
      <c r="O120" s="14">
        <f>N120*VLOOKUP('Données projet'!$B$9,Paramètres!$A$1:$I$89,3,0)*VLOOKUP('Données projet'!$B$9,Paramètres!$A$1:$I$89,5,0)</f>
        <v>-3.1036506698001178E-14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240.19940780300527</v>
      </c>
      <c r="T120" s="62">
        <f t="shared" si="88"/>
        <v>355.71054384071715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0.3724250855938333</v>
      </c>
      <c r="AA120" s="23">
        <f>EXP(-LN(2)/25)*AA119+(1-EXP(-LN(2)/25))/(LN(2)/25)*Calculateur!V120*Calculateur!X120*VLOOKUP('Données projet'!$B$9,Paramètres!$A$1:$I$89,3,0)*0.475*44/12</f>
        <v>1.1161346595700978</v>
      </c>
      <c r="AB120" s="23">
        <f>EXP(-LN(2)/2)*AB119+(1-EXP(-LN(2)/2))/(LN(2)/2)*V120*Y120*VLOOKUP('Données projet'!$B$9,Paramètres!$A$1:$I$89,3,0)*0.475*44/12</f>
        <v>2.1622686170694316E-12</v>
      </c>
      <c r="AC120" s="24">
        <f t="shared" si="57"/>
        <v>1.4885597451660935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287.69656598881124</v>
      </c>
      <c r="AO120" s="62">
        <f t="shared" si="90"/>
        <v>221.9773436301067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0.54174290535553338</v>
      </c>
      <c r="AW120" s="23">
        <f>EXP(-LN(2)/2)*AW119+(1-EXP(-LN(2)/2))/(LN(2)/2)*AQ120*AT120*VLOOKUP('Données projet'!$B$10,Paramètres!$A$1:$I$89,3,0)*0.475*44/12</f>
        <v>1.1432963363138944E-12</v>
      </c>
      <c r="AX120" s="23">
        <f t="shared" si="60"/>
        <v>0.54174290535667669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projet'!$B$11,Paramètres!$A$1:$I$89,3,0)*VLOOKUP('Données projet'!$B$11,Paramètres!$A$1:$I$89,5,0)</f>
        <v>-5.3205440053716299E-14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310.95287409903602</v>
      </c>
      <c r="BJ120" s="62">
        <f t="shared" si="92"/>
        <v>224.10083380795163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-5.6843418860808015E-14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-5.6843418860808015E-14</v>
      </c>
      <c r="O121" s="14">
        <f>N121*VLOOKUP('Données projet'!$B$9,Paramètres!$A$1:$I$89,3,0)*VLOOKUP('Données projet'!$B$9,Paramètres!$A$1:$I$89,5,0)</f>
        <v>-3.1036506698001178E-14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240.19940780300527</v>
      </c>
      <c r="T121" s="62">
        <f t="shared" si="88"/>
        <v>355.71054384071715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0.36512205682221055</v>
      </c>
      <c r="AA121" s="23">
        <f>EXP(-LN(2)/25)*AA120+(1-EXP(-LN(2)/25))/(LN(2)/25)*Calculateur!V121*Calculateur!X121*VLOOKUP('Données projet'!$B$9,Paramètres!$A$1:$I$89,3,0)*0.475*44/12</f>
        <v>1.0856138986091828</v>
      </c>
      <c r="AB121" s="23">
        <f>EXP(-LN(2)/2)*AB120+(1-EXP(-LN(2)/2))/(LN(2)/2)*V121*Y121*VLOOKUP('Données projet'!$B$9,Paramètres!$A$1:$I$89,3,0)*0.475*44/12</f>
        <v>1.5289548018766533E-12</v>
      </c>
      <c r="AC121" s="24">
        <f t="shared" si="57"/>
        <v>1.4507359554329224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287.69656598881124</v>
      </c>
      <c r="AO121" s="62">
        <f t="shared" si="90"/>
        <v>221.9773436301067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0.52692891711956513</v>
      </c>
      <c r="AW121" s="23">
        <f>EXP(-LN(2)/2)*AW120+(1-EXP(-LN(2)/2))/(LN(2)/2)*AQ121*AT121*VLOOKUP('Données projet'!$B$10,Paramètres!$A$1:$I$89,3,0)*0.475*44/12</f>
        <v>8.0843259231329037E-13</v>
      </c>
      <c r="AX121" s="23">
        <f t="shared" si="60"/>
        <v>0.5269289171203736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projet'!$B$11,Paramètres!$A$1:$I$89,3,0)*VLOOKUP('Données projet'!$B$11,Paramètres!$A$1:$I$89,5,0)</f>
        <v>-5.3205440053716299E-14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310.95287409903602</v>
      </c>
      <c r="BJ121" s="62">
        <f t="shared" si="92"/>
        <v>224.10083380795163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-5.6843418860808015E-14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-5.6843418860808015E-14</v>
      </c>
      <c r="O122" s="14">
        <f>N122*VLOOKUP('Données projet'!$B$9,Paramètres!$A$1:$I$89,3,0)*VLOOKUP('Données projet'!$B$9,Paramètres!$A$1:$I$89,5,0)</f>
        <v>-3.1036506698001178E-14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240.19940780300527</v>
      </c>
      <c r="T122" s="62">
        <f t="shared" si="88"/>
        <v>355.71054384071715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0.35796223599039162</v>
      </c>
      <c r="AA122" s="23">
        <f>EXP(-LN(2)/25)*AA121+(1-EXP(-LN(2)/25))/(LN(2)/25)*Calculateur!V122*Calculateur!X122*VLOOKUP('Données projet'!$B$9,Paramètres!$A$1:$I$89,3,0)*0.475*44/12</f>
        <v>1.0559277294617611</v>
      </c>
      <c r="AB122" s="23">
        <f>EXP(-LN(2)/2)*AB121+(1-EXP(-LN(2)/2))/(LN(2)/2)*V122*Y122*VLOOKUP('Données projet'!$B$9,Paramètres!$A$1:$I$89,3,0)*0.475*44/12</f>
        <v>1.0811343085347158E-12</v>
      </c>
      <c r="AC122" s="24">
        <f t="shared" si="57"/>
        <v>1.4138899654532338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287.69656598881124</v>
      </c>
      <c r="AO122" s="62">
        <f t="shared" si="90"/>
        <v>221.9773436301067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0.51252001817094317</v>
      </c>
      <c r="AW122" s="23">
        <f>EXP(-LN(2)/2)*AW121+(1-EXP(-LN(2)/2))/(LN(2)/2)*AQ122*AT122*VLOOKUP('Données projet'!$B$10,Paramètres!$A$1:$I$89,3,0)*0.475*44/12</f>
        <v>5.7164816815694719E-13</v>
      </c>
      <c r="AX122" s="23">
        <f t="shared" si="60"/>
        <v>0.51252001817151482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projet'!$B$11,Paramètres!$A$1:$I$89,3,0)*VLOOKUP('Données projet'!$B$11,Paramètres!$A$1:$I$89,5,0)</f>
        <v>-5.3205440053716299E-14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310.95287409903602</v>
      </c>
      <c r="BJ122" s="62">
        <f t="shared" si="92"/>
        <v>224.10083380795163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-5.6843418860808015E-14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-5.6843418860808015E-14</v>
      </c>
      <c r="O123" s="14">
        <f>N123*VLOOKUP('Données projet'!$B$9,Paramètres!$A$1:$I$89,3,0)*VLOOKUP('Données projet'!$B$9,Paramètres!$A$1:$I$89,5,0)</f>
        <v>-3.1036506698001178E-14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240.19940780300527</v>
      </c>
      <c r="T123" s="62">
        <f t="shared" si="88"/>
        <v>355.71054384071715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0.35094281487802514</v>
      </c>
      <c r="AA123" s="23">
        <f>EXP(-LN(2)/25)*AA122+(1-EXP(-LN(2)/25))/(LN(2)/25)*Calculateur!V123*Calculateur!X123*VLOOKUP('Données projet'!$B$9,Paramètres!$A$1:$I$89,3,0)*0.475*44/12</f>
        <v>1.0270533301708034</v>
      </c>
      <c r="AB123" s="23">
        <f>EXP(-LN(2)/2)*AB122+(1-EXP(-LN(2)/2))/(LN(2)/2)*V123*Y123*VLOOKUP('Données projet'!$B$9,Paramètres!$A$1:$I$89,3,0)*0.475*44/12</f>
        <v>7.6447740093832665E-13</v>
      </c>
      <c r="AC123" s="24">
        <f t="shared" si="57"/>
        <v>1.377996145049593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287.69656598881124</v>
      </c>
      <c r="AO123" s="62">
        <f t="shared" si="90"/>
        <v>221.9773436301067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0.49850513132180235</v>
      </c>
      <c r="AW123" s="23">
        <f>EXP(-LN(2)/2)*AW122+(1-EXP(-LN(2)/2))/(LN(2)/2)*AQ123*AT123*VLOOKUP('Données projet'!$B$10,Paramètres!$A$1:$I$89,3,0)*0.475*44/12</f>
        <v>4.0421629615664519E-13</v>
      </c>
      <c r="AX123" s="23">
        <f t="shared" si="60"/>
        <v>0.49850513132220658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projet'!$B$11,Paramètres!$A$1:$I$89,3,0)*VLOOKUP('Données projet'!$B$11,Paramètres!$A$1:$I$89,5,0)</f>
        <v>-5.3205440053716299E-14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310.95287409903602</v>
      </c>
      <c r="BJ123" s="62">
        <f t="shared" si="92"/>
        <v>224.10083380795163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-5.6843418860808015E-14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-5.6843418860808015E-14</v>
      </c>
      <c r="O124" s="14">
        <f>N124*VLOOKUP('Données projet'!$B$9,Paramètres!$A$1:$I$89,3,0)*VLOOKUP('Données projet'!$B$9,Paramètres!$A$1:$I$89,5,0)</f>
        <v>-3.1036506698001178E-14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240.19940780300527</v>
      </c>
      <c r="T124" s="62">
        <f t="shared" si="88"/>
        <v>355.71054384071715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0.34406104033224805</v>
      </c>
      <c r="AA124" s="23">
        <f>EXP(-LN(2)/25)*AA123+(1-EXP(-LN(2)/25))/(LN(2)/25)*Calculateur!V124*Calculateur!X124*VLOOKUP('Données projet'!$B$9,Paramètres!$A$1:$I$89,3,0)*0.475*44/12</f>
        <v>0.99896850284689542</v>
      </c>
      <c r="AB124" s="23">
        <f>EXP(-LN(2)/2)*AB123+(1-EXP(-LN(2)/2))/(LN(2)/2)*V124*Y124*VLOOKUP('Données projet'!$B$9,Paramètres!$A$1:$I$89,3,0)*0.475*44/12</f>
        <v>5.4056715426735789E-13</v>
      </c>
      <c r="AC124" s="24">
        <f t="shared" si="57"/>
        <v>1.3430295431796839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287.69656598881124</v>
      </c>
      <c r="AO124" s="62">
        <f t="shared" si="90"/>
        <v>221.9773436301067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0.48487348229056215</v>
      </c>
      <c r="AW124" s="23">
        <f>EXP(-LN(2)/2)*AW123+(1-EXP(-LN(2)/2))/(LN(2)/2)*AQ124*AT124*VLOOKUP('Données projet'!$B$10,Paramètres!$A$1:$I$89,3,0)*0.475*44/12</f>
        <v>2.858240840784736E-13</v>
      </c>
      <c r="AX124" s="23">
        <f t="shared" si="60"/>
        <v>0.48487348229084798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-5.3205440053716299E-14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310.95287409903602</v>
      </c>
      <c r="BJ124" s="62">
        <f t="shared" si="92"/>
        <v>224.10083380795163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-5.6843418860808015E-14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-5.6843418860808015E-14</v>
      </c>
      <c r="O125" s="14">
        <f>N125*VLOOKUP('Données projet'!$B$9,Paramètres!$A$1:$I$89,3,0)*VLOOKUP('Données projet'!$B$9,Paramètres!$A$1:$I$89,5,0)</f>
        <v>-3.1036506698001178E-14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240.19940780300527</v>
      </c>
      <c r="T125" s="62">
        <f t="shared" si="88"/>
        <v>355.71054384071715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0.33731421318784566</v>
      </c>
      <c r="AA125" s="23">
        <f>EXP(-LN(2)/25)*AA124+(1-EXP(-LN(2)/25))/(LN(2)/25)*Calculateur!V125*Calculateur!X125*VLOOKUP('Données projet'!$B$9,Paramètres!$A$1:$I$89,3,0)*0.475*44/12</f>
        <v>0.97165165660307673</v>
      </c>
      <c r="AB125" s="23">
        <f>EXP(-LN(2)/2)*AB124+(1-EXP(-LN(2)/2))/(LN(2)/2)*V125*Y125*VLOOKUP('Données projet'!$B$9,Paramètres!$A$1:$I$89,3,0)*0.475*44/12</f>
        <v>3.8223870046916332E-13</v>
      </c>
      <c r="AC125" s="24">
        <f t="shared" si="57"/>
        <v>1.3089658697913045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287.69656598881124</v>
      </c>
      <c r="AO125" s="62">
        <f t="shared" si="90"/>
        <v>221.9773436301067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0.47161459141893847</v>
      </c>
      <c r="AW125" s="23">
        <f>EXP(-LN(2)/2)*AW124+(1-EXP(-LN(2)/2))/(LN(2)/2)*AQ125*AT125*VLOOKUP('Données projet'!$B$10,Paramètres!$A$1:$I$89,3,0)*0.475*44/12</f>
        <v>2.0210814807832259E-13</v>
      </c>
      <c r="AX125" s="23">
        <f t="shared" si="60"/>
        <v>0.47161459141914058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-5.3205440053716299E-14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310.95287409903602</v>
      </c>
      <c r="BJ125" s="62">
        <f t="shared" si="92"/>
        <v>224.10083380795163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-5.6843418860808015E-14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-5.6843418860808015E-14</v>
      </c>
      <c r="O126" s="14">
        <f>N126*VLOOKUP('Données projet'!$B$9,Paramètres!$A$1:$I$89,3,0)*VLOOKUP('Données projet'!$B$9,Paramètres!$A$1:$I$89,5,0)</f>
        <v>-3.1036506698001178E-14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240.19940780300527</v>
      </c>
      <c r="T126" s="62">
        <f t="shared" si="88"/>
        <v>355.71054384071715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0.33069968720858678</v>
      </c>
      <c r="AA126" s="23">
        <f>EXP(-LN(2)/25)*AA125+(1-EXP(-LN(2)/25))/(LN(2)/25)*Calculateur!V126*Calculateur!X126*VLOOKUP('Données projet'!$B$9,Paramètres!$A$1:$I$89,3,0)*0.475*44/12</f>
        <v>0.94508179095632572</v>
      </c>
      <c r="AB126" s="23">
        <f>EXP(-LN(2)/2)*AB125+(1-EXP(-LN(2)/2))/(LN(2)/2)*V126*Y126*VLOOKUP('Données projet'!$B$9,Paramètres!$A$1:$I$89,3,0)*0.475*44/12</f>
        <v>2.7028357713367895E-13</v>
      </c>
      <c r="AC126" s="24">
        <f t="shared" si="57"/>
        <v>1.2757814781651826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287.69656598881124</v>
      </c>
      <c r="AO126" s="62">
        <f t="shared" si="90"/>
        <v>221.9773436301067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0.45871826561545415</v>
      </c>
      <c r="AW126" s="23">
        <f>EXP(-LN(2)/2)*AW125+(1-EXP(-LN(2)/2))/(LN(2)/2)*AQ126*AT126*VLOOKUP('Données projet'!$B$10,Paramètres!$A$1:$I$89,3,0)*0.475*44/12</f>
        <v>1.429120420392368E-13</v>
      </c>
      <c r="AX126" s="23">
        <f t="shared" si="60"/>
        <v>0.45871826561559703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-5.3205440053716299E-14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310.95287409903602</v>
      </c>
      <c r="BJ126" s="62">
        <f t="shared" si="92"/>
        <v>224.10083380795163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-5.6843418860808015E-14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-5.6843418860808015E-14</v>
      </c>
      <c r="O127" s="14">
        <f>N127*VLOOKUP('Données projet'!$B$9,Paramètres!$A$1:$I$89,3,0)*VLOOKUP('Données projet'!$B$9,Paramètres!$A$1:$I$89,5,0)</f>
        <v>-3.1036506698001178E-14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240.19940780300527</v>
      </c>
      <c r="T127" s="62">
        <f t="shared" si="88"/>
        <v>355.71054384071715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0.32421486804931871</v>
      </c>
      <c r="AA127" s="23">
        <f>EXP(-LN(2)/25)*AA126+(1-EXP(-LN(2)/25))/(LN(2)/25)*Calculateur!V127*Calculateur!X127*VLOOKUP('Données projet'!$B$9,Paramètres!$A$1:$I$89,3,0)*0.475*44/12</f>
        <v>0.9192384796829336</v>
      </c>
      <c r="AB127" s="23">
        <f>EXP(-LN(2)/2)*AB126+(1-EXP(-LN(2)/2))/(LN(2)/2)*V127*Y127*VLOOKUP('Données projet'!$B$9,Paramètres!$A$1:$I$89,3,0)*0.475*44/12</f>
        <v>1.9111935023458166E-13</v>
      </c>
      <c r="AC127" s="24">
        <f t="shared" si="57"/>
        <v>1.2434533477324434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287.69656598881124</v>
      </c>
      <c r="AO127" s="62">
        <f t="shared" si="90"/>
        <v>221.9773436301067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0.4461745905192544</v>
      </c>
      <c r="AW127" s="23">
        <f>EXP(-LN(2)/2)*AW126+(1-EXP(-LN(2)/2))/(LN(2)/2)*AQ127*AT127*VLOOKUP('Données projet'!$B$10,Paramètres!$A$1:$I$89,3,0)*0.475*44/12</f>
        <v>1.010540740391613E-13</v>
      </c>
      <c r="AX127" s="23">
        <f t="shared" si="60"/>
        <v>0.44617459051935543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-5.3205440053716299E-14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310.95287409903602</v>
      </c>
      <c r="BJ127" s="62">
        <f t="shared" si="92"/>
        <v>224.10083380795163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-5.6843418860808015E-14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-5.6843418860808015E-14</v>
      </c>
      <c r="O128" s="14">
        <f>N128*VLOOKUP('Données projet'!$B$9,Paramètres!$A$1:$I$89,3,0)*VLOOKUP('Données projet'!$B$9,Paramètres!$A$1:$I$89,5,0)</f>
        <v>-3.1036506698001178E-14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240.19940780300527</v>
      </c>
      <c r="T128" s="62">
        <f t="shared" si="88"/>
        <v>355.71054384071715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0.31785721223841473</v>
      </c>
      <c r="AA128" s="23">
        <f>EXP(-LN(2)/25)*AA127+(1-EXP(-LN(2)/25))/(LN(2)/25)*Calculateur!V128*Calculateur!X128*VLOOKUP('Données projet'!$B$9,Paramètres!$A$1:$I$89,3,0)*0.475*44/12</f>
        <v>0.89410185511535312</v>
      </c>
      <c r="AB128" s="23">
        <f>EXP(-LN(2)/2)*AB127+(1-EXP(-LN(2)/2))/(LN(2)/2)*V128*Y128*VLOOKUP('Données projet'!$B$9,Paramètres!$A$1:$I$89,3,0)*0.475*44/12</f>
        <v>1.3514178856683947E-13</v>
      </c>
      <c r="AC128" s="24">
        <f t="shared" si="57"/>
        <v>1.2119590673539031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287.69656598881124</v>
      </c>
      <c r="AO128" s="62">
        <f t="shared" si="90"/>
        <v>221.9773436301067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0.43397392287820341</v>
      </c>
      <c r="AW128" s="23">
        <f>EXP(-LN(2)/2)*AW127+(1-EXP(-LN(2)/2))/(LN(2)/2)*AQ128*AT128*VLOOKUP('Données projet'!$B$10,Paramètres!$A$1:$I$89,3,0)*0.475*44/12</f>
        <v>7.1456021019618399E-14</v>
      </c>
      <c r="AX128" s="23">
        <f t="shared" si="60"/>
        <v>0.43397392287827485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-5.3205440053716299E-14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310.95287409903602</v>
      </c>
      <c r="BJ128" s="62">
        <f t="shared" si="92"/>
        <v>224.10083380795163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-5.6843418860808015E-14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-5.6843418860808015E-14</v>
      </c>
      <c r="O129" s="14">
        <f>N129*VLOOKUP('Données projet'!$B$9,Paramètres!$A$1:$I$89,3,0)*VLOOKUP('Données projet'!$B$9,Paramètres!$A$1:$I$89,5,0)</f>
        <v>-3.1036506698001178E-14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240.19940780300527</v>
      </c>
      <c r="T129" s="62">
        <f t="shared" si="88"/>
        <v>355.71054384071715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0.31162422618017543</v>
      </c>
      <c r="AA129" s="23">
        <f>EXP(-LN(2)/25)*AA128+(1-EXP(-LN(2)/25))/(LN(2)/25)*Calculateur!V129*Calculateur!X129*VLOOKUP('Données projet'!$B$9,Paramètres!$A$1:$I$89,3,0)*0.475*44/12</f>
        <v>0.86965259286845076</v>
      </c>
      <c r="AB129" s="23">
        <f>EXP(-LN(2)/2)*AB128+(1-EXP(-LN(2)/2))/(LN(2)/2)*V129*Y129*VLOOKUP('Données projet'!$B$9,Paramètres!$A$1:$I$89,3,0)*0.475*44/12</f>
        <v>9.5559675117290831E-14</v>
      </c>
      <c r="AC129" s="24">
        <f t="shared" si="57"/>
        <v>1.1812768190487217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287.69656598881124</v>
      </c>
      <c r="AO129" s="62">
        <f t="shared" si="90"/>
        <v>221.9773436301067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0.42210688313540218</v>
      </c>
      <c r="AW129" s="23">
        <f>EXP(-LN(2)/2)*AW128+(1-EXP(-LN(2)/2))/(LN(2)/2)*AQ129*AT129*VLOOKUP('Données projet'!$B$10,Paramètres!$A$1:$I$89,3,0)*0.475*44/12</f>
        <v>5.0527037019580648E-14</v>
      </c>
      <c r="AX129" s="23">
        <f t="shared" si="60"/>
        <v>0.42210688313545269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-5.3205440053716299E-14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310.95287409903602</v>
      </c>
      <c r="BJ129" s="62">
        <f t="shared" si="92"/>
        <v>224.10083380795163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-5.6843418860808015E-14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-5.6843418860808015E-14</v>
      </c>
      <c r="O130" s="14">
        <f>N130*VLOOKUP('Données projet'!$B$9,Paramètres!$A$1:$I$89,3,0)*VLOOKUP('Données projet'!$B$9,Paramètres!$A$1:$I$89,5,0)</f>
        <v>-3.1036506698001178E-14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240.19940780300527</v>
      </c>
      <c r="T130" s="62">
        <f t="shared" si="88"/>
        <v>355.71054384071715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0.30551346517679212</v>
      </c>
      <c r="AA130" s="23">
        <f>EXP(-LN(2)/25)*AA129+(1-EXP(-LN(2)/25))/(LN(2)/25)*Calculateur!V130*Calculateur!X130*VLOOKUP('Données projet'!$B$9,Paramètres!$A$1:$I$89,3,0)*0.475*44/12</f>
        <v>0.84587189698342069</v>
      </c>
      <c r="AB130" s="23">
        <f>EXP(-LN(2)/2)*AB129+(1-EXP(-LN(2)/2))/(LN(2)/2)*V130*Y130*VLOOKUP('Données projet'!$B$9,Paramètres!$A$1:$I$89,3,0)*0.475*44/12</f>
        <v>6.7570894283419737E-14</v>
      </c>
      <c r="AC130" s="24">
        <f t="shared" si="57"/>
        <v>1.1513853621602803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287.69656598881124</v>
      </c>
      <c r="AO130" s="62">
        <f t="shared" si="90"/>
        <v>221.9773436301067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0.41056434821842835</v>
      </c>
      <c r="AW130" s="23">
        <f>EXP(-LN(2)/2)*AW129+(1-EXP(-LN(2)/2))/(LN(2)/2)*AQ130*AT130*VLOOKUP('Données projet'!$B$10,Paramètres!$A$1:$I$89,3,0)*0.475*44/12</f>
        <v>3.5728010509809199E-14</v>
      </c>
      <c r="AX130" s="23">
        <f t="shared" si="60"/>
        <v>0.4105643482184641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-5.3205440053716299E-14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310.95287409903602</v>
      </c>
      <c r="BJ130" s="62">
        <f t="shared" si="92"/>
        <v>224.10083380795163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-5.6843418860808015E-14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-5.6843418860808015E-14</v>
      </c>
      <c r="O131" s="14">
        <f>N131*VLOOKUP('Données projet'!$B$9,Paramètres!$A$1:$I$89,3,0)*VLOOKUP('Données projet'!$B$9,Paramètres!$A$1:$I$89,5,0)</f>
        <v>-3.1036506698001178E-14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240.19940780300527</v>
      </c>
      <c r="T131" s="62">
        <f t="shared" si="88"/>
        <v>355.71054384071715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0.29952253246948896</v>
      </c>
      <c r="AA131" s="23">
        <f>EXP(-LN(2)/25)*AA130+(1-EXP(-LN(2)/25))/(LN(2)/25)*Calculateur!V131*Calculateur!X131*VLOOKUP('Données projet'!$B$9,Paramètres!$A$1:$I$89,3,0)*0.475*44/12</f>
        <v>0.82274148547793924</v>
      </c>
      <c r="AB131" s="23">
        <f>EXP(-LN(2)/2)*AB130+(1-EXP(-LN(2)/2))/(LN(2)/2)*V131*Y131*VLOOKUP('Données projet'!$B$9,Paramètres!$A$1:$I$89,3,0)*0.475*44/12</f>
        <v>4.7779837558645416E-14</v>
      </c>
      <c r="AC131" s="24">
        <f t="shared" si="57"/>
        <v>1.1222640179474759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287.69656598881124</v>
      </c>
      <c r="AO131" s="62">
        <f t="shared" si="90"/>
        <v>221.9773436301067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0.3993374445257547</v>
      </c>
      <c r="AW131" s="23">
        <f>EXP(-LN(2)/2)*AW130+(1-EXP(-LN(2)/2))/(LN(2)/2)*AQ131*AT131*VLOOKUP('Données projet'!$B$10,Paramètres!$A$1:$I$89,3,0)*0.475*44/12</f>
        <v>2.5263518509790324E-14</v>
      </c>
      <c r="AX131" s="23">
        <f t="shared" si="60"/>
        <v>0.39933744452577996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-5.3205440053716299E-14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310.95287409903602</v>
      </c>
      <c r="BJ131" s="62">
        <f t="shared" si="92"/>
        <v>224.10083380795163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-5.6843418860808015E-14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-5.6843418860808015E-14</v>
      </c>
      <c r="O132" s="14">
        <f>N132*VLOOKUP('Données projet'!$B$9,Paramètres!$A$1:$I$89,3,0)*VLOOKUP('Données projet'!$B$9,Paramètres!$A$1:$I$89,5,0)</f>
        <v>-3.1036506698001178E-14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240.19940780300527</v>
      </c>
      <c r="T132" s="62">
        <f t="shared" si="88"/>
        <v>355.71054384071715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0.29364907829846787</v>
      </c>
      <c r="AA132" s="23">
        <f>EXP(-LN(2)/25)*AA131+(1-EXP(-LN(2)/25))/(LN(2)/25)*Calculateur!V132*Calculateur!X132*VLOOKUP('Données projet'!$B$9,Paramètres!$A$1:$I$89,3,0)*0.475*44/12</f>
        <v>0.80024357629145071</v>
      </c>
      <c r="AB132" s="23">
        <f>EXP(-LN(2)/2)*AB131+(1-EXP(-LN(2)/2))/(LN(2)/2)*V132*Y132*VLOOKUP('Données projet'!$B$9,Paramètres!$A$1:$I$89,3,0)*0.475*44/12</f>
        <v>3.3785447141709868E-14</v>
      </c>
      <c r="AC132" s="24">
        <f t="shared" ref="AC132:AC153" si="111">SUM(Z132:AB132)</f>
        <v>1.0938926545899523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287.69656598881124</v>
      </c>
      <c r="AO132" s="62">
        <f t="shared" si="90"/>
        <v>221.9773436301067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0.38841754110495441</v>
      </c>
      <c r="AW132" s="23">
        <f>EXP(-LN(2)/2)*AW131+(1-EXP(-LN(2)/2))/(LN(2)/2)*AQ132*AT132*VLOOKUP('Données projet'!$B$10,Paramètres!$A$1:$I$89,3,0)*0.475*44/12</f>
        <v>1.78640052549046E-14</v>
      </c>
      <c r="AX132" s="23">
        <f t="shared" ref="AX132:AX153" si="114">SUM(AU132:AW132)</f>
        <v>0.38841754110497229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-5.3205440053716299E-14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310.95287409903602</v>
      </c>
      <c r="BJ132" s="62">
        <f t="shared" si="92"/>
        <v>224.10083380795163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-5.6843418860808015E-14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projet'!$B$9,Paramètres!$A$1:$I$89,3,0)*VLOOKUP('Données projet'!$B$9,Paramètres!$A$1:$I$89,5,0)</f>
        <v>-3.1036506698001178E-14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240.19940780300527</v>
      </c>
      <c r="T133" s="62">
        <f t="shared" ref="T133:T196" si="142">$T$3</f>
        <v>355.71054384071715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0.28789079898128722</v>
      </c>
      <c r="AA133" s="23">
        <f>EXP(-LN(2)/25)*AA132+(1-EXP(-LN(2)/25))/(LN(2)/25)*Calculateur!V133*Calculateur!X133*VLOOKUP('Données projet'!$B$9,Paramètres!$A$1:$I$89,3,0)*0.475*44/12</f>
        <v>0.77836087361478035</v>
      </c>
      <c r="AB133" s="23">
        <f>EXP(-LN(2)/2)*AB132+(1-EXP(-LN(2)/2))/(LN(2)/2)*V133*Y133*VLOOKUP('Données projet'!$B$9,Paramètres!$A$1:$I$89,3,0)*0.475*44/12</f>
        <v>2.3889918779322708E-14</v>
      </c>
      <c r="AC133" s="24">
        <f t="shared" si="111"/>
        <v>1.0662516725960915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287.69656598881124</v>
      </c>
      <c r="AO133" s="62">
        <f t="shared" ref="AO133:AO196" si="144">$AO$3</f>
        <v>221.9773436301067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0.37779624301744869</v>
      </c>
      <c r="AW133" s="23">
        <f>EXP(-LN(2)/2)*AW132+(1-EXP(-LN(2)/2))/(LN(2)/2)*AQ133*AT133*VLOOKUP('Données projet'!$B$10,Paramètres!$A$1:$I$89,3,0)*0.475*44/12</f>
        <v>1.2631759254895162E-14</v>
      </c>
      <c r="AX133" s="23">
        <f t="shared" si="114"/>
        <v>0.37779624301746134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-5.3205440053716299E-14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310.95287409903602</v>
      </c>
      <c r="BJ133" s="62">
        <f t="shared" ref="BJ133:BJ196" si="146">$BJ$3</f>
        <v>224.10083380795163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-5.6843418860808015E-14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projet'!$B$9,Paramètres!$A$1:$I$89,3,0)*VLOOKUP('Données projet'!$B$9,Paramètres!$A$1:$I$89,5,0)</f>
        <v>-3.1036506698001178E-14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240.19940780300527</v>
      </c>
      <c r="T134" s="62">
        <f t="shared" si="142"/>
        <v>355.71054384071715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0.2822454360093129</v>
      </c>
      <c r="AA134" s="23">
        <f>EXP(-LN(2)/25)*AA133+(1-EXP(-LN(2)/25))/(LN(2)/25)*Calculateur!V134*Calculateur!X134*VLOOKUP('Données projet'!$B$9,Paramètres!$A$1:$I$89,3,0)*0.475*44/12</f>
        <v>0.75707655459356482</v>
      </c>
      <c r="AB134" s="23">
        <f>EXP(-LN(2)/2)*AB133+(1-EXP(-LN(2)/2))/(LN(2)/2)*V134*Y134*VLOOKUP('Données projet'!$B$9,Paramètres!$A$1:$I$89,3,0)*0.475*44/12</f>
        <v>1.6892723570854934E-14</v>
      </c>
      <c r="AC134" s="24">
        <f t="shared" si="111"/>
        <v>1.0393219906028945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287.69656598881124</v>
      </c>
      <c r="AO134" s="62">
        <f t="shared" si="144"/>
        <v>221.9773436301067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0.3674653848846956</v>
      </c>
      <c r="AW134" s="23">
        <f>EXP(-LN(2)/2)*AW133+(1-EXP(-LN(2)/2))/(LN(2)/2)*AQ134*AT134*VLOOKUP('Données projet'!$B$10,Paramètres!$A$1:$I$89,3,0)*0.475*44/12</f>
        <v>8.9320026274522999E-15</v>
      </c>
      <c r="AX134" s="23">
        <f t="shared" si="114"/>
        <v>0.36746538488470454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-5.3205440053716299E-14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310.95287409903602</v>
      </c>
      <c r="BJ134" s="62">
        <f t="shared" si="146"/>
        <v>224.10083380795163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-5.6843418860808015E-14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projet'!$B$9,Paramètres!$A$1:$I$89,3,0)*VLOOKUP('Données projet'!$B$9,Paramètres!$A$1:$I$89,5,0)</f>
        <v>-3.1036506698001178E-14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240.19940780300527</v>
      </c>
      <c r="T135" s="62">
        <f t="shared" si="142"/>
        <v>355.71054384071715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0.27671077516188758</v>
      </c>
      <c r="AA135" s="23">
        <f>EXP(-LN(2)/25)*AA134+(1-EXP(-LN(2)/25))/(LN(2)/25)*Calculateur!V135*Calculateur!X135*VLOOKUP('Données projet'!$B$9,Paramètres!$A$1:$I$89,3,0)*0.475*44/12</f>
        <v>0.73637425639527809</v>
      </c>
      <c r="AB135" s="23">
        <f>EXP(-LN(2)/2)*AB134+(1-EXP(-LN(2)/2))/(LN(2)/2)*V135*Y135*VLOOKUP('Données projet'!$B$9,Paramètres!$A$1:$I$89,3,0)*0.475*44/12</f>
        <v>1.1944959389661354E-14</v>
      </c>
      <c r="AC135" s="24">
        <f t="shared" si="111"/>
        <v>1.0130850315571776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287.69656598881124</v>
      </c>
      <c r="AO135" s="62">
        <f t="shared" si="144"/>
        <v>221.9773436301067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0.35741702461085884</v>
      </c>
      <c r="AW135" s="23">
        <f>EXP(-LN(2)/2)*AW134+(1-EXP(-LN(2)/2))/(LN(2)/2)*AQ135*AT135*VLOOKUP('Données projet'!$B$10,Paramètres!$A$1:$I$89,3,0)*0.475*44/12</f>
        <v>6.315879627447581E-15</v>
      </c>
      <c r="AX135" s="23">
        <f t="shared" si="114"/>
        <v>0.35741702461086516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-5.3205440053716299E-14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310.95287409903602</v>
      </c>
      <c r="BJ135" s="62">
        <f t="shared" si="146"/>
        <v>224.10083380795163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-5.6843418860808015E-14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projet'!$B$9,Paramètres!$A$1:$I$89,3,0)*VLOOKUP('Données projet'!$B$9,Paramètres!$A$1:$I$89,5,0)</f>
        <v>-3.1036506698001178E-14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240.19940780300527</v>
      </c>
      <c r="T136" s="62">
        <f t="shared" si="142"/>
        <v>355.71054384071715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0.27128464563787047</v>
      </c>
      <c r="AA136" s="23">
        <f>EXP(-LN(2)/25)*AA135+(1-EXP(-LN(2)/25))/(LN(2)/25)*Calculateur!V136*Calculateur!X136*VLOOKUP('Données projet'!$B$9,Paramètres!$A$1:$I$89,3,0)*0.475*44/12</f>
        <v>0.71623806362991005</v>
      </c>
      <c r="AB136" s="23">
        <f>EXP(-LN(2)/2)*AB135+(1-EXP(-LN(2)/2))/(LN(2)/2)*V136*Y136*VLOOKUP('Données projet'!$B$9,Paramètres!$A$1:$I$89,3,0)*0.475*44/12</f>
        <v>8.4463617854274671E-15</v>
      </c>
      <c r="AC136" s="24">
        <f t="shared" si="111"/>
        <v>0.98752270926778896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287.69656598881124</v>
      </c>
      <c r="AO136" s="62">
        <f t="shared" si="144"/>
        <v>221.9773436301067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0.34764343727713048</v>
      </c>
      <c r="AW136" s="23">
        <f>EXP(-LN(2)/2)*AW135+(1-EXP(-LN(2)/2))/(LN(2)/2)*AQ136*AT136*VLOOKUP('Données projet'!$B$10,Paramètres!$A$1:$I$89,3,0)*0.475*44/12</f>
        <v>4.4660013137261499E-15</v>
      </c>
      <c r="AX136" s="23">
        <f t="shared" si="114"/>
        <v>0.34764343727713493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-5.3205440053716299E-14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310.95287409903602</v>
      </c>
      <c r="BJ136" s="62">
        <f t="shared" si="146"/>
        <v>224.10083380795163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-5.6843418860808015E-14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projet'!$B$9,Paramètres!$A$1:$I$89,3,0)*VLOOKUP('Données projet'!$B$9,Paramètres!$A$1:$I$89,5,0)</f>
        <v>-3.1036506698001178E-14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240.19940780300527</v>
      </c>
      <c r="T137" s="62">
        <f t="shared" si="142"/>
        <v>355.71054384071715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0.26596491920420712</v>
      </c>
      <c r="AA137" s="23">
        <f>EXP(-LN(2)/25)*AA136+(1-EXP(-LN(2)/25))/(LN(2)/25)*Calculateur!V137*Calculateur!X137*VLOOKUP('Données projet'!$B$9,Paramètres!$A$1:$I$89,3,0)*0.475*44/12</f>
        <v>0.69665249611462743</v>
      </c>
      <c r="AB137" s="23">
        <f>EXP(-LN(2)/2)*AB136+(1-EXP(-LN(2)/2))/(LN(2)/2)*V137*Y137*VLOOKUP('Données projet'!$B$9,Paramètres!$A$1:$I$89,3,0)*0.475*44/12</f>
        <v>5.9724796948306769E-15</v>
      </c>
      <c r="AC137" s="24">
        <f t="shared" si="111"/>
        <v>0.96261741531884049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287.69656598881124</v>
      </c>
      <c r="AO137" s="62">
        <f t="shared" si="144"/>
        <v>221.9773436301067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0.33813710920301354</v>
      </c>
      <c r="AW137" s="23">
        <f>EXP(-LN(2)/2)*AW136+(1-EXP(-LN(2)/2))/(LN(2)/2)*AQ137*AT137*VLOOKUP('Données projet'!$B$10,Paramètres!$A$1:$I$89,3,0)*0.475*44/12</f>
        <v>3.1579398137237905E-15</v>
      </c>
      <c r="AX137" s="23">
        <f t="shared" si="114"/>
        <v>0.33813710920301671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-5.3205440053716299E-14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310.95287409903602</v>
      </c>
      <c r="BJ137" s="62">
        <f t="shared" si="146"/>
        <v>224.10083380795163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-5.6843418860808015E-14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projet'!$B$9,Paramètres!$A$1:$I$89,3,0)*VLOOKUP('Données projet'!$B$9,Paramètres!$A$1:$I$89,5,0)</f>
        <v>-3.1036506698001178E-14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240.19940780300527</v>
      </c>
      <c r="T138" s="62">
        <f t="shared" si="142"/>
        <v>355.71054384071715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0.26074950936119518</v>
      </c>
      <c r="AA138" s="23">
        <f>EXP(-LN(2)/25)*AA137+(1-EXP(-LN(2)/25))/(LN(2)/25)*Calculateur!V138*Calculateur!X138*VLOOKUP('Données projet'!$B$9,Paramètres!$A$1:$I$89,3,0)*0.475*44/12</f>
        <v>0.67760249697301034</v>
      </c>
      <c r="AB138" s="23">
        <f>EXP(-LN(2)/2)*AB137+(1-EXP(-LN(2)/2))/(LN(2)/2)*V138*Y138*VLOOKUP('Données projet'!$B$9,Paramètres!$A$1:$I$89,3,0)*0.475*44/12</f>
        <v>4.2231808927137335E-15</v>
      </c>
      <c r="AC138" s="24">
        <f t="shared" si="111"/>
        <v>0.93835200633420968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287.69656598881124</v>
      </c>
      <c r="AO138" s="62">
        <f t="shared" si="144"/>
        <v>221.9773436301067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0.32889073216999937</v>
      </c>
      <c r="AW138" s="23">
        <f>EXP(-LN(2)/2)*AW137+(1-EXP(-LN(2)/2))/(LN(2)/2)*AQ138*AT138*VLOOKUP('Données projet'!$B$10,Paramètres!$A$1:$I$89,3,0)*0.475*44/12</f>
        <v>2.233000656863075E-15</v>
      </c>
      <c r="AX138" s="23">
        <f t="shared" si="114"/>
        <v>0.32889073217000159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-5.3205440053716299E-14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310.95287409903602</v>
      </c>
      <c r="BJ138" s="62">
        <f t="shared" si="146"/>
        <v>224.10083380795163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-5.6843418860808015E-14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projet'!$B$9,Paramètres!$A$1:$I$89,3,0)*VLOOKUP('Données projet'!$B$9,Paramètres!$A$1:$I$89,5,0)</f>
        <v>-3.1036506698001178E-14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240.19940780300527</v>
      </c>
      <c r="T139" s="62">
        <f t="shared" si="142"/>
        <v>355.71054384071715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0.25563637052411881</v>
      </c>
      <c r="AA139" s="23">
        <f>EXP(-LN(2)/25)*AA138+(1-EXP(-LN(2)/25))/(LN(2)/25)*Calculateur!V139*Calculateur!X139*VLOOKUP('Données projet'!$B$9,Paramètres!$A$1:$I$89,3,0)*0.475*44/12</f>
        <v>0.65907342105971678</v>
      </c>
      <c r="AB139" s="23">
        <f>EXP(-LN(2)/2)*AB138+(1-EXP(-LN(2)/2))/(LN(2)/2)*V139*Y139*VLOOKUP('Données projet'!$B$9,Paramètres!$A$1:$I$89,3,0)*0.475*44/12</f>
        <v>2.9862398474153385E-15</v>
      </c>
      <c r="AC139" s="24">
        <f t="shared" si="111"/>
        <v>0.91470979158383858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287.69656598881124</v>
      </c>
      <c r="AO139" s="62">
        <f t="shared" si="144"/>
        <v>221.9773436301067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0.31989719780319881</v>
      </c>
      <c r="AW139" s="23">
        <f>EXP(-LN(2)/2)*AW138+(1-EXP(-LN(2)/2))/(LN(2)/2)*AQ139*AT139*VLOOKUP('Données projet'!$B$10,Paramètres!$A$1:$I$89,3,0)*0.475*44/12</f>
        <v>1.5789699068618953E-15</v>
      </c>
      <c r="AX139" s="23">
        <f t="shared" si="114"/>
        <v>0.31989719780320036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-5.3205440053716299E-14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310.95287409903602</v>
      </c>
      <c r="BJ139" s="62">
        <f t="shared" si="146"/>
        <v>224.10083380795163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-5.6843418860808015E-14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projet'!$B$9,Paramètres!$A$1:$I$89,3,0)*VLOOKUP('Données projet'!$B$9,Paramètres!$A$1:$I$89,5,0)</f>
        <v>-3.1036506698001178E-14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240.19940780300527</v>
      </c>
      <c r="T140" s="62">
        <f t="shared" si="142"/>
        <v>355.71054384071715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0.25062349722093075</v>
      </c>
      <c r="AA140" s="23">
        <f>EXP(-LN(2)/25)*AA139+(1-EXP(-LN(2)/25))/(LN(2)/25)*Calculateur!V140*Calculateur!X140*VLOOKUP('Données projet'!$B$9,Paramètres!$A$1:$I$89,3,0)*0.475*44/12</f>
        <v>0.64105102370167399</v>
      </c>
      <c r="AB140" s="23">
        <f>EXP(-LN(2)/2)*AB139+(1-EXP(-LN(2)/2))/(LN(2)/2)*V140*Y140*VLOOKUP('Données projet'!$B$9,Paramètres!$A$1:$I$89,3,0)*0.475*44/12</f>
        <v>2.1115904463568668E-15</v>
      </c>
      <c r="AC140" s="24">
        <f t="shared" si="111"/>
        <v>0.89167452092260679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287.69656598881124</v>
      </c>
      <c r="AO140" s="62">
        <f t="shared" si="144"/>
        <v>221.9773436301067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0.31114959210660786</v>
      </c>
      <c r="AW140" s="23">
        <f>EXP(-LN(2)/2)*AW139+(1-EXP(-LN(2)/2))/(LN(2)/2)*AQ140*AT140*VLOOKUP('Données projet'!$B$10,Paramètres!$A$1:$I$89,3,0)*0.475*44/12</f>
        <v>1.1165003284315375E-15</v>
      </c>
      <c r="AX140" s="23">
        <f t="shared" si="114"/>
        <v>0.31114959210660897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-5.3205440053716299E-14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310.95287409903602</v>
      </c>
      <c r="BJ140" s="62">
        <f t="shared" si="146"/>
        <v>224.10083380795163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-5.6843418860808015E-14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projet'!$B$9,Paramètres!$A$1:$I$89,3,0)*VLOOKUP('Données projet'!$B$9,Paramètres!$A$1:$I$89,5,0)</f>
        <v>-3.1036506698001178E-14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240.19940780300527</v>
      </c>
      <c r="T141" s="62">
        <f t="shared" si="142"/>
        <v>355.71054384071715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0.2457089233056674</v>
      </c>
      <c r="AA141" s="23">
        <f>EXP(-LN(2)/25)*AA140+(1-EXP(-LN(2)/25))/(LN(2)/25)*Calculateur!V141*Calculateur!X141*VLOOKUP('Données projet'!$B$9,Paramètres!$A$1:$I$89,3,0)*0.475*44/12</f>
        <v>0.62352144974714352</v>
      </c>
      <c r="AB141" s="23">
        <f>EXP(-LN(2)/2)*AB140+(1-EXP(-LN(2)/2))/(LN(2)/2)*V141*Y141*VLOOKUP('Données projet'!$B$9,Paramètres!$A$1:$I$89,3,0)*0.475*44/12</f>
        <v>1.4931199237076692E-15</v>
      </c>
      <c r="AC141" s="24">
        <f t="shared" si="111"/>
        <v>0.86923037305281237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287.69656598881124</v>
      </c>
      <c r="AO141" s="62">
        <f t="shared" si="144"/>
        <v>221.9773436301067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0.30264119014780677</v>
      </c>
      <c r="AW141" s="23">
        <f>EXP(-LN(2)/2)*AW140+(1-EXP(-LN(2)/2))/(LN(2)/2)*AQ141*AT141*VLOOKUP('Données projet'!$B$10,Paramètres!$A$1:$I$89,3,0)*0.475*44/12</f>
        <v>7.8948495343094763E-16</v>
      </c>
      <c r="AX141" s="23">
        <f t="shared" si="114"/>
        <v>0.30264119014780755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-5.3205440053716299E-14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310.95287409903602</v>
      </c>
      <c r="BJ141" s="62">
        <f t="shared" si="146"/>
        <v>224.10083380795163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-5.6843418860808015E-14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projet'!$B$9,Paramètres!$A$1:$I$89,3,0)*VLOOKUP('Données projet'!$B$9,Paramètres!$A$1:$I$89,5,0)</f>
        <v>-3.1036506698001178E-14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240.19940780300527</v>
      </c>
      <c r="T142" s="62">
        <f t="shared" si="142"/>
        <v>355.71054384071715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0.24089072118728827</v>
      </c>
      <c r="AA142" s="23">
        <f>EXP(-LN(2)/25)*AA141+(1-EXP(-LN(2)/25))/(LN(2)/25)*Calculateur!V142*Calculateur!X142*VLOOKUP('Données projet'!$B$9,Paramètres!$A$1:$I$89,3,0)*0.475*44/12</f>
        <v>0.60647122291423994</v>
      </c>
      <c r="AB142" s="23">
        <f>EXP(-LN(2)/2)*AB141+(1-EXP(-LN(2)/2))/(LN(2)/2)*V142*Y142*VLOOKUP('Données projet'!$B$9,Paramètres!$A$1:$I$89,3,0)*0.475*44/12</f>
        <v>1.0557952231784334E-15</v>
      </c>
      <c r="AC142" s="24">
        <f t="shared" si="111"/>
        <v>0.84736194410152932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287.69656598881124</v>
      </c>
      <c r="AO142" s="62">
        <f t="shared" si="144"/>
        <v>221.9773436301067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0.29436545088800647</v>
      </c>
      <c r="AW142" s="23">
        <f>EXP(-LN(2)/2)*AW141+(1-EXP(-LN(2)/2))/(LN(2)/2)*AQ142*AT142*VLOOKUP('Données projet'!$B$10,Paramètres!$A$1:$I$89,3,0)*0.475*44/12</f>
        <v>5.5825016421576874E-16</v>
      </c>
      <c r="AX142" s="23">
        <f t="shared" si="114"/>
        <v>0.29436545088800703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-5.3205440053716299E-14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310.95287409903602</v>
      </c>
      <c r="BJ142" s="62">
        <f t="shared" si="146"/>
        <v>224.10083380795163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-5.6843418860808015E-14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projet'!$B$9,Paramètres!$A$1:$I$89,3,0)*VLOOKUP('Données projet'!$B$9,Paramètres!$A$1:$I$89,5,0)</f>
        <v>-3.1036506698001178E-14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240.19940780300527</v>
      </c>
      <c r="T143" s="62">
        <f t="shared" si="142"/>
        <v>355.71054384071715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0.23616700107363744</v>
      </c>
      <c r="AA143" s="23">
        <f>EXP(-LN(2)/25)*AA142+(1-EXP(-LN(2)/25))/(LN(2)/25)*Calculateur!V143*Calculateur!X143*VLOOKUP('Données projet'!$B$9,Paramètres!$A$1:$I$89,3,0)*0.475*44/12</f>
        <v>0.58988723543071453</v>
      </c>
      <c r="AB143" s="23">
        <f>EXP(-LN(2)/2)*AB142+(1-EXP(-LN(2)/2))/(LN(2)/2)*V143*Y143*VLOOKUP('Données projet'!$B$9,Paramètres!$A$1:$I$89,3,0)*0.475*44/12</f>
        <v>7.4655996185383462E-16</v>
      </c>
      <c r="AC143" s="24">
        <f t="shared" si="111"/>
        <v>0.82605423650435272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287.69656598881124</v>
      </c>
      <c r="AO143" s="62">
        <f t="shared" si="144"/>
        <v>221.9773436301067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0.28631601215346764</v>
      </c>
      <c r="AW143" s="23">
        <f>EXP(-LN(2)/2)*AW142+(1-EXP(-LN(2)/2))/(LN(2)/2)*AQ143*AT143*VLOOKUP('Données projet'!$B$10,Paramètres!$A$1:$I$89,3,0)*0.475*44/12</f>
        <v>3.9474247671547381E-16</v>
      </c>
      <c r="AX143" s="23">
        <f t="shared" si="114"/>
        <v>0.28631601215346802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-5.3205440053716299E-14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310.95287409903602</v>
      </c>
      <c r="BJ143" s="62">
        <f t="shared" si="146"/>
        <v>224.10083380795163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-5.6843418860808015E-14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projet'!$B$9,Paramètres!$A$1:$I$89,3,0)*VLOOKUP('Données projet'!$B$9,Paramètres!$A$1:$I$89,5,0)</f>
        <v>-3.1036506698001178E-14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240.19940780300527</v>
      </c>
      <c r="T144" s="62">
        <f t="shared" si="142"/>
        <v>355.71054384071715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0.23153591023023054</v>
      </c>
      <c r="AA144" s="23">
        <f>EXP(-LN(2)/25)*AA143+(1-EXP(-LN(2)/25))/(LN(2)/25)*Calculateur!V144*Calculateur!X144*VLOOKUP('Données projet'!$B$9,Paramètres!$A$1:$I$89,3,0)*0.475*44/12</f>
        <v>0.57375673795704019</v>
      </c>
      <c r="AB144" s="23">
        <f>EXP(-LN(2)/2)*AB143+(1-EXP(-LN(2)/2))/(LN(2)/2)*V144*Y144*VLOOKUP('Données projet'!$B$9,Paramètres!$A$1:$I$89,3,0)*0.475*44/12</f>
        <v>5.2789761158921669E-16</v>
      </c>
      <c r="AC144" s="24">
        <f t="shared" si="111"/>
        <v>0.80529264818727131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287.69656598881124</v>
      </c>
      <c r="AO144" s="62">
        <f t="shared" si="144"/>
        <v>221.9773436301067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0.27848668574442637</v>
      </c>
      <c r="AW144" s="23">
        <f>EXP(-LN(2)/2)*AW143+(1-EXP(-LN(2)/2))/(LN(2)/2)*AQ144*AT144*VLOOKUP('Données projet'!$B$10,Paramètres!$A$1:$I$89,3,0)*0.475*44/12</f>
        <v>2.7912508210788437E-16</v>
      </c>
      <c r="AX144" s="23">
        <f t="shared" si="114"/>
        <v>0.27848668574442664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-5.3205440053716299E-14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310.95287409903602</v>
      </c>
      <c r="BJ144" s="62">
        <f t="shared" si="146"/>
        <v>224.10083380795163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-5.6843418860808015E-14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projet'!$B$9,Paramètres!$A$1:$I$89,3,0)*VLOOKUP('Données projet'!$B$9,Paramètres!$A$1:$I$89,5,0)</f>
        <v>-3.1036506698001178E-14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240.19940780300527</v>
      </c>
      <c r="T145" s="62">
        <f t="shared" si="142"/>
        <v>355.71054384071715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0.22699563225357636</v>
      </c>
      <c r="AA145" s="23">
        <f>EXP(-LN(2)/25)*AA144+(1-EXP(-LN(2)/25))/(LN(2)/25)*Calculateur!V145*Calculateur!X145*VLOOKUP('Données projet'!$B$9,Paramètres!$A$1:$I$89,3,0)*0.475*44/12</f>
        <v>0.55806732978504936</v>
      </c>
      <c r="AB145" s="23">
        <f>EXP(-LN(2)/2)*AB144+(1-EXP(-LN(2)/2))/(LN(2)/2)*V145*Y145*VLOOKUP('Données projet'!$B$9,Paramètres!$A$1:$I$89,3,0)*0.475*44/12</f>
        <v>3.7327998092691731E-16</v>
      </c>
      <c r="AC145" s="24">
        <f t="shared" si="111"/>
        <v>0.78506296203862602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287.69656598881124</v>
      </c>
      <c r="AO145" s="62">
        <f t="shared" si="144"/>
        <v>221.9773436301067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0.27087145267776669</v>
      </c>
      <c r="AW145" s="23">
        <f>EXP(-LN(2)/2)*AW144+(1-EXP(-LN(2)/2))/(LN(2)/2)*AQ145*AT145*VLOOKUP('Données projet'!$B$10,Paramètres!$A$1:$I$89,3,0)*0.475*44/12</f>
        <v>1.9737123835773691E-16</v>
      </c>
      <c r="AX145" s="23">
        <f t="shared" si="114"/>
        <v>0.27087145267776691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-5.3205440053716299E-14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310.95287409903602</v>
      </c>
      <c r="BJ145" s="62">
        <f t="shared" si="146"/>
        <v>224.10083380795163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-5.6843418860808015E-14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projet'!$B$9,Paramètres!$A$1:$I$89,3,0)*VLOOKUP('Données projet'!$B$9,Paramètres!$A$1:$I$89,5,0)</f>
        <v>-3.1036506698001178E-14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240.19940780300527</v>
      </c>
      <c r="T146" s="62">
        <f t="shared" si="142"/>
        <v>355.71054384071715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0.22254438635874824</v>
      </c>
      <c r="AA146" s="23">
        <f>EXP(-LN(2)/25)*AA145+(1-EXP(-LN(2)/25))/(LN(2)/25)*Calculateur!V146*Calculateur!X146*VLOOKUP('Données projet'!$B$9,Paramètres!$A$1:$I$89,3,0)*0.475*44/12</f>
        <v>0.54280694930459183</v>
      </c>
      <c r="AB146" s="23">
        <f>EXP(-LN(2)/2)*AB145+(1-EXP(-LN(2)/2))/(LN(2)/2)*V146*Y146*VLOOKUP('Données projet'!$B$9,Paramètres!$A$1:$I$89,3,0)*0.475*44/12</f>
        <v>2.6394880579460835E-16</v>
      </c>
      <c r="AC146" s="24">
        <f t="shared" si="111"/>
        <v>0.76535133566334035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287.69656598881124</v>
      </c>
      <c r="AO146" s="62">
        <f t="shared" si="144"/>
        <v>221.9773436301067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0.26346445855978257</v>
      </c>
      <c r="AW146" s="23">
        <f>EXP(-LN(2)/2)*AW145+(1-EXP(-LN(2)/2))/(LN(2)/2)*AQ146*AT146*VLOOKUP('Données projet'!$B$10,Paramètres!$A$1:$I$89,3,0)*0.475*44/12</f>
        <v>1.3956254105394219E-16</v>
      </c>
      <c r="AX146" s="23">
        <f t="shared" si="114"/>
        <v>0.26346445855978273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-5.3205440053716299E-14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310.95287409903602</v>
      </c>
      <c r="BJ146" s="62">
        <f t="shared" si="146"/>
        <v>224.10083380795163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-5.6843418860808015E-14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projet'!$B$9,Paramètres!$A$1:$I$89,3,0)*VLOOKUP('Données projet'!$B$9,Paramètres!$A$1:$I$89,5,0)</f>
        <v>-3.1036506698001178E-14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240.19940780300527</v>
      </c>
      <c r="T147" s="62">
        <f t="shared" si="142"/>
        <v>355.71054384071715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0.21818042668092577</v>
      </c>
      <c r="AA147" s="23">
        <f>EXP(-LN(2)/25)*AA146+(1-EXP(-LN(2)/25))/(LN(2)/25)*Calculateur!V147*Calculateur!X147*VLOOKUP('Données projet'!$B$9,Paramètres!$A$1:$I$89,3,0)*0.475*44/12</f>
        <v>0.52796386473088086</v>
      </c>
      <c r="AB147" s="23">
        <f>EXP(-LN(2)/2)*AB146+(1-EXP(-LN(2)/2))/(LN(2)/2)*V147*Y147*VLOOKUP('Données projet'!$B$9,Paramètres!$A$1:$I$89,3,0)*0.475*44/12</f>
        <v>1.8663999046345865E-16</v>
      </c>
      <c r="AC147" s="24">
        <f t="shared" si="111"/>
        <v>0.74614429141180683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287.69656598881124</v>
      </c>
      <c r="AO147" s="62">
        <f t="shared" si="144"/>
        <v>221.9773436301067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0.25626000908547159</v>
      </c>
      <c r="AW147" s="23">
        <f>EXP(-LN(2)/2)*AW146+(1-EXP(-LN(2)/2))/(LN(2)/2)*AQ147*AT147*VLOOKUP('Données projet'!$B$10,Paramètres!$A$1:$I$89,3,0)*0.475*44/12</f>
        <v>9.8685619178868454E-17</v>
      </c>
      <c r="AX147" s="23">
        <f t="shared" si="114"/>
        <v>0.2562600090854717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-5.3205440053716299E-14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310.95287409903602</v>
      </c>
      <c r="BJ147" s="62">
        <f t="shared" si="146"/>
        <v>224.10083380795163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-5.6843418860808015E-14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projet'!$B$9,Paramètres!$A$1:$I$89,3,0)*VLOOKUP('Données projet'!$B$9,Paramètres!$A$1:$I$89,5,0)</f>
        <v>-3.1036506698001178E-14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240.19940780300527</v>
      </c>
      <c r="T148" s="62">
        <f t="shared" si="142"/>
        <v>355.71054384071715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0.21390204159063284</v>
      </c>
      <c r="AA148" s="23">
        <f>EXP(-LN(2)/25)*AA147+(1-EXP(-LN(2)/25))/(LN(2)/25)*Calculateur!V148*Calculateur!X148*VLOOKUP('Données projet'!$B$9,Paramètres!$A$1:$I$89,3,0)*0.475*44/12</f>
        <v>0.5135266650854019</v>
      </c>
      <c r="AB148" s="23">
        <f>EXP(-LN(2)/2)*AB147+(1-EXP(-LN(2)/2))/(LN(2)/2)*V148*Y148*VLOOKUP('Données projet'!$B$9,Paramètres!$A$1:$I$89,3,0)*0.475*44/12</f>
        <v>1.3197440289730417E-16</v>
      </c>
      <c r="AC148" s="24">
        <f t="shared" si="111"/>
        <v>0.72742870667603488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287.69656598881124</v>
      </c>
      <c r="AO148" s="62">
        <f t="shared" si="144"/>
        <v>221.9773436301067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0.24925256566090118</v>
      </c>
      <c r="AW148" s="23">
        <f>EXP(-LN(2)/2)*AW147+(1-EXP(-LN(2)/2))/(LN(2)/2)*AQ148*AT148*VLOOKUP('Données projet'!$B$10,Paramètres!$A$1:$I$89,3,0)*0.475*44/12</f>
        <v>6.9781270526971093E-17</v>
      </c>
      <c r="AX148" s="23">
        <f t="shared" si="114"/>
        <v>0.24925256566090126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-5.3205440053716299E-14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310.95287409903602</v>
      </c>
      <c r="BJ148" s="62">
        <f t="shared" si="146"/>
        <v>224.10083380795163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-5.6843418860808015E-14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projet'!$B$9,Paramètres!$A$1:$I$89,3,0)*VLOOKUP('Données projet'!$B$9,Paramètres!$A$1:$I$89,5,0)</f>
        <v>-3.1036506698001178E-14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240.19940780300527</v>
      </c>
      <c r="T149" s="62">
        <f t="shared" si="142"/>
        <v>355.71054384071715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0.20970755302240332</v>
      </c>
      <c r="AA149" s="23">
        <f>EXP(-LN(2)/25)*AA148+(1-EXP(-LN(2)/25))/(LN(2)/25)*Calculateur!V149*Calculateur!X149*VLOOKUP('Données projet'!$B$9,Paramètres!$A$1:$I$89,3,0)*0.475*44/12</f>
        <v>0.49948425142344793</v>
      </c>
      <c r="AB149" s="23">
        <f>EXP(-LN(2)/2)*AB148+(1-EXP(-LN(2)/2))/(LN(2)/2)*V149*Y149*VLOOKUP('Données projet'!$B$9,Paramètres!$A$1:$I$89,3,0)*0.475*44/12</f>
        <v>9.3319995231729327E-17</v>
      </c>
      <c r="AC149" s="24">
        <f t="shared" si="111"/>
        <v>0.70919180444585139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287.69656598881124</v>
      </c>
      <c r="AO149" s="62">
        <f t="shared" si="144"/>
        <v>221.9773436301067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0.24243674114528108</v>
      </c>
      <c r="AW149" s="23">
        <f>EXP(-LN(2)/2)*AW148+(1-EXP(-LN(2)/2))/(LN(2)/2)*AQ149*AT149*VLOOKUP('Données projet'!$B$10,Paramètres!$A$1:$I$89,3,0)*0.475*44/12</f>
        <v>4.9342809589434227E-17</v>
      </c>
      <c r="AX149" s="23">
        <f t="shared" si="114"/>
        <v>0.24243674114528113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-5.3205440053716299E-14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310.95287409903602</v>
      </c>
      <c r="BJ149" s="62">
        <f t="shared" si="146"/>
        <v>224.10083380795163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-5.6843418860808015E-14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projet'!$B$9,Paramètres!$A$1:$I$89,3,0)*VLOOKUP('Données projet'!$B$9,Paramètres!$A$1:$I$89,5,0)</f>
        <v>-3.1036506698001178E-14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240.19940780300527</v>
      </c>
      <c r="T150" s="62">
        <f t="shared" si="142"/>
        <v>355.71054384071715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0.20559531581661136</v>
      </c>
      <c r="AA150" s="23">
        <f>EXP(-LN(2)/25)*AA149+(1-EXP(-LN(2)/25))/(LN(2)/25)*Calculateur!V150*Calculateur!X150*VLOOKUP('Données projet'!$B$9,Paramètres!$A$1:$I$89,3,0)*0.475*44/12</f>
        <v>0.48582582830153853</v>
      </c>
      <c r="AB150" s="23">
        <f>EXP(-LN(2)/2)*AB149+(1-EXP(-LN(2)/2))/(LN(2)/2)*V150*Y150*VLOOKUP('Données projet'!$B$9,Paramètres!$A$1:$I$89,3,0)*0.475*44/12</f>
        <v>6.5987201448652087E-17</v>
      </c>
      <c r="AC150" s="24">
        <f t="shared" si="111"/>
        <v>0.69142114411815003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287.69656598881124</v>
      </c>
      <c r="AO150" s="62">
        <f t="shared" si="144"/>
        <v>221.9773436301067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0.23580729570946923</v>
      </c>
      <c r="AW150" s="23">
        <f>EXP(-LN(2)/2)*AW149+(1-EXP(-LN(2)/2))/(LN(2)/2)*AQ150*AT150*VLOOKUP('Données projet'!$B$10,Paramètres!$A$1:$I$89,3,0)*0.475*44/12</f>
        <v>3.4890635263485546E-17</v>
      </c>
      <c r="AX150" s="23">
        <f t="shared" si="114"/>
        <v>0.23580729570946926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-5.3205440053716299E-14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310.95287409903602</v>
      </c>
      <c r="BJ150" s="62">
        <f t="shared" si="146"/>
        <v>224.10083380795163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-5.6843418860808015E-14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projet'!$B$9,Paramètres!$A$1:$I$89,3,0)*VLOOKUP('Données projet'!$B$9,Paramètres!$A$1:$I$89,5,0)</f>
        <v>-3.1036506698001178E-14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240.19940780300527</v>
      </c>
      <c r="T151" s="62">
        <f t="shared" si="142"/>
        <v>355.71054384071715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0.20156371707420798</v>
      </c>
      <c r="AA151" s="23">
        <f>EXP(-LN(2)/25)*AA150+(1-EXP(-LN(2)/25))/(LN(2)/25)*Calculateur!V151*Calculateur!X151*VLOOKUP('Données projet'!$B$9,Paramètres!$A$1:$I$89,3,0)*0.475*44/12</f>
        <v>0.47254089547816303</v>
      </c>
      <c r="AB151" s="23">
        <f>EXP(-LN(2)/2)*AB150+(1-EXP(-LN(2)/2))/(LN(2)/2)*V151*Y151*VLOOKUP('Données projet'!$B$9,Paramètres!$A$1:$I$89,3,0)*0.475*44/12</f>
        <v>4.6659997615864664E-17</v>
      </c>
      <c r="AC151" s="24">
        <f t="shared" si="111"/>
        <v>0.67410461255237097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287.69656598881124</v>
      </c>
      <c r="AO151" s="62">
        <f t="shared" si="144"/>
        <v>221.9773436301067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0.22935913280772707</v>
      </c>
      <c r="AW151" s="23">
        <f>EXP(-LN(2)/2)*AW150+(1-EXP(-LN(2)/2))/(LN(2)/2)*AQ151*AT151*VLOOKUP('Données projet'!$B$10,Paramètres!$A$1:$I$89,3,0)*0.475*44/12</f>
        <v>2.4671404794717113E-17</v>
      </c>
      <c r="AX151" s="23">
        <f t="shared" si="114"/>
        <v>0.2293591328077271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-5.3205440053716299E-14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310.95287409903602</v>
      </c>
      <c r="BJ151" s="62">
        <f t="shared" si="146"/>
        <v>224.10083380795163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-5.6843418860808015E-14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projet'!$B$9,Paramètres!$A$1:$I$89,3,0)*VLOOKUP('Données projet'!$B$9,Paramètres!$A$1:$I$89,5,0)</f>
        <v>-3.1036506698001178E-14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240.19940780300527</v>
      </c>
      <c r="T152" s="62">
        <f t="shared" si="142"/>
        <v>355.71054384071715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0.1976111755241107</v>
      </c>
      <c r="AA152" s="23">
        <f>EXP(-LN(2)/25)*AA151+(1-EXP(-LN(2)/25))/(LN(2)/25)*Calculateur!V152*Calculateur!X152*VLOOKUP('Données projet'!$B$9,Paramètres!$A$1:$I$89,3,0)*0.475*44/12</f>
        <v>0.45961923984146696</v>
      </c>
      <c r="AB152" s="23">
        <f>EXP(-LN(2)/2)*AB151+(1-EXP(-LN(2)/2))/(LN(2)/2)*V152*Y152*VLOOKUP('Données projet'!$B$9,Paramètres!$A$1:$I$89,3,0)*0.475*44/12</f>
        <v>3.2993600724326043E-17</v>
      </c>
      <c r="AC152" s="24">
        <f t="shared" si="111"/>
        <v>0.65723041536557769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287.69656598881124</v>
      </c>
      <c r="AO152" s="62">
        <f t="shared" si="144"/>
        <v>221.9773436301067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0.2230872952596272</v>
      </c>
      <c r="AW152" s="23">
        <f>EXP(-LN(2)/2)*AW151+(1-EXP(-LN(2)/2))/(LN(2)/2)*AQ152*AT152*VLOOKUP('Données projet'!$B$10,Paramètres!$A$1:$I$89,3,0)*0.475*44/12</f>
        <v>1.7445317631742773E-17</v>
      </c>
      <c r="AX152" s="23">
        <f t="shared" si="114"/>
        <v>0.22308729525962723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-5.3205440053716299E-14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310.95287409903602</v>
      </c>
      <c r="BJ152" s="62">
        <f t="shared" si="146"/>
        <v>224.10083380795163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-5.6843418860808015E-14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projet'!$B$9,Paramètres!$A$1:$I$89,3,0)*VLOOKUP('Données projet'!$B$9,Paramètres!$A$1:$I$89,5,0)</f>
        <v>-3.1036506698001178E-14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240.19940780300527</v>
      </c>
      <c r="T153" s="62">
        <f t="shared" si="142"/>
        <v>355.71054384071715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0.19373614090299851</v>
      </c>
      <c r="AA153" s="23">
        <f>EXP(-LN(2)/25)*AA152+(1-EXP(-LN(2)/25))/(LN(2)/25)*Calculateur!V153*Calculateur!X153*VLOOKUP('Données projet'!$B$9,Paramètres!$A$1:$I$89,3,0)*0.475*44/12</f>
        <v>0.44705092755767672</v>
      </c>
      <c r="AB153" s="23">
        <f>EXP(-LN(2)/2)*AB152+(1-EXP(-LN(2)/2))/(LN(2)/2)*V153*Y153*VLOOKUP('Données projet'!$B$9,Paramètres!$A$1:$I$89,3,0)*0.475*44/12</f>
        <v>2.3329998807932332E-17</v>
      </c>
      <c r="AC153" s="24">
        <f t="shared" si="111"/>
        <v>0.64078706846067524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287.69656598881124</v>
      </c>
      <c r="AO153" s="62">
        <f t="shared" si="144"/>
        <v>221.9773436301067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0.21698696143910171</v>
      </c>
      <c r="AW153" s="23">
        <f>EXP(-LN(2)/2)*AW152+(1-EXP(-LN(2)/2))/(LN(2)/2)*AQ153*AT153*VLOOKUP('Données projet'!$B$10,Paramètres!$A$1:$I$89,3,0)*0.475*44/12</f>
        <v>1.2335702397358557E-17</v>
      </c>
      <c r="AX153" s="23">
        <f t="shared" si="114"/>
        <v>0.21698696143910171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-5.3205440053716299E-14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310.95287409903602</v>
      </c>
      <c r="BJ153" s="62">
        <f t="shared" si="146"/>
        <v>224.10083380795163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-5.6843418860808015E-14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projet'!$B$9,Paramètres!$A$1:$I$89,3,0)*VLOOKUP('Données projet'!$B$9,Paramètres!$A$1:$I$89,5,0)</f>
        <v>-3.1036506698001178E-14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240.19940780300527</v>
      </c>
      <c r="T154" s="62">
        <f t="shared" si="142"/>
        <v>355.71054384071715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0.1899370933472686</v>
      </c>
      <c r="AA154" s="23">
        <f>EXP(-LN(2)/25)*AA153+(1-EXP(-LN(2)/25))/(LN(2)/25)*Calculateur!V154*Calculateur!X154*VLOOKUP('Données projet'!$B$9,Paramètres!$A$1:$I$89,3,0)*0.475*44/12</f>
        <v>0.43482629643422555</v>
      </c>
      <c r="AB154" s="23">
        <f>EXP(-LN(2)/2)*AB153+(1-EXP(-LN(2)/2))/(LN(2)/2)*V154*Y154*VLOOKUP('Données projet'!$B$9,Paramètres!$A$1:$I$89,3,0)*0.475*44/12</f>
        <v>1.6496800362163022E-17</v>
      </c>
      <c r="AC154" s="24">
        <f t="shared" ref="AC154:AC203" si="163">SUM(Z154:AB154)</f>
        <v>0.62476338978149415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287.69656598881124</v>
      </c>
      <c r="AO154" s="62">
        <f t="shared" si="144"/>
        <v>221.9773436301067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0.21105344156770109</v>
      </c>
      <c r="AW154" s="23">
        <f>EXP(-LN(2)/2)*AW153+(1-EXP(-LN(2)/2))/(LN(2)/2)*AQ154*AT154*VLOOKUP('Données projet'!$B$10,Paramètres!$A$1:$I$89,3,0)*0.475*44/12</f>
        <v>8.7226588158713866E-18</v>
      </c>
      <c r="AX154" s="23">
        <f t="shared" ref="AX154:AX203" si="166">SUM(AU154:AW154)</f>
        <v>0.21105344156770109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-5.3205440053716299E-14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310.95287409903602</v>
      </c>
      <c r="BJ154" s="62">
        <f t="shared" si="146"/>
        <v>224.10083380795163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-5.6843418860808015E-14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projet'!$B$9,Paramètres!$A$1:$I$89,3,0)*VLOOKUP('Données projet'!$B$9,Paramètres!$A$1:$I$89,5,0)</f>
        <v>-3.1036506698001178E-14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240.19940780300527</v>
      </c>
      <c r="T155" s="62">
        <f t="shared" si="142"/>
        <v>355.71054384071715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0.18621254279691635</v>
      </c>
      <c r="AA155" s="23">
        <f>EXP(-LN(2)/25)*AA154+(1-EXP(-LN(2)/25))/(LN(2)/25)*Calculateur!V155*Calculateur!X155*VLOOKUP('Données projet'!$B$9,Paramètres!$A$1:$I$89,3,0)*0.475*44/12</f>
        <v>0.42293594849171051</v>
      </c>
      <c r="AB155" s="23">
        <f>EXP(-LN(2)/2)*AB154+(1-EXP(-LN(2)/2))/(LN(2)/2)*V155*Y155*VLOOKUP('Données projet'!$B$9,Paramètres!$A$1:$I$89,3,0)*0.475*44/12</f>
        <v>1.1664999403966166E-17</v>
      </c>
      <c r="AC155" s="24">
        <f t="shared" si="163"/>
        <v>0.60914849128862691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287.69656598881124</v>
      </c>
      <c r="AO155" s="62">
        <f t="shared" si="144"/>
        <v>221.9773436301067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0.20528217410921418</v>
      </c>
      <c r="AW155" s="23">
        <f>EXP(-LN(2)/2)*AW154+(1-EXP(-LN(2)/2))/(LN(2)/2)*AQ155*AT155*VLOOKUP('Données projet'!$B$10,Paramètres!$A$1:$I$89,3,0)*0.475*44/12</f>
        <v>6.1678511986792784E-18</v>
      </c>
      <c r="AX155" s="23">
        <f t="shared" si="166"/>
        <v>0.20528217410921418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-5.3205440053716299E-14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310.95287409903602</v>
      </c>
      <c r="BJ155" s="62">
        <f t="shared" si="146"/>
        <v>224.10083380795163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-5.6843418860808015E-14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projet'!$B$9,Paramètres!$A$1:$I$89,3,0)*VLOOKUP('Données projet'!$B$9,Paramètres!$A$1:$I$89,5,0)</f>
        <v>-3.1036506698001178E-14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240.19940780300527</v>
      </c>
      <c r="T156" s="62">
        <f t="shared" si="142"/>
        <v>355.71054384071715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0.182561028411105</v>
      </c>
      <c r="AA156" s="23">
        <f>EXP(-LN(2)/25)*AA155+(1-EXP(-LN(2)/25))/(LN(2)/25)*Calculateur!V156*Calculateur!X156*VLOOKUP('Données projet'!$B$9,Paramètres!$A$1:$I$89,3,0)*0.475*44/12</f>
        <v>0.41137074273896979</v>
      </c>
      <c r="AB156" s="23">
        <f>EXP(-LN(2)/2)*AB155+(1-EXP(-LN(2)/2))/(LN(2)/2)*V156*Y156*VLOOKUP('Données projet'!$B$9,Paramètres!$A$1:$I$89,3,0)*0.475*44/12</f>
        <v>8.2484001810815108E-18</v>
      </c>
      <c r="AC156" s="24">
        <f t="shared" si="163"/>
        <v>0.59393177115007478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287.69656598881124</v>
      </c>
      <c r="AO156" s="62">
        <f t="shared" si="144"/>
        <v>221.9773436301067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0.19966872226287735</v>
      </c>
      <c r="AW156" s="23">
        <f>EXP(-LN(2)/2)*AW155+(1-EXP(-LN(2)/2))/(LN(2)/2)*AQ156*AT156*VLOOKUP('Données projet'!$B$10,Paramètres!$A$1:$I$89,3,0)*0.475*44/12</f>
        <v>4.3613294079356933E-18</v>
      </c>
      <c r="AX156" s="23">
        <f t="shared" si="166"/>
        <v>0.19966872226287735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-5.3205440053716299E-14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310.95287409903602</v>
      </c>
      <c r="BJ156" s="62">
        <f t="shared" si="146"/>
        <v>224.10083380795163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-5.6843418860808015E-14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-3.1036506698001178E-14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240.19940780300527</v>
      </c>
      <c r="T157" s="62">
        <f t="shared" si="142"/>
        <v>355.71054384071715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0.17898111799519553</v>
      </c>
      <c r="AA157" s="23">
        <f>EXP(-LN(2)/25)*AA156+(1-EXP(-LN(2)/25))/(LN(2)/25)*Calculateur!V157*Calculateur!X157*VLOOKUP('Données projet'!$B$9,Paramètres!$A$1:$I$89,3,0)*0.475*44/12</f>
        <v>0.40012178814572552</v>
      </c>
      <c r="AB157" s="23">
        <f>EXP(-LN(2)/2)*AB156+(1-EXP(-LN(2)/2))/(LN(2)/2)*V157*Y157*VLOOKUP('Données projet'!$B$9,Paramètres!$A$1:$I$89,3,0)*0.475*44/12</f>
        <v>5.832499701983083E-18</v>
      </c>
      <c r="AC157" s="24">
        <f t="shared" si="163"/>
        <v>0.57910290614092108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287.69656598881124</v>
      </c>
      <c r="AO157" s="62">
        <f t="shared" si="144"/>
        <v>221.9773436301067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0.19420877055247721</v>
      </c>
      <c r="AW157" s="23">
        <f>EXP(-LN(2)/2)*AW156+(1-EXP(-LN(2)/2))/(LN(2)/2)*AQ157*AT157*VLOOKUP('Données projet'!$B$10,Paramètres!$A$1:$I$89,3,0)*0.475*44/12</f>
        <v>3.0839255993396392E-18</v>
      </c>
      <c r="AX157" s="23">
        <f t="shared" si="166"/>
        <v>0.19420877055247721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-5.3205440053716299E-14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310.95287409903602</v>
      </c>
      <c r="BJ157" s="62">
        <f t="shared" si="146"/>
        <v>224.10083380795163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-5.6843418860808015E-14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-3.1036506698001178E-14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240.19940780300527</v>
      </c>
      <c r="T158" s="62">
        <f t="shared" si="142"/>
        <v>355.71054384071715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0.17547140743901232</v>
      </c>
      <c r="AA158" s="23">
        <f>EXP(-LN(2)/25)*AA157+(1-EXP(-LN(2)/25))/(LN(2)/25)*Calculateur!V158*Calculateur!X158*VLOOKUP('Données projet'!$B$9,Paramètres!$A$1:$I$89,3,0)*0.475*44/12</f>
        <v>0.38918043680739028</v>
      </c>
      <c r="AB158" s="23">
        <f>EXP(-LN(2)/2)*AB157+(1-EXP(-LN(2)/2))/(LN(2)/2)*V158*Y158*VLOOKUP('Données projet'!$B$9,Paramètres!$A$1:$I$89,3,0)*0.475*44/12</f>
        <v>4.1242000905407554E-18</v>
      </c>
      <c r="AC158" s="24">
        <f t="shared" si="163"/>
        <v>0.56465184424640258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287.69656598881124</v>
      </c>
      <c r="AO158" s="62">
        <f t="shared" si="144"/>
        <v>221.9773436301067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0.18889812150872434</v>
      </c>
      <c r="AW158" s="23">
        <f>EXP(-LN(2)/2)*AW157+(1-EXP(-LN(2)/2))/(LN(2)/2)*AQ158*AT158*VLOOKUP('Données projet'!$B$10,Paramètres!$A$1:$I$89,3,0)*0.475*44/12</f>
        <v>2.1806647039678466E-18</v>
      </c>
      <c r="AX158" s="23">
        <f t="shared" si="166"/>
        <v>0.18889812150872434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-5.3205440053716299E-14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310.95287409903602</v>
      </c>
      <c r="BJ158" s="62">
        <f t="shared" si="146"/>
        <v>224.10083380795163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-5.6843418860808015E-14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-3.1036506698001178E-14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240.19940780300527</v>
      </c>
      <c r="T159" s="62">
        <f t="shared" si="142"/>
        <v>355.71054384071715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0.1720305201661238</v>
      </c>
      <c r="AA159" s="23">
        <f>EXP(-LN(2)/25)*AA158+(1-EXP(-LN(2)/25))/(LN(2)/25)*Calculateur!V159*Calculateur!X159*VLOOKUP('Données projet'!$B$9,Paramètres!$A$1:$I$89,3,0)*0.475*44/12</f>
        <v>0.37853827729678252</v>
      </c>
      <c r="AB159" s="23">
        <f>EXP(-LN(2)/2)*AB158+(1-EXP(-LN(2)/2))/(LN(2)/2)*V159*Y159*VLOOKUP('Données projet'!$B$9,Paramètres!$A$1:$I$89,3,0)*0.475*44/12</f>
        <v>2.9162498509915415E-18</v>
      </c>
      <c r="AC159" s="24">
        <f t="shared" si="163"/>
        <v>0.55056879746290632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287.69656598881124</v>
      </c>
      <c r="AO159" s="62">
        <f t="shared" si="144"/>
        <v>221.9773436301067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0.1837326924423478</v>
      </c>
      <c r="AW159" s="23">
        <f>EXP(-LN(2)/2)*AW158+(1-EXP(-LN(2)/2))/(LN(2)/2)*AQ159*AT159*VLOOKUP('Données projet'!$B$10,Paramètres!$A$1:$I$89,3,0)*0.475*44/12</f>
        <v>1.5419627996698196E-18</v>
      </c>
      <c r="AX159" s="23">
        <f t="shared" si="166"/>
        <v>0.1837326924423478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-5.3205440053716299E-14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310.95287409903602</v>
      </c>
      <c r="BJ159" s="62">
        <f t="shared" si="146"/>
        <v>224.10083380795163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-5.6843418860808015E-14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-3.1036506698001178E-14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240.19940780300527</v>
      </c>
      <c r="T160" s="62">
        <f t="shared" si="142"/>
        <v>355.71054384071715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0.16865710659392261</v>
      </c>
      <c r="AA160" s="23">
        <f>EXP(-LN(2)/25)*AA159+(1-EXP(-LN(2)/25))/(LN(2)/25)*Calculateur!V160*Calculateur!X160*VLOOKUP('Données projet'!$B$9,Paramètres!$A$1:$I$89,3,0)*0.475*44/12</f>
        <v>0.36818712819763916</v>
      </c>
      <c r="AB160" s="23">
        <f>EXP(-LN(2)/2)*AB159+(1-EXP(-LN(2)/2))/(LN(2)/2)*V160*Y160*VLOOKUP('Données projet'!$B$9,Paramètres!$A$1:$I$89,3,0)*0.475*44/12</f>
        <v>2.0621000452703777E-18</v>
      </c>
      <c r="AC160" s="24">
        <f t="shared" si="163"/>
        <v>0.53684423479156174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287.69656598881124</v>
      </c>
      <c r="AO160" s="62">
        <f t="shared" si="144"/>
        <v>221.9773436301067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0.17870851230542942</v>
      </c>
      <c r="AW160" s="23">
        <f>EXP(-LN(2)/2)*AW159+(1-EXP(-LN(2)/2))/(LN(2)/2)*AQ160*AT160*VLOOKUP('Données projet'!$B$10,Paramètres!$A$1:$I$89,3,0)*0.475*44/12</f>
        <v>1.0903323519839233E-18</v>
      </c>
      <c r="AX160" s="23">
        <f t="shared" si="166"/>
        <v>0.17870851230542942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-5.3205440053716299E-14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310.95287409903602</v>
      </c>
      <c r="BJ160" s="62">
        <f t="shared" si="146"/>
        <v>224.10083380795163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-5.6843418860808015E-14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-3.1036506698001178E-14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240.19940780300527</v>
      </c>
      <c r="T161" s="62">
        <f t="shared" si="142"/>
        <v>355.71054384071715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0.16534984360429317</v>
      </c>
      <c r="AA161" s="23">
        <f>EXP(-LN(2)/25)*AA160+(1-EXP(-LN(2)/25))/(LN(2)/25)*Calculateur!V161*Calculateur!X161*VLOOKUP('Données projet'!$B$9,Paramètres!$A$1:$I$89,3,0)*0.475*44/12</f>
        <v>0.35811903181495514</v>
      </c>
      <c r="AB161" s="23">
        <f>EXP(-LN(2)/2)*AB160+(1-EXP(-LN(2)/2))/(LN(2)/2)*V161*Y161*VLOOKUP('Données projet'!$B$9,Paramètres!$A$1:$I$89,3,0)*0.475*44/12</f>
        <v>1.4581249254957707E-18</v>
      </c>
      <c r="AC161" s="24">
        <f t="shared" si="163"/>
        <v>0.52346887541924825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287.69656598881124</v>
      </c>
      <c r="AO161" s="62">
        <f t="shared" si="144"/>
        <v>221.9773436301067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0.17382171863856524</v>
      </c>
      <c r="AW161" s="23">
        <f>EXP(-LN(2)/2)*AW160+(1-EXP(-LN(2)/2))/(LN(2)/2)*AQ161*AT161*VLOOKUP('Données projet'!$B$10,Paramètres!$A$1:$I$89,3,0)*0.475*44/12</f>
        <v>7.7098139983490979E-19</v>
      </c>
      <c r="AX161" s="23">
        <f t="shared" si="166"/>
        <v>0.17382171863856524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-5.3205440053716299E-14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310.95287409903602</v>
      </c>
      <c r="BJ161" s="62">
        <f t="shared" si="146"/>
        <v>224.10083380795163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-5.6843418860808015E-14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-3.1036506698001178E-14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240.19940780300527</v>
      </c>
      <c r="T162" s="62">
        <f t="shared" si="142"/>
        <v>355.71054384071715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0.16210743402465913</v>
      </c>
      <c r="AA162" s="23">
        <f>EXP(-LN(2)/25)*AA161+(1-EXP(-LN(2)/25))/(LN(2)/25)*Calculateur!V162*Calculateur!X162*VLOOKUP('Données projet'!$B$9,Paramètres!$A$1:$I$89,3,0)*0.475*44/12</f>
        <v>0.34832624805731377</v>
      </c>
      <c r="AB162" s="23">
        <f>EXP(-LN(2)/2)*AB161+(1-EXP(-LN(2)/2))/(LN(2)/2)*V162*Y162*VLOOKUP('Données projet'!$B$9,Paramètres!$A$1:$I$89,3,0)*0.475*44/12</f>
        <v>1.0310500226351889E-18</v>
      </c>
      <c r="AC162" s="24">
        <f t="shared" si="163"/>
        <v>0.51043368208197293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287.69656598881124</v>
      </c>
      <c r="AO162" s="62">
        <f t="shared" si="144"/>
        <v>221.9773436301067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0.16906855460150677</v>
      </c>
      <c r="AW162" s="23">
        <f>EXP(-LN(2)/2)*AW161+(1-EXP(-LN(2)/2))/(LN(2)/2)*AQ162*AT162*VLOOKUP('Données projet'!$B$10,Paramètres!$A$1:$I$89,3,0)*0.475*44/12</f>
        <v>5.4516617599196166E-19</v>
      </c>
      <c r="AX162" s="23">
        <f t="shared" si="166"/>
        <v>0.16906855460150677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-5.3205440053716299E-14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310.95287409903602</v>
      </c>
      <c r="BJ162" s="62">
        <f t="shared" si="146"/>
        <v>224.10083380795163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-5.6843418860808015E-14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-3.1036506698001178E-14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240.19940780300527</v>
      </c>
      <c r="T163" s="62">
        <f t="shared" si="142"/>
        <v>355.71054384071715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0.15892860611920714</v>
      </c>
      <c r="AA163" s="23">
        <f>EXP(-LN(2)/25)*AA162+(1-EXP(-LN(2)/25))/(LN(2)/25)*Calculateur!V163*Calculateur!X163*VLOOKUP('Données projet'!$B$9,Paramètres!$A$1:$I$89,3,0)*0.475*44/12</f>
        <v>0.33880124848650522</v>
      </c>
      <c r="AB163" s="23">
        <f>EXP(-LN(2)/2)*AB162+(1-EXP(-LN(2)/2))/(LN(2)/2)*V163*Y163*VLOOKUP('Données projet'!$B$9,Paramètres!$A$1:$I$89,3,0)*0.475*44/12</f>
        <v>7.2906246274788537E-19</v>
      </c>
      <c r="AC163" s="24">
        <f t="shared" si="163"/>
        <v>0.4977298546057124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287.69656598881124</v>
      </c>
      <c r="AO163" s="62">
        <f t="shared" si="144"/>
        <v>221.9773436301067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0.16444536608499968</v>
      </c>
      <c r="AW163" s="23">
        <f>EXP(-LN(2)/2)*AW162+(1-EXP(-LN(2)/2))/(LN(2)/2)*AQ163*AT163*VLOOKUP('Données projet'!$B$10,Paramètres!$A$1:$I$89,3,0)*0.475*44/12</f>
        <v>3.854906999174549E-19</v>
      </c>
      <c r="AX163" s="23">
        <f t="shared" si="166"/>
        <v>0.16444536608499968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-5.3205440053716299E-14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310.95287409903602</v>
      </c>
      <c r="BJ163" s="62">
        <f t="shared" si="146"/>
        <v>224.10083380795163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-5.6843418860808015E-14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-3.1036506698001178E-14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240.19940780300527</v>
      </c>
      <c r="T164" s="62">
        <f t="shared" si="142"/>
        <v>355.71054384071715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0.1558121130900875</v>
      </c>
      <c r="AA164" s="23">
        <f>EXP(-LN(2)/25)*AA163+(1-EXP(-LN(2)/25))/(LN(2)/25)*Calculateur!V164*Calculateur!X164*VLOOKUP('Données projet'!$B$9,Paramètres!$A$1:$I$89,3,0)*0.475*44/12</f>
        <v>0.32953671052985845</v>
      </c>
      <c r="AB164" s="23">
        <f>EXP(-LN(2)/2)*AB163+(1-EXP(-LN(2)/2))/(LN(2)/2)*V164*Y164*VLOOKUP('Données projet'!$B$9,Paramètres!$A$1:$I$89,3,0)*0.475*44/12</f>
        <v>5.1552501131759443E-19</v>
      </c>
      <c r="AC164" s="24">
        <f t="shared" si="163"/>
        <v>0.48534882361994591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287.69656598881124</v>
      </c>
      <c r="AO164" s="62">
        <f t="shared" si="144"/>
        <v>221.9773436301067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0.1599485989015994</v>
      </c>
      <c r="AW164" s="23">
        <f>EXP(-LN(2)/2)*AW163+(1-EXP(-LN(2)/2))/(LN(2)/2)*AQ164*AT164*VLOOKUP('Données projet'!$B$10,Paramètres!$A$1:$I$89,3,0)*0.475*44/12</f>
        <v>2.7258308799598083E-19</v>
      </c>
      <c r="AX164" s="23">
        <f t="shared" si="166"/>
        <v>0.1599485989015994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-5.3205440053716299E-14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310.95287409903602</v>
      </c>
      <c r="BJ164" s="62">
        <f t="shared" si="146"/>
        <v>224.10083380795163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-5.6843418860808015E-14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-3.1036506698001178E-14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240.19940780300527</v>
      </c>
      <c r="T165" s="62">
        <f t="shared" si="142"/>
        <v>355.71054384071715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0.15275673258839584</v>
      </c>
      <c r="AA165" s="23">
        <f>EXP(-LN(2)/25)*AA164+(1-EXP(-LN(2)/25))/(LN(2)/25)*Calculateur!V165*Calculateur!X165*VLOOKUP('Données projet'!$B$9,Paramètres!$A$1:$I$89,3,0)*0.475*44/12</f>
        <v>0.32052551185083705</v>
      </c>
      <c r="AB165" s="23">
        <f>EXP(-LN(2)/2)*AB164+(1-EXP(-LN(2)/2))/(LN(2)/2)*V165*Y165*VLOOKUP('Données projet'!$B$9,Paramètres!$A$1:$I$89,3,0)*0.475*44/12</f>
        <v>3.6453123137394268E-19</v>
      </c>
      <c r="AC165" s="24">
        <f t="shared" si="163"/>
        <v>0.47328224443923289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287.69656598881124</v>
      </c>
      <c r="AO165" s="62">
        <f t="shared" si="144"/>
        <v>221.9773436301067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0.15557479605330393</v>
      </c>
      <c r="AW165" s="23">
        <f>EXP(-LN(2)/2)*AW164+(1-EXP(-LN(2)/2))/(LN(2)/2)*AQ165*AT165*VLOOKUP('Données projet'!$B$10,Paramètres!$A$1:$I$89,3,0)*0.475*44/12</f>
        <v>1.9274534995872745E-19</v>
      </c>
      <c r="AX165" s="23">
        <f t="shared" si="166"/>
        <v>0.15557479605330393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-5.3205440053716299E-14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310.95287409903602</v>
      </c>
      <c r="BJ165" s="62">
        <f t="shared" si="146"/>
        <v>224.10083380795163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-5.6843418860808015E-14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-3.1036506698001178E-14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240.19940780300527</v>
      </c>
      <c r="T166" s="62">
        <f t="shared" si="142"/>
        <v>355.71054384071715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0.14976126623474426</v>
      </c>
      <c r="AA166" s="23">
        <f>EXP(-LN(2)/25)*AA165+(1-EXP(-LN(2)/25))/(LN(2)/25)*Calculateur!V166*Calculateur!X166*VLOOKUP('Données projet'!$B$9,Paramètres!$A$1:$I$89,3,0)*0.475*44/12</f>
        <v>0.31176072487357182</v>
      </c>
      <c r="AB166" s="23">
        <f>EXP(-LN(2)/2)*AB165+(1-EXP(-LN(2)/2))/(LN(2)/2)*V166*Y166*VLOOKUP('Données projet'!$B$9,Paramètres!$A$1:$I$89,3,0)*0.475*44/12</f>
        <v>2.5776250565879721E-19</v>
      </c>
      <c r="AC166" s="24">
        <f t="shared" si="163"/>
        <v>0.46152199110831604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287.69656598881124</v>
      </c>
      <c r="AO166" s="62">
        <f t="shared" si="144"/>
        <v>221.9773436301067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0.15132059507390339</v>
      </c>
      <c r="AW166" s="23">
        <f>EXP(-LN(2)/2)*AW165+(1-EXP(-LN(2)/2))/(LN(2)/2)*AQ166*AT166*VLOOKUP('Données projet'!$B$10,Paramètres!$A$1:$I$89,3,0)*0.475*44/12</f>
        <v>1.3629154399799042E-19</v>
      </c>
      <c r="AX166" s="23">
        <f t="shared" si="166"/>
        <v>0.15132059507390339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-5.3205440053716299E-14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310.95287409903602</v>
      </c>
      <c r="BJ166" s="62">
        <f t="shared" si="146"/>
        <v>224.10083380795163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-5.6843418860808015E-14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-3.1036506698001178E-14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240.19940780300527</v>
      </c>
      <c r="T167" s="62">
        <f t="shared" si="142"/>
        <v>355.71054384071715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0.14682453914923371</v>
      </c>
      <c r="AA167" s="23">
        <f>EXP(-LN(2)/25)*AA166+(1-EXP(-LN(2)/25))/(LN(2)/25)*Calculateur!V167*Calculateur!X167*VLOOKUP('Données projet'!$B$9,Paramètres!$A$1:$I$89,3,0)*0.475*44/12</f>
        <v>0.30323561145712002</v>
      </c>
      <c r="AB167" s="23">
        <f>EXP(-LN(2)/2)*AB166+(1-EXP(-LN(2)/2))/(LN(2)/2)*V167*Y167*VLOOKUP('Données projet'!$B$9,Paramètres!$A$1:$I$89,3,0)*0.475*44/12</f>
        <v>1.8226561568697134E-19</v>
      </c>
      <c r="AC167" s="24">
        <f t="shared" si="163"/>
        <v>0.45006015060635374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287.69656598881124</v>
      </c>
      <c r="AO167" s="62">
        <f t="shared" si="144"/>
        <v>221.9773436301067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0.14718272544400324</v>
      </c>
      <c r="AW167" s="23">
        <f>EXP(-LN(2)/2)*AW166+(1-EXP(-LN(2)/2))/(LN(2)/2)*AQ167*AT167*VLOOKUP('Données projet'!$B$10,Paramètres!$A$1:$I$89,3,0)*0.475*44/12</f>
        <v>9.6372674979363724E-20</v>
      </c>
      <c r="AX167" s="23">
        <f t="shared" si="166"/>
        <v>0.14718272544400324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-5.3205440053716299E-14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310.95287409903602</v>
      </c>
      <c r="BJ167" s="62">
        <f t="shared" si="146"/>
        <v>224.10083380795163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-5.6843418860808015E-14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-3.1036506698001178E-14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240.19940780300527</v>
      </c>
      <c r="T168" s="62">
        <f t="shared" si="142"/>
        <v>355.71054384071715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0.14394539949064339</v>
      </c>
      <c r="AA168" s="23">
        <f>EXP(-LN(2)/25)*AA167+(1-EXP(-LN(2)/25))/(LN(2)/25)*Calculateur!V168*Calculateur!X168*VLOOKUP('Données projet'!$B$9,Paramètres!$A$1:$I$89,3,0)*0.475*44/12</f>
        <v>0.29494361771535732</v>
      </c>
      <c r="AB168" s="23">
        <f>EXP(-LN(2)/2)*AB167+(1-EXP(-LN(2)/2))/(LN(2)/2)*V168*Y168*VLOOKUP('Données projet'!$B$9,Paramètres!$A$1:$I$89,3,0)*0.475*44/12</f>
        <v>1.2888125282939861E-19</v>
      </c>
      <c r="AC168" s="24">
        <f t="shared" si="163"/>
        <v>0.43888901720600071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287.69656598881124</v>
      </c>
      <c r="AO168" s="62">
        <f t="shared" si="144"/>
        <v>221.9773436301067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0.14315800607673382</v>
      </c>
      <c r="AW168" s="23">
        <f>EXP(-LN(2)/2)*AW167+(1-EXP(-LN(2)/2))/(LN(2)/2)*AQ168*AT168*VLOOKUP('Données projet'!$B$10,Paramètres!$A$1:$I$89,3,0)*0.475*44/12</f>
        <v>6.8145771998995208E-20</v>
      </c>
      <c r="AX168" s="23">
        <f t="shared" si="166"/>
        <v>0.14315800607673382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-5.3205440053716299E-14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310.95287409903602</v>
      </c>
      <c r="BJ168" s="62">
        <f t="shared" si="146"/>
        <v>224.10083380795163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-5.6843418860808015E-14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-3.1036506698001178E-14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240.19940780300527</v>
      </c>
      <c r="T169" s="62">
        <f t="shared" si="142"/>
        <v>355.71054384071715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0.14112271800465623</v>
      </c>
      <c r="AA169" s="23">
        <f>EXP(-LN(2)/25)*AA168+(1-EXP(-LN(2)/25))/(LN(2)/25)*Calculateur!V169*Calculateur!X169*VLOOKUP('Données projet'!$B$9,Paramètres!$A$1:$I$89,3,0)*0.475*44/12</f>
        <v>0.28687836897852015</v>
      </c>
      <c r="AB169" s="23">
        <f>EXP(-LN(2)/2)*AB168+(1-EXP(-LN(2)/2))/(LN(2)/2)*V169*Y169*VLOOKUP('Données projet'!$B$9,Paramètres!$A$1:$I$89,3,0)*0.475*44/12</f>
        <v>9.1132807843485671E-20</v>
      </c>
      <c r="AC169" s="24">
        <f t="shared" si="163"/>
        <v>0.4280010869831764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287.69656598881124</v>
      </c>
      <c r="AO169" s="62">
        <f t="shared" si="144"/>
        <v>221.9773436301067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0.13924334287221318</v>
      </c>
      <c r="AW169" s="23">
        <f>EXP(-LN(2)/2)*AW168+(1-EXP(-LN(2)/2))/(LN(2)/2)*AQ169*AT169*VLOOKUP('Données projet'!$B$10,Paramètres!$A$1:$I$89,3,0)*0.475*44/12</f>
        <v>4.8186337489681862E-20</v>
      </c>
      <c r="AX169" s="23">
        <f t="shared" si="166"/>
        <v>0.13924334287221318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-5.3205440053716299E-14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310.95287409903602</v>
      </c>
      <c r="BJ169" s="62">
        <f t="shared" si="146"/>
        <v>224.10083380795163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-5.6843418860808015E-14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-3.1036506698001178E-14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240.19940780300527</v>
      </c>
      <c r="T170" s="62">
        <f t="shared" si="142"/>
        <v>355.71054384071715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0.13835538758094357</v>
      </c>
      <c r="AA170" s="23">
        <f>EXP(-LN(2)/25)*AA169+(1-EXP(-LN(2)/25))/(LN(2)/25)*Calculateur!V170*Calculateur!X170*VLOOKUP('Données projet'!$B$9,Paramètres!$A$1:$I$89,3,0)*0.475*44/12</f>
        <v>0.27903366489252474</v>
      </c>
      <c r="AB170" s="23">
        <f>EXP(-LN(2)/2)*AB169+(1-EXP(-LN(2)/2))/(LN(2)/2)*V170*Y170*VLOOKUP('Données projet'!$B$9,Paramètres!$A$1:$I$89,3,0)*0.475*44/12</f>
        <v>6.4440626414699303E-20</v>
      </c>
      <c r="AC170" s="24">
        <f t="shared" si="163"/>
        <v>0.4173890524734683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287.69656598881124</v>
      </c>
      <c r="AO170" s="62">
        <f t="shared" si="144"/>
        <v>221.9773436301067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0.13543572633888334</v>
      </c>
      <c r="AW170" s="23">
        <f>EXP(-LN(2)/2)*AW169+(1-EXP(-LN(2)/2))/(LN(2)/2)*AQ170*AT170*VLOOKUP('Données projet'!$B$10,Paramètres!$A$1:$I$89,3,0)*0.475*44/12</f>
        <v>3.4072885999497604E-20</v>
      </c>
      <c r="AX170" s="23">
        <f t="shared" si="166"/>
        <v>0.13543572633888334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-5.3205440053716299E-14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310.95287409903602</v>
      </c>
      <c r="BJ170" s="62">
        <f t="shared" si="146"/>
        <v>224.10083380795163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-5.6843418860808015E-14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-3.1036506698001178E-14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240.19940780300527</v>
      </c>
      <c r="T171" s="62">
        <f t="shared" si="142"/>
        <v>355.71054384071715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0.13564232281893501</v>
      </c>
      <c r="AA171" s="23">
        <f>EXP(-LN(2)/25)*AA170+(1-EXP(-LN(2)/25))/(LN(2)/25)*Calculateur!V171*Calculateur!X171*VLOOKUP('Données projet'!$B$9,Paramètres!$A$1:$I$89,3,0)*0.475*44/12</f>
        <v>0.27140347465229597</v>
      </c>
      <c r="AB171" s="23">
        <f>EXP(-LN(2)/2)*AB170+(1-EXP(-LN(2)/2))/(LN(2)/2)*V171*Y171*VLOOKUP('Données projet'!$B$9,Paramètres!$A$1:$I$89,3,0)*0.475*44/12</f>
        <v>4.5566403921742836E-20</v>
      </c>
      <c r="AC171" s="24">
        <f t="shared" si="163"/>
        <v>0.40704579747123099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287.69656598881124</v>
      </c>
      <c r="AO171" s="62">
        <f t="shared" si="144"/>
        <v>221.9773436301067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0.13173222927989128</v>
      </c>
      <c r="AW171" s="23">
        <f>EXP(-LN(2)/2)*AW170+(1-EXP(-LN(2)/2))/(LN(2)/2)*AQ171*AT171*VLOOKUP('Données projet'!$B$10,Paramètres!$A$1:$I$89,3,0)*0.475*44/12</f>
        <v>2.4093168744840931E-20</v>
      </c>
      <c r="AX171" s="23">
        <f t="shared" si="166"/>
        <v>0.13173222927989128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-5.3205440053716299E-14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310.95287409903602</v>
      </c>
      <c r="BJ171" s="62">
        <f t="shared" si="146"/>
        <v>224.10083380795163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-5.6843418860808015E-14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-3.1036506698001178E-14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240.19940780300527</v>
      </c>
      <c r="T172" s="62">
        <f t="shared" si="142"/>
        <v>355.71054384071715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0.13298245960210334</v>
      </c>
      <c r="AA172" s="23">
        <f>EXP(-LN(2)/25)*AA171+(1-EXP(-LN(2)/25))/(LN(2)/25)*Calculateur!V172*Calculateur!X172*VLOOKUP('Données projet'!$B$9,Paramètres!$A$1:$I$89,3,0)*0.475*44/12</f>
        <v>0.26398193236544049</v>
      </c>
      <c r="AB172" s="23">
        <f>EXP(-LN(2)/2)*AB171+(1-EXP(-LN(2)/2))/(LN(2)/2)*V172*Y172*VLOOKUP('Données projet'!$B$9,Paramètres!$A$1:$I$89,3,0)*0.475*44/12</f>
        <v>3.2220313207349652E-20</v>
      </c>
      <c r="AC172" s="24">
        <f t="shared" si="163"/>
        <v>0.39696439196754385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287.69656598881124</v>
      </c>
      <c r="AO172" s="62">
        <f t="shared" si="144"/>
        <v>221.9773436301067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0.12813000454273579</v>
      </c>
      <c r="AW172" s="23">
        <f>EXP(-LN(2)/2)*AW171+(1-EXP(-LN(2)/2))/(LN(2)/2)*AQ172*AT172*VLOOKUP('Données projet'!$B$10,Paramètres!$A$1:$I$89,3,0)*0.475*44/12</f>
        <v>1.7036442999748802E-20</v>
      </c>
      <c r="AX172" s="23">
        <f t="shared" si="166"/>
        <v>0.12813000454273579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-5.3205440053716299E-14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310.95287409903602</v>
      </c>
      <c r="BJ172" s="62">
        <f t="shared" si="146"/>
        <v>224.10083380795163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-5.6843418860808015E-14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-3.1036506698001178E-14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240.19940780300527</v>
      </c>
      <c r="T173" s="62">
        <f t="shared" si="142"/>
        <v>355.71054384071715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0.13037475468059737</v>
      </c>
      <c r="AA173" s="23">
        <f>EXP(-LN(2)/25)*AA172+(1-EXP(-LN(2)/25))/(LN(2)/25)*Calculateur!V173*Calculateur!X173*VLOOKUP('Données projet'!$B$9,Paramètres!$A$1:$I$89,3,0)*0.475*44/12</f>
        <v>0.25676333254270101</v>
      </c>
      <c r="AB173" s="23">
        <f>EXP(-LN(2)/2)*AB172+(1-EXP(-LN(2)/2))/(LN(2)/2)*V173*Y173*VLOOKUP('Données projet'!$B$9,Paramètres!$A$1:$I$89,3,0)*0.475*44/12</f>
        <v>2.2783201960871418E-20</v>
      </c>
      <c r="AC173" s="24">
        <f t="shared" si="163"/>
        <v>0.38713808722329834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287.69656598881124</v>
      </c>
      <c r="AO173" s="62">
        <f t="shared" si="144"/>
        <v>221.9773436301067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0.12462628283045059</v>
      </c>
      <c r="AW173" s="23">
        <f>EXP(-LN(2)/2)*AW172+(1-EXP(-LN(2)/2))/(LN(2)/2)*AQ173*AT173*VLOOKUP('Données projet'!$B$10,Paramètres!$A$1:$I$89,3,0)*0.475*44/12</f>
        <v>1.2046584372420466E-20</v>
      </c>
      <c r="AX173" s="23">
        <f t="shared" si="166"/>
        <v>0.12462628283045059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-5.3205440053716299E-14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310.95287409903602</v>
      </c>
      <c r="BJ173" s="62">
        <f t="shared" si="146"/>
        <v>224.10083380795163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-5.6843418860808015E-14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-3.1036506698001178E-14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240.19940780300527</v>
      </c>
      <c r="T174" s="62">
        <f t="shared" si="142"/>
        <v>355.71054384071715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0.12781818526205918</v>
      </c>
      <c r="AA174" s="23">
        <f>EXP(-LN(2)/25)*AA173+(1-EXP(-LN(2)/25))/(LN(2)/25)*Calculateur!V174*Calculateur!X174*VLOOKUP('Données projet'!$B$9,Paramètres!$A$1:$I$89,3,0)*0.475*44/12</f>
        <v>0.24974212571172402</v>
      </c>
      <c r="AB174" s="23">
        <f>EXP(-LN(2)/2)*AB173+(1-EXP(-LN(2)/2))/(LN(2)/2)*V174*Y174*VLOOKUP('Données projet'!$B$9,Paramètres!$A$1:$I$89,3,0)*0.475*44/12</f>
        <v>1.6110156603674826E-20</v>
      </c>
      <c r="AC174" s="24">
        <f t="shared" si="163"/>
        <v>0.37756031097378318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287.69656598881124</v>
      </c>
      <c r="AO174" s="62">
        <f t="shared" si="144"/>
        <v>221.9773436301067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0.12121837057264054</v>
      </c>
      <c r="AW174" s="23">
        <f>EXP(-LN(2)/2)*AW173+(1-EXP(-LN(2)/2))/(LN(2)/2)*AQ174*AT174*VLOOKUP('Données projet'!$B$10,Paramètres!$A$1:$I$89,3,0)*0.475*44/12</f>
        <v>8.518221499874401E-21</v>
      </c>
      <c r="AX174" s="23">
        <f t="shared" si="166"/>
        <v>0.12121837057264054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-5.3205440053716299E-14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310.95287409903602</v>
      </c>
      <c r="BJ174" s="62">
        <f t="shared" si="146"/>
        <v>224.10083380795163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-5.6843418860808015E-14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-3.1036506698001178E-14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240.19940780300527</v>
      </c>
      <c r="T175" s="62">
        <f t="shared" si="142"/>
        <v>355.71054384071715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0.12531174861046515</v>
      </c>
      <c r="AA175" s="23">
        <f>EXP(-LN(2)/25)*AA174+(1-EXP(-LN(2)/25))/(LN(2)/25)*Calculateur!V175*Calculateur!X175*VLOOKUP('Données projet'!$B$9,Paramètres!$A$1:$I$89,3,0)*0.475*44/12</f>
        <v>0.24291291415076932</v>
      </c>
      <c r="AB175" s="23">
        <f>EXP(-LN(2)/2)*AB174+(1-EXP(-LN(2)/2))/(LN(2)/2)*V175*Y175*VLOOKUP('Données projet'!$B$9,Paramètres!$A$1:$I$89,3,0)*0.475*44/12</f>
        <v>1.1391600980435709E-20</v>
      </c>
      <c r="AC175" s="24">
        <f t="shared" si="163"/>
        <v>0.36822466276123444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287.69656598881124</v>
      </c>
      <c r="AO175" s="62">
        <f t="shared" si="144"/>
        <v>221.9773436301067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0.11790364785473462</v>
      </c>
      <c r="AW175" s="23">
        <f>EXP(-LN(2)/2)*AW174+(1-EXP(-LN(2)/2))/(LN(2)/2)*AQ175*AT175*VLOOKUP('Données projet'!$B$10,Paramètres!$A$1:$I$89,3,0)*0.475*44/12</f>
        <v>6.0232921862102328E-21</v>
      </c>
      <c r="AX175" s="23">
        <f t="shared" si="166"/>
        <v>0.11790364785473462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-5.3205440053716299E-14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310.95287409903602</v>
      </c>
      <c r="BJ175" s="62">
        <f t="shared" si="146"/>
        <v>224.10083380795163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-5.6843418860808015E-14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-3.1036506698001178E-14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240.19940780300527</v>
      </c>
      <c r="T176" s="62">
        <f t="shared" si="142"/>
        <v>355.71054384071715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0.12285446165283349</v>
      </c>
      <c r="AA176" s="23">
        <f>EXP(-LN(2)/25)*AA175+(1-EXP(-LN(2)/25))/(LN(2)/25)*Calculateur!V176*Calculateur!X176*VLOOKUP('Données projet'!$B$9,Paramètres!$A$1:$I$89,3,0)*0.475*44/12</f>
        <v>0.23627044773908157</v>
      </c>
      <c r="AB176" s="23">
        <f>EXP(-LN(2)/2)*AB175+(1-EXP(-LN(2)/2))/(LN(2)/2)*V176*Y176*VLOOKUP('Données projet'!$B$9,Paramètres!$A$1:$I$89,3,0)*0.475*44/12</f>
        <v>8.0550783018374129E-21</v>
      </c>
      <c r="AC176" s="24">
        <f t="shared" si="163"/>
        <v>0.35912490939191505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287.69656598881124</v>
      </c>
      <c r="AO176" s="62">
        <f t="shared" si="144"/>
        <v>221.9773436301067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0.11467956640386354</v>
      </c>
      <c r="AW176" s="23">
        <f>EXP(-LN(2)/2)*AW175+(1-EXP(-LN(2)/2))/(LN(2)/2)*AQ176*AT176*VLOOKUP('Données projet'!$B$10,Paramètres!$A$1:$I$89,3,0)*0.475*44/12</f>
        <v>4.2591107499372005E-21</v>
      </c>
      <c r="AX176" s="23">
        <f t="shared" si="166"/>
        <v>0.11467956640386354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-5.3205440053716299E-14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310.95287409903602</v>
      </c>
      <c r="BJ176" s="62">
        <f t="shared" si="146"/>
        <v>224.10083380795163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-5.6843418860808015E-14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-3.1036506698001178E-14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240.19940780300527</v>
      </c>
      <c r="T177" s="62">
        <f t="shared" si="142"/>
        <v>355.71054384071715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0.12044536059364394</v>
      </c>
      <c r="AA177" s="23">
        <f>EXP(-LN(2)/25)*AA176+(1-EXP(-LN(2)/25))/(LN(2)/25)*Calculateur!V177*Calculateur!X177*VLOOKUP('Données projet'!$B$9,Paramètres!$A$1:$I$89,3,0)*0.475*44/12</f>
        <v>0.22980961992073354</v>
      </c>
      <c r="AB177" s="23">
        <f>EXP(-LN(2)/2)*AB176+(1-EXP(-LN(2)/2))/(LN(2)/2)*V177*Y177*VLOOKUP('Données projet'!$B$9,Paramètres!$A$1:$I$89,3,0)*0.475*44/12</f>
        <v>5.6958004902178545E-21</v>
      </c>
      <c r="AC177" s="24">
        <f t="shared" si="163"/>
        <v>0.35025498051437748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287.69656598881124</v>
      </c>
      <c r="AO177" s="62">
        <f t="shared" si="144"/>
        <v>221.9773436301067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0.1115436476298136</v>
      </c>
      <c r="AW177" s="23">
        <f>EXP(-LN(2)/2)*AW176+(1-EXP(-LN(2)/2))/(LN(2)/2)*AQ177*AT177*VLOOKUP('Données projet'!$B$10,Paramètres!$A$1:$I$89,3,0)*0.475*44/12</f>
        <v>3.0116460931051164E-21</v>
      </c>
      <c r="AX177" s="23">
        <f t="shared" si="166"/>
        <v>0.1115436476298136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-5.3205440053716299E-14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310.95287409903602</v>
      </c>
      <c r="BJ177" s="62">
        <f t="shared" si="146"/>
        <v>224.10083380795163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-5.6843418860808015E-14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-3.1036506698001178E-14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240.19940780300527</v>
      </c>
      <c r="T178" s="62">
        <f t="shared" si="142"/>
        <v>355.71054384071715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0.11808350053681854</v>
      </c>
      <c r="AA178" s="23">
        <f>EXP(-LN(2)/25)*AA177+(1-EXP(-LN(2)/25))/(LN(2)/25)*Calculateur!V178*Calculateur!X178*VLOOKUP('Données projet'!$B$9,Paramètres!$A$1:$I$89,3,0)*0.475*44/12</f>
        <v>0.22352546377883842</v>
      </c>
      <c r="AB178" s="23">
        <f>EXP(-LN(2)/2)*AB177+(1-EXP(-LN(2)/2))/(LN(2)/2)*V178*Y178*VLOOKUP('Données projet'!$B$9,Paramètres!$A$1:$I$89,3,0)*0.475*44/12</f>
        <v>4.0275391509187065E-21</v>
      </c>
      <c r="AC178" s="24">
        <f t="shared" si="163"/>
        <v>0.34160896431565696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287.69656598881124</v>
      </c>
      <c r="AO178" s="62">
        <f t="shared" si="144"/>
        <v>221.9773436301067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0.10849348071955085</v>
      </c>
      <c r="AW178" s="23">
        <f>EXP(-LN(2)/2)*AW177+(1-EXP(-LN(2)/2))/(LN(2)/2)*AQ178*AT178*VLOOKUP('Données projet'!$B$10,Paramètres!$A$1:$I$89,3,0)*0.475*44/12</f>
        <v>2.1295553749686002E-21</v>
      </c>
      <c r="AX178" s="23">
        <f t="shared" si="166"/>
        <v>0.10849348071955085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-5.3205440053716299E-14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310.95287409903602</v>
      </c>
      <c r="BJ178" s="62">
        <f t="shared" si="146"/>
        <v>224.10083380795163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-5.6843418860808015E-14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-3.1036506698001178E-14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240.19940780300527</v>
      </c>
      <c r="T179" s="62">
        <f t="shared" si="142"/>
        <v>355.71054384071715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0.11576795511511509</v>
      </c>
      <c r="AA179" s="23">
        <f>EXP(-LN(2)/25)*AA178+(1-EXP(-LN(2)/25))/(LN(2)/25)*Calculateur!V179*Calculateur!X179*VLOOKUP('Données projet'!$B$9,Paramètres!$A$1:$I$89,3,0)*0.475*44/12</f>
        <v>0.21741314821711283</v>
      </c>
      <c r="AB179" s="23">
        <f>EXP(-LN(2)/2)*AB178+(1-EXP(-LN(2)/2))/(LN(2)/2)*V179*Y179*VLOOKUP('Données projet'!$B$9,Paramètres!$A$1:$I$89,3,0)*0.475*44/12</f>
        <v>2.8479002451089272E-21</v>
      </c>
      <c r="AC179" s="24">
        <f t="shared" si="163"/>
        <v>0.33318110333222795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287.69656598881124</v>
      </c>
      <c r="AO179" s="62">
        <f t="shared" si="144"/>
        <v>221.9773436301067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0.10552672078385054</v>
      </c>
      <c r="AW179" s="23">
        <f>EXP(-LN(2)/2)*AW178+(1-EXP(-LN(2)/2))/(LN(2)/2)*AQ179*AT179*VLOOKUP('Données projet'!$B$10,Paramètres!$A$1:$I$89,3,0)*0.475*44/12</f>
        <v>1.5058230465525582E-21</v>
      </c>
      <c r="AX179" s="23">
        <f t="shared" si="166"/>
        <v>0.10552672078385054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-5.3205440053716299E-14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310.95287409903602</v>
      </c>
      <c r="BJ179" s="62">
        <f t="shared" si="146"/>
        <v>224.10083380795163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-5.6843418860808015E-14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-3.1036506698001178E-14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240.19940780300527</v>
      </c>
      <c r="T180" s="62">
        <f t="shared" si="142"/>
        <v>355.71054384071715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0.113497816126788</v>
      </c>
      <c r="AA180" s="23">
        <f>EXP(-LN(2)/25)*AA179+(1-EXP(-LN(2)/25))/(LN(2)/25)*Calculateur!V180*Calculateur!X180*VLOOKUP('Données projet'!$B$9,Paramètres!$A$1:$I$89,3,0)*0.475*44/12</f>
        <v>0.21146797424585531</v>
      </c>
      <c r="AB180" s="23">
        <f>EXP(-LN(2)/2)*AB179+(1-EXP(-LN(2)/2))/(LN(2)/2)*V180*Y180*VLOOKUP('Données projet'!$B$9,Paramètres!$A$1:$I$89,3,0)*0.475*44/12</f>
        <v>2.0137695754593532E-21</v>
      </c>
      <c r="AC180" s="24">
        <f t="shared" si="163"/>
        <v>0.32496579037264328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287.69656598881124</v>
      </c>
      <c r="AO180" s="62">
        <f t="shared" si="144"/>
        <v>221.9773436301067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0.10264108705460709</v>
      </c>
      <c r="AW180" s="23">
        <f>EXP(-LN(2)/2)*AW179+(1-EXP(-LN(2)/2))/(LN(2)/2)*AQ180*AT180*VLOOKUP('Données projet'!$B$10,Paramètres!$A$1:$I$89,3,0)*0.475*44/12</f>
        <v>1.0647776874843001E-21</v>
      </c>
      <c r="AX180" s="23">
        <f t="shared" si="166"/>
        <v>0.10264108705460709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-5.3205440053716299E-14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310.95287409903602</v>
      </c>
      <c r="BJ180" s="62">
        <f t="shared" si="146"/>
        <v>224.10083380795163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-5.6843418860808015E-14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-3.1036506698001178E-14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240.19940780300527</v>
      </c>
      <c r="T181" s="62">
        <f t="shared" si="142"/>
        <v>355.71054384071715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0.11127219317937394</v>
      </c>
      <c r="AA181" s="23">
        <f>EXP(-LN(2)/25)*AA180+(1-EXP(-LN(2)/25))/(LN(2)/25)*Calculateur!V181*Calculateur!X181*VLOOKUP('Données projet'!$B$9,Paramètres!$A$1:$I$89,3,0)*0.475*44/12</f>
        <v>0.20568537136948495</v>
      </c>
      <c r="AB181" s="23">
        <f>EXP(-LN(2)/2)*AB180+(1-EXP(-LN(2)/2))/(LN(2)/2)*V181*Y181*VLOOKUP('Données projet'!$B$9,Paramètres!$A$1:$I$89,3,0)*0.475*44/12</f>
        <v>1.4239501225544636E-21</v>
      </c>
      <c r="AC181" s="24">
        <f t="shared" si="163"/>
        <v>0.31695756454885887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287.69656598881124</v>
      </c>
      <c r="AO181" s="62">
        <f t="shared" si="144"/>
        <v>221.9773436301067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9.9834361131438676E-2</v>
      </c>
      <c r="AW181" s="23">
        <f>EXP(-LN(2)/2)*AW180+(1-EXP(-LN(2)/2))/(LN(2)/2)*AQ181*AT181*VLOOKUP('Données projet'!$B$10,Paramètres!$A$1:$I$89,3,0)*0.475*44/12</f>
        <v>7.529115232762791E-22</v>
      </c>
      <c r="AX181" s="23">
        <f t="shared" si="166"/>
        <v>9.9834361131438676E-2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-5.3205440053716299E-14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310.95287409903602</v>
      </c>
      <c r="BJ181" s="62">
        <f t="shared" si="146"/>
        <v>224.10083380795163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-5.6843418860808015E-14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-3.1036506698001178E-14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240.19940780300527</v>
      </c>
      <c r="T182" s="62">
        <f t="shared" si="142"/>
        <v>355.71054384071715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0.10909021334046272</v>
      </c>
      <c r="AA182" s="23">
        <f>EXP(-LN(2)/25)*AA181+(1-EXP(-LN(2)/25))/(LN(2)/25)*Calculateur!V182*Calculateur!X182*VLOOKUP('Données projet'!$B$9,Paramètres!$A$1:$I$89,3,0)*0.475*44/12</f>
        <v>0.20006089407286282</v>
      </c>
      <c r="AB182" s="23">
        <f>EXP(-LN(2)/2)*AB181+(1-EXP(-LN(2)/2))/(LN(2)/2)*V182*Y182*VLOOKUP('Données projet'!$B$9,Paramètres!$A$1:$I$89,3,0)*0.475*44/12</f>
        <v>1.0068847877296766E-21</v>
      </c>
      <c r="AC182" s="24">
        <f t="shared" si="163"/>
        <v>0.30915110741332552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287.69656598881124</v>
      </c>
      <c r="AO182" s="62">
        <f t="shared" si="144"/>
        <v>221.9773436301067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9.7104385276238603E-2</v>
      </c>
      <c r="AW182" s="23">
        <f>EXP(-LN(2)/2)*AW181+(1-EXP(-LN(2)/2))/(LN(2)/2)*AQ182*AT182*VLOOKUP('Données projet'!$B$10,Paramètres!$A$1:$I$89,3,0)*0.475*44/12</f>
        <v>5.3238884374215006E-22</v>
      </c>
      <c r="AX182" s="23">
        <f t="shared" si="166"/>
        <v>9.7104385276238603E-2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-5.3205440053716299E-14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310.95287409903602</v>
      </c>
      <c r="BJ182" s="62">
        <f t="shared" si="146"/>
        <v>224.10083380795163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-5.6843418860808015E-14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-3.1036506698001178E-14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240.19940780300527</v>
      </c>
      <c r="T183" s="62">
        <f t="shared" si="142"/>
        <v>355.71054384071715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0.10695102079531625</v>
      </c>
      <c r="AA183" s="23">
        <f>EXP(-LN(2)/25)*AA182+(1-EXP(-LN(2)/25))/(LN(2)/25)*Calculateur!V183*Calculateur!X183*VLOOKUP('Données projet'!$B$9,Paramètres!$A$1:$I$89,3,0)*0.475*44/12</f>
        <v>0.1945902184036952</v>
      </c>
      <c r="AB183" s="23">
        <f>EXP(-LN(2)/2)*AB182+(1-EXP(-LN(2)/2))/(LN(2)/2)*V183*Y183*VLOOKUP('Données projet'!$B$9,Paramètres!$A$1:$I$89,3,0)*0.475*44/12</f>
        <v>7.1197506127723181E-22</v>
      </c>
      <c r="AC183" s="24">
        <f t="shared" si="163"/>
        <v>0.30154123919901143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287.69656598881124</v>
      </c>
      <c r="AO183" s="62">
        <f t="shared" si="144"/>
        <v>221.9773436301067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9.4449060754362171E-2</v>
      </c>
      <c r="AW183" s="23">
        <f>EXP(-LN(2)/2)*AW182+(1-EXP(-LN(2)/2))/(LN(2)/2)*AQ183*AT183*VLOOKUP('Données projet'!$B$10,Paramètres!$A$1:$I$89,3,0)*0.475*44/12</f>
        <v>3.7645576163813955E-22</v>
      </c>
      <c r="AX183" s="23">
        <f t="shared" si="166"/>
        <v>9.4449060754362171E-2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-5.3205440053716299E-14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310.95287409903602</v>
      </c>
      <c r="BJ183" s="62">
        <f t="shared" si="146"/>
        <v>224.10083380795163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-5.6843418860808015E-14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-3.1036506698001178E-14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240.19940780300527</v>
      </c>
      <c r="T184" s="62">
        <f t="shared" si="142"/>
        <v>355.71054384071715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0.10485377651120149</v>
      </c>
      <c r="AA184" s="23">
        <f>EXP(-LN(2)/25)*AA183+(1-EXP(-LN(2)/25))/(LN(2)/25)*Calculateur!V184*Calculateur!X184*VLOOKUP('Données projet'!$B$9,Paramètres!$A$1:$I$89,3,0)*0.475*44/12</f>
        <v>0.18926913864839132</v>
      </c>
      <c r="AB184" s="23">
        <f>EXP(-LN(2)/2)*AB183+(1-EXP(-LN(2)/2))/(LN(2)/2)*V184*Y184*VLOOKUP('Données projet'!$B$9,Paramètres!$A$1:$I$89,3,0)*0.475*44/12</f>
        <v>5.0344239386483831E-22</v>
      </c>
      <c r="AC184" s="24">
        <f t="shared" si="163"/>
        <v>0.29412291515959282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287.69656598881124</v>
      </c>
      <c r="AO184" s="62">
        <f t="shared" si="144"/>
        <v>221.9773436301067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9.18663462211739E-2</v>
      </c>
      <c r="AW184" s="23">
        <f>EXP(-LN(2)/2)*AW183+(1-EXP(-LN(2)/2))/(LN(2)/2)*AQ184*AT184*VLOOKUP('Données projet'!$B$10,Paramètres!$A$1:$I$89,3,0)*0.475*44/12</f>
        <v>2.6619442187107503E-22</v>
      </c>
      <c r="AX184" s="23">
        <f t="shared" si="166"/>
        <v>9.18663462211739E-2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-5.3205440053716299E-14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310.95287409903602</v>
      </c>
      <c r="BJ184" s="62">
        <f t="shared" si="146"/>
        <v>224.10083380795163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-5.6843418860808015E-14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-3.1036506698001178E-14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240.19940780300527</v>
      </c>
      <c r="T185" s="62">
        <f t="shared" si="142"/>
        <v>355.71054384071715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0.10279765790830553</v>
      </c>
      <c r="AA185" s="23">
        <f>EXP(-LN(2)/25)*AA184+(1-EXP(-LN(2)/25))/(LN(2)/25)*Calculateur!V185*Calculateur!X185*VLOOKUP('Données projet'!$B$9,Paramètres!$A$1:$I$89,3,0)*0.475*44/12</f>
        <v>0.18409356409881963</v>
      </c>
      <c r="AB185" s="23">
        <f>EXP(-LN(2)/2)*AB184+(1-EXP(-LN(2)/2))/(LN(2)/2)*V185*Y185*VLOOKUP('Données projet'!$B$9,Paramètres!$A$1:$I$89,3,0)*0.475*44/12</f>
        <v>3.559875306386159E-22</v>
      </c>
      <c r="AC185" s="24">
        <f t="shared" si="163"/>
        <v>0.28689122200712514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287.69656598881124</v>
      </c>
      <c r="AO185" s="62">
        <f t="shared" si="144"/>
        <v>221.9773436301067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8.9354256152714709E-2</v>
      </c>
      <c r="AW185" s="23">
        <f>EXP(-LN(2)/2)*AW184+(1-EXP(-LN(2)/2))/(LN(2)/2)*AQ185*AT185*VLOOKUP('Données projet'!$B$10,Paramètres!$A$1:$I$89,3,0)*0.475*44/12</f>
        <v>1.8822788081906977E-22</v>
      </c>
      <c r="AX185" s="23">
        <f t="shared" si="166"/>
        <v>8.9354256152714709E-2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-5.3205440053716299E-14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310.95287409903602</v>
      </c>
      <c r="BJ185" s="62">
        <f t="shared" si="146"/>
        <v>224.10083380795163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-5.6843418860808015E-14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-3.1036506698001178E-14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240.19940780300527</v>
      </c>
      <c r="T186" s="62">
        <f t="shared" si="142"/>
        <v>355.71054384071715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0.10078185853710384</v>
      </c>
      <c r="AA186" s="23">
        <f>EXP(-LN(2)/25)*AA185+(1-EXP(-LN(2)/25))/(LN(2)/25)*Calculateur!V186*Calculateur!X186*VLOOKUP('Données projet'!$B$9,Paramètres!$A$1:$I$89,3,0)*0.475*44/12</f>
        <v>0.17905951590747762</v>
      </c>
      <c r="AB186" s="23">
        <f>EXP(-LN(2)/2)*AB185+(1-EXP(-LN(2)/2))/(LN(2)/2)*V186*Y186*VLOOKUP('Données projet'!$B$9,Paramètres!$A$1:$I$89,3,0)*0.475*44/12</f>
        <v>2.5172119693241915E-22</v>
      </c>
      <c r="AC186" s="24">
        <f t="shared" si="163"/>
        <v>0.27984137444458146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287.69656598881124</v>
      </c>
      <c r="AO186" s="62">
        <f t="shared" si="144"/>
        <v>221.9773436301067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8.6910859319282621E-2</v>
      </c>
      <c r="AW186" s="23">
        <f>EXP(-LN(2)/2)*AW185+(1-EXP(-LN(2)/2))/(LN(2)/2)*AQ186*AT186*VLOOKUP('Données projet'!$B$10,Paramètres!$A$1:$I$89,3,0)*0.475*44/12</f>
        <v>1.3309721093553751E-22</v>
      </c>
      <c r="AX186" s="23">
        <f t="shared" si="166"/>
        <v>8.6910859319282621E-2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-5.3205440053716299E-14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310.95287409903602</v>
      </c>
      <c r="BJ186" s="62">
        <f t="shared" si="146"/>
        <v>224.10083380795163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-5.6843418860808015E-14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-3.1036506698001178E-14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240.19940780300527</v>
      </c>
      <c r="T187" s="62">
        <f t="shared" si="142"/>
        <v>355.71054384071715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9.8805587762055197E-2</v>
      </c>
      <c r="AA187" s="23">
        <f>EXP(-LN(2)/25)*AA186+(1-EXP(-LN(2)/25))/(LN(2)/25)*Calculateur!V187*Calculateur!X187*VLOOKUP('Données projet'!$B$9,Paramètres!$A$1:$I$89,3,0)*0.475*44/12</f>
        <v>0.17416312402865694</v>
      </c>
      <c r="AB187" s="23">
        <f>EXP(-LN(2)/2)*AB186+(1-EXP(-LN(2)/2))/(LN(2)/2)*V187*Y187*VLOOKUP('Données projet'!$B$9,Paramètres!$A$1:$I$89,3,0)*0.475*44/12</f>
        <v>1.7799376531930795E-22</v>
      </c>
      <c r="AC187" s="24">
        <f t="shared" si="163"/>
        <v>0.27296871179071214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287.69656598881124</v>
      </c>
      <c r="AO187" s="62">
        <f t="shared" si="144"/>
        <v>221.9773436301067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8.4534277300753385E-2</v>
      </c>
      <c r="AW187" s="23">
        <f>EXP(-LN(2)/2)*AW186+(1-EXP(-LN(2)/2))/(LN(2)/2)*AQ187*AT187*VLOOKUP('Données projet'!$B$10,Paramètres!$A$1:$I$89,3,0)*0.475*44/12</f>
        <v>9.4113940409534887E-23</v>
      </c>
      <c r="AX187" s="23">
        <f t="shared" si="166"/>
        <v>8.4534277300753385E-2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-5.3205440053716299E-14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310.95287409903602</v>
      </c>
      <c r="BJ187" s="62">
        <f t="shared" si="146"/>
        <v>224.10083380795163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-5.6843418860808015E-14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-3.1036506698001178E-14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240.19940780300527</v>
      </c>
      <c r="T188" s="62">
        <f t="shared" si="142"/>
        <v>355.71054384071715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9.6868070451499116E-2</v>
      </c>
      <c r="AA188" s="23">
        <f>EXP(-LN(2)/25)*AA187+(1-EXP(-LN(2)/25))/(LN(2)/25)*Calculateur!V188*Calculateur!X188*VLOOKUP('Données projet'!$B$9,Paramètres!$A$1:$I$89,3,0)*0.475*44/12</f>
        <v>0.16940062424325267</v>
      </c>
      <c r="AB188" s="23">
        <f>EXP(-LN(2)/2)*AB187+(1-EXP(-LN(2)/2))/(LN(2)/2)*V188*Y188*VLOOKUP('Données projet'!$B$9,Paramètres!$A$1:$I$89,3,0)*0.475*44/12</f>
        <v>1.2586059846620958E-22</v>
      </c>
      <c r="AC188" s="24">
        <f t="shared" si="163"/>
        <v>0.26626869469475178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287.69656598881124</v>
      </c>
      <c r="AO188" s="62">
        <f t="shared" si="144"/>
        <v>221.9773436301067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8.2222683042499842E-2</v>
      </c>
      <c r="AW188" s="23">
        <f>EXP(-LN(2)/2)*AW187+(1-EXP(-LN(2)/2))/(LN(2)/2)*AQ188*AT188*VLOOKUP('Données projet'!$B$10,Paramètres!$A$1:$I$89,3,0)*0.475*44/12</f>
        <v>6.6548605467768757E-23</v>
      </c>
      <c r="AX188" s="23">
        <f t="shared" si="166"/>
        <v>8.2222683042499842E-2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-5.3205440053716299E-14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310.95287409903602</v>
      </c>
      <c r="BJ188" s="62">
        <f t="shared" si="146"/>
        <v>224.10083380795163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-5.6843418860808015E-14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-3.1036506698001178E-14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240.19940780300527</v>
      </c>
      <c r="T189" s="62">
        <f t="shared" si="142"/>
        <v>355.71054384071715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9.4968546673634163E-2</v>
      </c>
      <c r="AA189" s="23">
        <f>EXP(-LN(2)/25)*AA188+(1-EXP(-LN(2)/25))/(LN(2)/25)*Calculateur!V189*Calculateur!X189*VLOOKUP('Données projet'!$B$9,Paramètres!$A$1:$I$89,3,0)*0.475*44/12</f>
        <v>0.16476835526492928</v>
      </c>
      <c r="AB189" s="23">
        <f>EXP(-LN(2)/2)*AB188+(1-EXP(-LN(2)/2))/(LN(2)/2)*V189*Y189*VLOOKUP('Données projet'!$B$9,Paramètres!$A$1:$I$89,3,0)*0.475*44/12</f>
        <v>8.8996882659653976E-23</v>
      </c>
      <c r="AC189" s="24">
        <f t="shared" si="163"/>
        <v>0.25973690193856347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287.69656598881124</v>
      </c>
      <c r="AO189" s="62">
        <f t="shared" si="144"/>
        <v>221.9773436301067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7.9974299450799702E-2</v>
      </c>
      <c r="AW189" s="23">
        <f>EXP(-LN(2)/2)*AW188+(1-EXP(-LN(2)/2))/(LN(2)/2)*AQ189*AT189*VLOOKUP('Données projet'!$B$10,Paramètres!$A$1:$I$89,3,0)*0.475*44/12</f>
        <v>4.7056970204767444E-23</v>
      </c>
      <c r="AX189" s="23">
        <f t="shared" si="166"/>
        <v>7.9974299450799702E-2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-5.3205440053716299E-14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310.95287409903602</v>
      </c>
      <c r="BJ189" s="62">
        <f t="shared" si="146"/>
        <v>224.10083380795163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-5.6843418860808015E-14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-3.1036506698001178E-14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240.19940780300527</v>
      </c>
      <c r="T190" s="62">
        <f t="shared" si="142"/>
        <v>355.71054384071715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9.3106271398458035E-2</v>
      </c>
      <c r="AA190" s="23">
        <f>EXP(-LN(2)/25)*AA189+(1-EXP(-LN(2)/25))/(LN(2)/25)*Calculateur!V190*Calculateur!X190*VLOOKUP('Données projet'!$B$9,Paramètres!$A$1:$I$89,3,0)*0.475*44/12</f>
        <v>0.16026275592541855</v>
      </c>
      <c r="AB190" s="23">
        <f>EXP(-LN(2)/2)*AB189+(1-EXP(-LN(2)/2))/(LN(2)/2)*V190*Y190*VLOOKUP('Données projet'!$B$9,Paramètres!$A$1:$I$89,3,0)*0.475*44/12</f>
        <v>6.2930299233104788E-23</v>
      </c>
      <c r="AC190" s="24">
        <f t="shared" si="163"/>
        <v>0.25336902732387656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287.69656598881124</v>
      </c>
      <c r="AO190" s="62">
        <f t="shared" si="144"/>
        <v>221.9773436301067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7.7787398026651966E-2</v>
      </c>
      <c r="AW190" s="23">
        <f>EXP(-LN(2)/2)*AW189+(1-EXP(-LN(2)/2))/(LN(2)/2)*AQ190*AT190*VLOOKUP('Données projet'!$B$10,Paramètres!$A$1:$I$89,3,0)*0.475*44/12</f>
        <v>3.3274302733884379E-23</v>
      </c>
      <c r="AX190" s="23">
        <f t="shared" si="166"/>
        <v>7.7787398026651966E-2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-5.3205440053716299E-14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310.95287409903602</v>
      </c>
      <c r="BJ190" s="62">
        <f t="shared" si="146"/>
        <v>224.10083380795163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-5.6843418860808015E-14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-3.1036506698001178E-14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240.19940780300527</v>
      </c>
      <c r="T191" s="62">
        <f t="shared" si="142"/>
        <v>355.71054384071715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9.128051420555236E-2</v>
      </c>
      <c r="AA191" s="23">
        <f>EXP(-LN(2)/25)*AA190+(1-EXP(-LN(2)/25))/(LN(2)/25)*Calculateur!V191*Calculateur!X191*VLOOKUP('Données projet'!$B$9,Paramètres!$A$1:$I$89,3,0)*0.475*44/12</f>
        <v>0.15588036243678594</v>
      </c>
      <c r="AB191" s="23">
        <f>EXP(-LN(2)/2)*AB190+(1-EXP(-LN(2)/2))/(LN(2)/2)*V191*Y191*VLOOKUP('Données projet'!$B$9,Paramètres!$A$1:$I$89,3,0)*0.475*44/12</f>
        <v>4.4498441329826988E-23</v>
      </c>
      <c r="AC191" s="24">
        <f t="shared" si="163"/>
        <v>0.2471608766423383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287.69656598881124</v>
      </c>
      <c r="AO191" s="62">
        <f t="shared" si="144"/>
        <v>221.9773436301067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7.5660297536951693E-2</v>
      </c>
      <c r="AW191" s="23">
        <f>EXP(-LN(2)/2)*AW190+(1-EXP(-LN(2)/2))/(LN(2)/2)*AQ191*AT191*VLOOKUP('Données projet'!$B$10,Paramètres!$A$1:$I$89,3,0)*0.475*44/12</f>
        <v>2.3528485102383722E-23</v>
      </c>
      <c r="AX191" s="23">
        <f t="shared" si="166"/>
        <v>7.5660297536951693E-2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-5.3205440053716299E-14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310.95287409903602</v>
      </c>
      <c r="BJ191" s="62">
        <f t="shared" si="146"/>
        <v>224.10083380795163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-5.6843418860808015E-14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-3.1036506698001178E-14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240.19940780300527</v>
      </c>
      <c r="T192" s="62">
        <f t="shared" si="142"/>
        <v>355.71054384071715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8.9490558997597627E-2</v>
      </c>
      <c r="AA192" s="23">
        <f>EXP(-LN(2)/25)*AA191+(1-EXP(-LN(2)/25))/(LN(2)/25)*Calculateur!V192*Calculateur!X192*VLOOKUP('Données projet'!$B$9,Paramètres!$A$1:$I$89,3,0)*0.475*44/12</f>
        <v>0.15161780572856004</v>
      </c>
      <c r="AB192" s="23">
        <f>EXP(-LN(2)/2)*AB191+(1-EXP(-LN(2)/2))/(LN(2)/2)*V192*Y192*VLOOKUP('Données projet'!$B$9,Paramètres!$A$1:$I$89,3,0)*0.475*44/12</f>
        <v>3.1465149616552394E-23</v>
      </c>
      <c r="AC192" s="24">
        <f t="shared" si="163"/>
        <v>0.24110836472615765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287.69656598881124</v>
      </c>
      <c r="AO192" s="62">
        <f t="shared" si="144"/>
        <v>221.9773436301067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7.3591362722001619E-2</v>
      </c>
      <c r="AW192" s="23">
        <f>EXP(-LN(2)/2)*AW191+(1-EXP(-LN(2)/2))/(LN(2)/2)*AQ192*AT192*VLOOKUP('Données projet'!$B$10,Paramètres!$A$1:$I$89,3,0)*0.475*44/12</f>
        <v>1.6637151366942189E-23</v>
      </c>
      <c r="AX192" s="23">
        <f t="shared" si="166"/>
        <v>7.3591362722001619E-2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-5.3205440053716299E-14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310.95287409903602</v>
      </c>
      <c r="BJ192" s="62">
        <f t="shared" si="146"/>
        <v>224.10083380795163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-5.6843418860808015E-14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-3.1036506698001178E-14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240.19940780300527</v>
      </c>
      <c r="T193" s="62">
        <f t="shared" si="142"/>
        <v>355.71054384071715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8.7735703719506022E-2</v>
      </c>
      <c r="AA193" s="23">
        <f>EXP(-LN(2)/25)*AA192+(1-EXP(-LN(2)/25))/(LN(2)/25)*Calculateur!V193*Calculateur!X193*VLOOKUP('Données projet'!$B$9,Paramètres!$A$1:$I$89,3,0)*0.475*44/12</f>
        <v>0.14747180885767869</v>
      </c>
      <c r="AB193" s="23">
        <f>EXP(-LN(2)/2)*AB192+(1-EXP(-LN(2)/2))/(LN(2)/2)*V193*Y193*VLOOKUP('Données projet'!$B$9,Paramètres!$A$1:$I$89,3,0)*0.475*44/12</f>
        <v>2.2249220664913494E-23</v>
      </c>
      <c r="AC193" s="24">
        <f t="shared" si="163"/>
        <v>0.2352075125771847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287.69656598881124</v>
      </c>
      <c r="AO193" s="62">
        <f t="shared" si="144"/>
        <v>221.9773436301067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7.1579003038366909E-2</v>
      </c>
      <c r="AW193" s="23">
        <f>EXP(-LN(2)/2)*AW192+(1-EXP(-LN(2)/2))/(LN(2)/2)*AQ193*AT193*VLOOKUP('Données projet'!$B$10,Paramètres!$A$1:$I$89,3,0)*0.475*44/12</f>
        <v>1.1764242551191861E-23</v>
      </c>
      <c r="AX193" s="23">
        <f t="shared" si="166"/>
        <v>7.1579003038366909E-2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-5.3205440053716299E-14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310.95287409903602</v>
      </c>
      <c r="BJ193" s="62">
        <f t="shared" si="146"/>
        <v>224.10083380795163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-5.6843418860808015E-14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-3.1036506698001178E-14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240.19940780300527</v>
      </c>
      <c r="T194" s="62">
        <f t="shared" si="142"/>
        <v>355.71054384071715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8.6015260083061762E-2</v>
      </c>
      <c r="AA194" s="23">
        <f>EXP(-LN(2)/25)*AA193+(1-EXP(-LN(2)/25))/(LN(2)/25)*Calculateur!V194*Calculateur!X194*VLOOKUP('Données projet'!$B$9,Paramètres!$A$1:$I$89,3,0)*0.475*44/12</f>
        <v>0.14343918448926007</v>
      </c>
      <c r="AB194" s="23">
        <f>EXP(-LN(2)/2)*AB193+(1-EXP(-LN(2)/2))/(LN(2)/2)*V194*Y194*VLOOKUP('Données projet'!$B$9,Paramètres!$A$1:$I$89,3,0)*0.475*44/12</f>
        <v>1.5732574808276197E-23</v>
      </c>
      <c r="AC194" s="24">
        <f t="shared" si="163"/>
        <v>0.22945444457232184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287.69656598881124</v>
      </c>
      <c r="AO194" s="62">
        <f t="shared" si="144"/>
        <v>221.9773436301067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6.9621671436106591E-2</v>
      </c>
      <c r="AW194" s="23">
        <f>EXP(-LN(2)/2)*AW193+(1-EXP(-LN(2)/2))/(LN(2)/2)*AQ194*AT194*VLOOKUP('Données projet'!$B$10,Paramètres!$A$1:$I$89,3,0)*0.475*44/12</f>
        <v>8.3185756834710947E-24</v>
      </c>
      <c r="AX194" s="23">
        <f t="shared" si="166"/>
        <v>6.9621671436106591E-2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-5.3205440053716299E-14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310.95287409903602</v>
      </c>
      <c r="BJ194" s="62">
        <f t="shared" si="146"/>
        <v>224.10083380795163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-5.6843418860808015E-14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-3.1036506698001178E-14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240.19940780300527</v>
      </c>
      <c r="T195" s="62">
        <f t="shared" si="142"/>
        <v>355.71054384071715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8.4328553296961165E-2</v>
      </c>
      <c r="AA195" s="23">
        <f>EXP(-LN(2)/25)*AA194+(1-EXP(-LN(2)/25))/(LN(2)/25)*Calculateur!V195*Calculateur!X195*VLOOKUP('Données projet'!$B$9,Paramètres!$A$1:$I$89,3,0)*0.475*44/12</f>
        <v>0.13951683244626237</v>
      </c>
      <c r="AB195" s="23">
        <f>EXP(-LN(2)/2)*AB194+(1-EXP(-LN(2)/2))/(LN(2)/2)*V195*Y195*VLOOKUP('Données projet'!$B$9,Paramètres!$A$1:$I$89,3,0)*0.475*44/12</f>
        <v>1.1124610332456747E-23</v>
      </c>
      <c r="AC195" s="24">
        <f t="shared" si="163"/>
        <v>0.22384538574322355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287.69656598881124</v>
      </c>
      <c r="AO195" s="62">
        <f t="shared" si="144"/>
        <v>221.9773436301067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6.7717863169441672E-2</v>
      </c>
      <c r="AW195" s="23">
        <f>EXP(-LN(2)/2)*AW194+(1-EXP(-LN(2)/2))/(LN(2)/2)*AQ195*AT195*VLOOKUP('Données projet'!$B$10,Paramètres!$A$1:$I$89,3,0)*0.475*44/12</f>
        <v>5.8821212755959304E-24</v>
      </c>
      <c r="AX195" s="23">
        <f t="shared" si="166"/>
        <v>6.7717863169441672E-2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-5.3205440053716299E-14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310.95287409903602</v>
      </c>
      <c r="BJ195" s="62">
        <f t="shared" si="146"/>
        <v>224.10083380795163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-5.6843418860808015E-14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-3.1036506698001178E-14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240.19940780300527</v>
      </c>
      <c r="T196" s="62">
        <f t="shared" si="142"/>
        <v>355.71054384071715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8.2674921802146445E-2</v>
      </c>
      <c r="AA196" s="23">
        <f>EXP(-LN(2)/25)*AA195+(1-EXP(-LN(2)/25))/(LN(2)/25)*Calculateur!V196*Calculateur!X196*VLOOKUP('Données projet'!$B$9,Paramètres!$A$1:$I$89,3,0)*0.475*44/12</f>
        <v>0.13570173732614799</v>
      </c>
      <c r="AB196" s="23">
        <f>EXP(-LN(2)/2)*AB195+(1-EXP(-LN(2)/2))/(LN(2)/2)*V196*Y196*VLOOKUP('Données projet'!$B$9,Paramètres!$A$1:$I$89,3,0)*0.475*44/12</f>
        <v>7.8662874041380985E-24</v>
      </c>
      <c r="AC196" s="24">
        <f t="shared" si="163"/>
        <v>0.21837665912829443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287.69656598881124</v>
      </c>
      <c r="AO196" s="62">
        <f t="shared" si="144"/>
        <v>221.9773436301067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6.5866114639945642E-2</v>
      </c>
      <c r="AW196" s="23">
        <f>EXP(-LN(2)/2)*AW195+(1-EXP(-LN(2)/2))/(LN(2)/2)*AQ196*AT196*VLOOKUP('Données projet'!$B$10,Paramètres!$A$1:$I$89,3,0)*0.475*44/12</f>
        <v>4.1592878417355473E-24</v>
      </c>
      <c r="AX196" s="23">
        <f t="shared" si="166"/>
        <v>6.5866114639945642E-2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-5.3205440053716299E-14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310.95287409903602</v>
      </c>
      <c r="BJ196" s="62">
        <f t="shared" si="146"/>
        <v>224.10083380795163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-5.6843418860808015E-14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-3.1036506698001178E-14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240.19940780300527</v>
      </c>
      <c r="T197" s="62">
        <f t="shared" ref="T197:T203" si="204">$T$3</f>
        <v>355.71054384071715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8.1053717012329426E-2</v>
      </c>
      <c r="AA197" s="23">
        <f>EXP(-LN(2)/25)*AA196+(1-EXP(-LN(2)/25))/(LN(2)/25)*Calculateur!V197*Calculateur!X197*VLOOKUP('Données projet'!$B$9,Paramètres!$A$1:$I$89,3,0)*0.475*44/12</f>
        <v>0.13199096618272024</v>
      </c>
      <c r="AB197" s="23">
        <f>EXP(-LN(2)/2)*AB196+(1-EXP(-LN(2)/2))/(LN(2)/2)*V197*Y197*VLOOKUP('Données projet'!$B$9,Paramètres!$A$1:$I$89,3,0)*0.475*44/12</f>
        <v>5.5623051662283735E-24</v>
      </c>
      <c r="AC197" s="24">
        <f t="shared" si="163"/>
        <v>0.21304468319504966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287.69656598881124</v>
      </c>
      <c r="AO197" s="62">
        <f t="shared" ref="AO197:AO203" si="205">$AO$3</f>
        <v>221.9773436301067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6.4065002271367896E-2</v>
      </c>
      <c r="AW197" s="23">
        <f>EXP(-LN(2)/2)*AW196+(1-EXP(-LN(2)/2))/(LN(2)/2)*AQ197*AT197*VLOOKUP('Données projet'!$B$10,Paramètres!$A$1:$I$89,3,0)*0.475*44/12</f>
        <v>2.9410606377979652E-24</v>
      </c>
      <c r="AX197" s="23">
        <f t="shared" si="166"/>
        <v>6.4065002271367896E-2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-5.3205440053716299E-14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310.95287409903602</v>
      </c>
      <c r="BJ197" s="62">
        <f t="shared" ref="BJ197:BJ203" si="206">$BJ$3</f>
        <v>224.10083380795163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-5.6843418860808015E-14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-3.1036506698001178E-14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240.19940780300527</v>
      </c>
      <c r="T198" s="62">
        <f t="shared" si="204"/>
        <v>355.71054384071715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7.9464303059603433E-2</v>
      </c>
      <c r="AA198" s="23">
        <f>EXP(-LN(2)/25)*AA197+(1-EXP(-LN(2)/25))/(LN(2)/25)*Calculateur!V198*Calculateur!X198*VLOOKUP('Données projet'!$B$9,Paramètres!$A$1:$I$89,3,0)*0.475*44/12</f>
        <v>0.1283816662713505</v>
      </c>
      <c r="AB198" s="23">
        <f>EXP(-LN(2)/2)*AB197+(1-EXP(-LN(2)/2))/(LN(2)/2)*V198*Y198*VLOOKUP('Données projet'!$B$9,Paramètres!$A$1:$I$89,3,0)*0.475*44/12</f>
        <v>3.9331437020690493E-24</v>
      </c>
      <c r="AC198" s="24">
        <f t="shared" si="163"/>
        <v>0.20784596933095395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287.69656598881124</v>
      </c>
      <c r="AO198" s="62">
        <f t="shared" si="205"/>
        <v>221.9773436301067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6.2313141415225294E-2</v>
      </c>
      <c r="AW198" s="23">
        <f>EXP(-LN(2)/2)*AW197+(1-EXP(-LN(2)/2))/(LN(2)/2)*AQ198*AT198*VLOOKUP('Données projet'!$B$10,Paramètres!$A$1:$I$89,3,0)*0.475*44/12</f>
        <v>2.0796439208677737E-24</v>
      </c>
      <c r="AX198" s="23">
        <f t="shared" si="166"/>
        <v>6.2313141415225294E-2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-5.3205440053716299E-14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310.95287409903602</v>
      </c>
      <c r="BJ198" s="62">
        <f t="shared" si="206"/>
        <v>224.10083380795163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-5.6843418860808015E-14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-3.1036506698001178E-14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240.19940780300527</v>
      </c>
      <c r="T199" s="62">
        <f t="shared" si="204"/>
        <v>355.71054384071715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7.7906056545043609E-2</v>
      </c>
      <c r="AA199" s="23">
        <f>EXP(-LN(2)/25)*AA198+(1-EXP(-LN(2)/25))/(LN(2)/25)*Calculateur!V199*Calculateur!X199*VLOOKUP('Données projet'!$B$9,Paramètres!$A$1:$I$89,3,0)*0.475*44/12</f>
        <v>0.12487106285586201</v>
      </c>
      <c r="AB199" s="23">
        <f>EXP(-LN(2)/2)*AB198+(1-EXP(-LN(2)/2))/(LN(2)/2)*V199*Y199*VLOOKUP('Données projet'!$B$9,Paramètres!$A$1:$I$89,3,0)*0.475*44/12</f>
        <v>2.7811525831141867E-24</v>
      </c>
      <c r="AC199" s="24">
        <f t="shared" si="163"/>
        <v>0.20277711940090562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287.69656598881124</v>
      </c>
      <c r="AO199" s="62">
        <f t="shared" si="205"/>
        <v>221.9773436301067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6.0609185286320269E-2</v>
      </c>
      <c r="AW199" s="23">
        <f>EXP(-LN(2)/2)*AW198+(1-EXP(-LN(2)/2))/(LN(2)/2)*AQ199*AT199*VLOOKUP('Données projet'!$B$10,Paramètres!$A$1:$I$89,3,0)*0.475*44/12</f>
        <v>1.4705303188989826E-24</v>
      </c>
      <c r="AX199" s="23">
        <f t="shared" si="166"/>
        <v>6.0609185286320269E-2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-5.3205440053716299E-14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310.95287409903602</v>
      </c>
      <c r="BJ199" s="62">
        <f t="shared" si="206"/>
        <v>224.10083380795163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-5.6843418860808015E-14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-3.1036506698001178E-14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240.19940780300527</v>
      </c>
      <c r="T200" s="62">
        <f t="shared" si="204"/>
        <v>355.71054384071715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7.637836629419778E-2</v>
      </c>
      <c r="AA200" s="23">
        <f>EXP(-LN(2)/25)*AA199+(1-EXP(-LN(2)/25))/(LN(2)/25)*Calculateur!V200*Calculateur!X200*VLOOKUP('Données projet'!$B$9,Paramètres!$A$1:$I$89,3,0)*0.475*44/12</f>
        <v>0.12145645707538466</v>
      </c>
      <c r="AB200" s="23">
        <f>EXP(-LN(2)/2)*AB199+(1-EXP(-LN(2)/2))/(LN(2)/2)*V200*Y200*VLOOKUP('Données projet'!$B$9,Paramètres!$A$1:$I$89,3,0)*0.475*44/12</f>
        <v>1.9665718510345246E-24</v>
      </c>
      <c r="AC200" s="24">
        <f t="shared" si="163"/>
        <v>0.19783482336958244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287.69656598881124</v>
      </c>
      <c r="AO200" s="62">
        <f t="shared" si="205"/>
        <v>221.9773436301067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5.8951823927367308E-2</v>
      </c>
      <c r="AW200" s="23">
        <f>EXP(-LN(2)/2)*AW199+(1-EXP(-LN(2)/2))/(LN(2)/2)*AQ200*AT200*VLOOKUP('Données projet'!$B$10,Paramètres!$A$1:$I$89,3,0)*0.475*44/12</f>
        <v>1.0398219604338868E-24</v>
      </c>
      <c r="AX200" s="23">
        <f t="shared" si="166"/>
        <v>5.8951823927367308E-2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-5.3205440053716299E-14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310.95287409903602</v>
      </c>
      <c r="BJ200" s="62">
        <f t="shared" si="206"/>
        <v>224.10083380795163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-5.6843418860808015E-14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-3.1036506698001178E-14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240.19940780300527</v>
      </c>
      <c r="T201" s="62">
        <f t="shared" si="204"/>
        <v>355.71054384071715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7.4880633117371989E-2</v>
      </c>
      <c r="AA201" s="23">
        <f>EXP(-LN(2)/25)*AA200+(1-EXP(-LN(2)/25))/(LN(2)/25)*Calculateur!V201*Calculateur!X201*VLOOKUP('Données projet'!$B$9,Paramètres!$A$1:$I$89,3,0)*0.475*44/12</f>
        <v>0.11813522386954078</v>
      </c>
      <c r="AB201" s="23">
        <f>EXP(-LN(2)/2)*AB200+(1-EXP(-LN(2)/2))/(LN(2)/2)*V201*Y201*VLOOKUP('Données projet'!$B$9,Paramètres!$A$1:$I$89,3,0)*0.475*44/12</f>
        <v>1.3905762915570934E-24</v>
      </c>
      <c r="AC201" s="24">
        <f t="shared" si="163"/>
        <v>0.19301585698691276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287.69656598881124</v>
      </c>
      <c r="AO201" s="62">
        <f t="shared" si="205"/>
        <v>221.9773436301067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5.7339783201931768E-2</v>
      </c>
      <c r="AW201" s="23">
        <f>EXP(-LN(2)/2)*AW200+(1-EXP(-LN(2)/2))/(LN(2)/2)*AQ201*AT201*VLOOKUP('Données projet'!$B$10,Paramètres!$A$1:$I$89,3,0)*0.475*44/12</f>
        <v>7.3526515944949131E-25</v>
      </c>
      <c r="AX201" s="23">
        <f t="shared" si="166"/>
        <v>5.7339783201931768E-2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-5.3205440053716299E-14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310.95287409903602</v>
      </c>
      <c r="BJ201" s="62">
        <f t="shared" si="206"/>
        <v>224.10083380795163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-5.6843418860808015E-14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-3.1036506698001178E-14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240.19940780300527</v>
      </c>
      <c r="T202" s="62">
        <f t="shared" si="204"/>
        <v>355.71054384071715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7.3412269574616718E-2</v>
      </c>
      <c r="AA202" s="23">
        <f>EXP(-LN(2)/25)*AA201+(1-EXP(-LN(2)/25))/(LN(2)/25)*Calculateur!V202*Calculateur!X202*VLOOKUP('Données projet'!$B$9,Paramètres!$A$1:$I$89,3,0)*0.475*44/12</f>
        <v>0.11490480996036677</v>
      </c>
      <c r="AB202" s="23">
        <f>EXP(-LN(2)/2)*AB201+(1-EXP(-LN(2)/2))/(LN(2)/2)*V202*Y202*VLOOKUP('Données projet'!$B$9,Paramètres!$A$1:$I$89,3,0)*0.475*44/12</f>
        <v>9.8328592551726232E-25</v>
      </c>
      <c r="AC202" s="24">
        <f t="shared" si="163"/>
        <v>0.1883170795349835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287.69656598881124</v>
      </c>
      <c r="AO202" s="62">
        <f t="shared" si="205"/>
        <v>221.9773436301067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5.57718238149068E-2</v>
      </c>
      <c r="AW202" s="23">
        <f>EXP(-LN(2)/2)*AW201+(1-EXP(-LN(2)/2))/(LN(2)/2)*AQ202*AT202*VLOOKUP('Données projet'!$B$10,Paramètres!$A$1:$I$89,3,0)*0.475*44/12</f>
        <v>5.1991098021694342E-25</v>
      </c>
      <c r="AX202" s="23">
        <f t="shared" si="166"/>
        <v>5.57718238149068E-2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-5.3205440053716299E-14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310.95287409903602</v>
      </c>
      <c r="BJ202" s="62">
        <f t="shared" si="206"/>
        <v>224.10083380795163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-5.6843418860808015E-14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-3.1036506698001178E-14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240.19940780300527</v>
      </c>
      <c r="T203" s="62">
        <f t="shared" si="204"/>
        <v>355.71054384071715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7.1972699745321556E-2</v>
      </c>
      <c r="AA203" s="23">
        <f>EXP(-LN(2)/25)*AA202+(1-EXP(-LN(2)/25))/(LN(2)/25)*Calculateur!V203*Calculateur!X203*VLOOKUP('Données projet'!$B$9,Paramètres!$A$1:$I$89,3,0)*0.475*44/12</f>
        <v>0.11176273188941921</v>
      </c>
      <c r="AB203" s="23">
        <f>EXP(-LN(2)/2)*AB202+(1-EXP(-LN(2)/2))/(LN(2)/2)*V203*Y203*VLOOKUP('Données projet'!$B$9,Paramètres!$A$1:$I$89,3,0)*0.475*44/12</f>
        <v>6.9528814577854669E-25</v>
      </c>
      <c r="AC203" s="24">
        <f t="shared" si="163"/>
        <v>0.18373543163474076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287.69656598881124</v>
      </c>
      <c r="AO203" s="62">
        <f t="shared" si="205"/>
        <v>221.9773436301067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5.4246740359775426E-2</v>
      </c>
      <c r="AW203" s="23">
        <f>EXP(-LN(2)/2)*AW202+(1-EXP(-LN(2)/2))/(LN(2)/2)*AQ203*AT203*VLOOKUP('Données projet'!$B$10,Paramètres!$A$1:$I$89,3,0)*0.475*44/12</f>
        <v>3.6763257972474565E-25</v>
      </c>
      <c r="AX203" s="23">
        <f t="shared" si="166"/>
        <v>5.4246740359775426E-2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-5.3205440053716299E-14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310.95287409903602</v>
      </c>
      <c r="BJ203" s="62">
        <f t="shared" si="206"/>
        <v>224.10083380795163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-5.6843418860808015E-14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1.5556353708263266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1.244502252163008</v>
      </c>
      <c r="BA205" s="88">
        <f>EXP(LN('Données projet'!B88)/'Données projet'!A88)</f>
        <v>1.2880503926580862</v>
      </c>
      <c r="BV205" s="88">
        <f>EXP(LN('Données projet'!B114)/'Données projet'!A114)</f>
        <v>1.5556353708263266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9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20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9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1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1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20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9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20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M9" sqref="M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0" t="s">
        <v>271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2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Mélèze hybride</v>
      </c>
      <c r="B6" s="155">
        <f>'Données projet'!D9</f>
        <v>0.29925000000000002</v>
      </c>
      <c r="C6" s="156">
        <f ca="1">IF(OR('Données projet'!B9="",'Données projet'!C9="",'Données projet'!C9=0%),0,Calculateur!S3)</f>
        <v>240.19940780300527</v>
      </c>
      <c r="D6" s="156">
        <f>IF(OR('Données projet'!B9="",'Données projet'!C9="",'Données projet'!C9=0%),0,Calculateur!T3)</f>
        <v>355.71054384071715</v>
      </c>
      <c r="E6" s="156">
        <f ca="1">MIN(C6,D6)</f>
        <v>240.19940780300527</v>
      </c>
      <c r="F6" s="156">
        <f ca="1">E6*B6</f>
        <v>71.879672785049337</v>
      </c>
      <c r="G6" s="156">
        <f ca="1">F6*(100%-'Données projet'!$C$24)*(100%-'Données projet'!$C$25)*(100%-'Données projet'!$C$26)*(100%-'Données projet'!$C$27)</f>
        <v>54.987949680562743</v>
      </c>
      <c r="H6" s="157">
        <f>IF(OR('Données projet'!B9="",'Données projet'!C9="",'Données projet'!C9=0%),0,AVERAGE(Calculateur!$AC$3:$AC$33)*B6)</f>
        <v>4.4283728481087916</v>
      </c>
      <c r="I6" s="158">
        <f>H6*(100%-'Données projet'!$C$24)*(100%-'Données projet'!$C$25)*(100%-'Données projet'!$C$26)*(100%-'Données projet'!$C$27)</f>
        <v>3.3877052288032252</v>
      </c>
      <c r="J6" s="159">
        <f>IF(OR('Données projet'!B9="",'Données projet'!C9="",'Données projet'!C9=0%),0,SUM(Calculateur!$V$3:$V$33)*VLOOKUP('Données projet'!$B$9,Paramètres!$A$1:$I$89,9,0)*B6)</f>
        <v>31.654665000000001</v>
      </c>
      <c r="K6" s="160">
        <f>J6*(100%-'Données projet'!$C$24)*(100%-'Données projet'!$C$25)*(100%-'Données projet'!$C$26)*(100%-'Données projet'!$C$27)</f>
        <v>24.215818724999998</v>
      </c>
      <c r="L6" s="161">
        <f ca="1">G6+I6+K6</f>
        <v>82.591473634365968</v>
      </c>
      <c r="M6" s="25">
        <f ca="1">L6/B6</f>
        <v>275.99489936296061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laricio</v>
      </c>
      <c r="B7" s="163">
        <f>'Données projet'!D10</f>
        <v>0.70874999999999999</v>
      </c>
      <c r="C7" s="156">
        <f ca="1">IF(OR('Données projet'!B10="",'Données projet'!C10="",'Données projet'!C10=0%),0,Calculateur!AN3)</f>
        <v>287.69656598881124</v>
      </c>
      <c r="D7" s="156">
        <f>IF(OR('Données projet'!B10="",'Données projet'!C10="",'Données projet'!C10=0%),0,Calculateur!AO3)</f>
        <v>221.9773436301067</v>
      </c>
      <c r="E7" s="156">
        <f t="shared" ref="E7:E15" ca="1" si="0">MIN(C7,D7)</f>
        <v>221.9773436301067</v>
      </c>
      <c r="F7" s="156">
        <f t="shared" ref="F7:F15" ca="1" si="1">E7*B7</f>
        <v>157.32644229783813</v>
      </c>
      <c r="G7" s="156">
        <f ca="1">F7*(100%-'Données projet'!$C$24)*(100%-'Données projet'!$C$25)*(100%-'Données projet'!$C$26)*(100%-'Données projet'!$C$27)</f>
        <v>120.35472835784617</v>
      </c>
      <c r="H7" s="164">
        <f>IF(OR('Données projet'!B10="",'Données projet'!C10="",'Données projet'!C10=0%),0,AVERAGE(Calculateur!$AX$3:$AX$33)*B7)</f>
        <v>1.9957823662825795</v>
      </c>
      <c r="I7" s="158">
        <f>H7*(100%-'Données projet'!$C$24)*(100%-'Données projet'!$C$25)*(100%-'Données projet'!$C$26)*(100%-'Données projet'!$C$27)</f>
        <v>1.5267735102061732</v>
      </c>
      <c r="J7" s="159">
        <f>IF(OR('Données projet'!B10="",'Données projet'!C10="",'Données projet'!C10=0%),0,SUM(Calculateur!$AQ$3:$AQ$33)*VLOOKUP('Données projet'!$B$10,Paramètres!$A$1:$I$89,9,0)*B7)</f>
        <v>20.4190875</v>
      </c>
      <c r="K7" s="160">
        <f>J7*(100%-'Données projet'!$C$24)*(100%-'Données projet'!$C$25)*(100%-'Données projet'!$C$26)*(100%-'Données projet'!$C$27)</f>
        <v>15.620601937499998</v>
      </c>
      <c r="L7" s="161">
        <f t="shared" ref="L7:L15" ca="1" si="2">G7+I7+K7</f>
        <v>137.50210380555234</v>
      </c>
      <c r="M7" s="25">
        <f ca="1">L7/B7</f>
        <v>194.00649566920964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Cèdre de l'Atlas</v>
      </c>
      <c r="B8" s="163">
        <f>'Données projet'!D11</f>
        <v>2.1419999999999999</v>
      </c>
      <c r="C8" s="156">
        <f ca="1">IF(OR('Données projet'!B11="",'Données projet'!C11="",'Données projet'!C11=0%),0,Calculateur!BI3)</f>
        <v>310.95287409903602</v>
      </c>
      <c r="D8" s="156">
        <f>IF(OR('Données projet'!B11="",'Données projet'!C11="",'Données projet'!C11=0%),0,Calculateur!BJ3)</f>
        <v>224.10083380795163</v>
      </c>
      <c r="E8" s="156">
        <f t="shared" ca="1" si="0"/>
        <v>224.10083380795163</v>
      </c>
      <c r="F8" s="156">
        <f t="shared" ca="1" si="1"/>
        <v>480.02398601663236</v>
      </c>
      <c r="G8" s="156">
        <f ca="1">F8*(100%-'Données projet'!$C$24)*(100%-'Données projet'!$C$25)*(100%-'Données projet'!$C$26)*(100%-'Données projet'!$C$27)</f>
        <v>367.21834930272377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367.21834930272377</v>
      </c>
      <c r="M8" s="25">
        <f ca="1">L8/B8</f>
        <v>171.437137863083</v>
      </c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709.23010109951986</v>
      </c>
      <c r="G16" s="175">
        <f t="shared" ca="1" si="3"/>
        <v>542.56102734113267</v>
      </c>
      <c r="H16" s="176">
        <f t="shared" si="3"/>
        <v>6.4241552143913712</v>
      </c>
      <c r="I16" s="176">
        <f t="shared" si="3"/>
        <v>4.9144787390093985</v>
      </c>
      <c r="J16" s="177">
        <f t="shared" si="3"/>
        <v>52.073752499999998</v>
      </c>
      <c r="K16" s="177">
        <f t="shared" si="3"/>
        <v>39.836420662499997</v>
      </c>
      <c r="L16" s="178">
        <f t="shared" ca="1" si="3"/>
        <v>587.31192674264207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2" t="s">
        <v>246</v>
      </c>
      <c r="G17" s="323"/>
      <c r="H17" s="323"/>
      <c r="I17" s="323"/>
      <c r="J17" s="323"/>
      <c r="K17" s="323"/>
      <c r="L17" s="323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4"/>
      <c r="G18" s="324"/>
      <c r="H18" s="324"/>
      <c r="I18" s="324"/>
      <c r="J18" s="324"/>
      <c r="K18" s="324"/>
      <c r="L18" s="324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Mélèze hybride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laricio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Cèdre de l'Atlas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K12" zoomScale="90" zoomScaleNormal="90" workbookViewId="0">
      <selection activeCell="L26" sqref="L26:P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0" t="s">
        <v>272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2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8" t="s">
        <v>315</v>
      </c>
      <c r="I4" s="328"/>
      <c r="K4" s="325" t="s">
        <v>253</v>
      </c>
      <c r="L4" s="326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6" t="s">
        <v>310</v>
      </c>
      <c r="S7" s="337"/>
      <c r="T7" s="337"/>
      <c r="U7" s="337"/>
      <c r="V7" s="338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Mélèze hybride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5141.0515895514527</v>
      </c>
      <c r="U10" s="190">
        <f>'Données projet'!D9</f>
        <v>0.29925000000000002</v>
      </c>
      <c r="V10" s="189">
        <f>U10*T10</f>
        <v>1538.4596881732723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laricio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1704.3402412494472</v>
      </c>
      <c r="U11" s="190">
        <f>'Données projet'!D10</f>
        <v>0.70874999999999999</v>
      </c>
      <c r="V11" s="189">
        <f t="shared" ref="V11" si="0">U11*T11</f>
        <v>1207.9511459855457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Cèdre de l'Atlas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1073.3775350824558</v>
      </c>
      <c r="U12" s="190">
        <f>'Données projet'!D11</f>
        <v>2.1419999999999999</v>
      </c>
      <c r="V12" s="189">
        <f t="shared" ref="V12:V19" si="1">U12*T12</f>
        <v>2299.1746801466202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Mélèze hybride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9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9"/>
      <c r="H16" s="203"/>
      <c r="I16" s="204"/>
      <c r="J16" s="216"/>
      <c r="K16" s="225"/>
      <c r="L16" s="325" t="s">
        <v>254</v>
      </c>
      <c r="M16" s="326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9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70.000000000000114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9"/>
      <c r="J18" s="216"/>
      <c r="K18" s="225"/>
      <c r="L18" s="296" t="s">
        <v>255</v>
      </c>
      <c r="M18" s="298"/>
      <c r="N18" s="205">
        <v>40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9"/>
      <c r="H19" s="232" t="s">
        <v>178</v>
      </c>
      <c r="I19" s="232" t="s">
        <v>287</v>
      </c>
      <c r="J19" s="260"/>
      <c r="K19" s="183"/>
      <c r="L19" s="325" t="s">
        <v>288</v>
      </c>
      <c r="M19" s="326"/>
      <c r="N19" s="191">
        <f>N17*N18</f>
        <v>2800.0000000000045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9"/>
      <c r="H20" s="203">
        <v>0</v>
      </c>
      <c r="I20" s="204">
        <v>13100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10</v>
      </c>
      <c r="B23" s="193">
        <f>'Données projet'!D36</f>
        <v>26</v>
      </c>
      <c r="C23" s="206">
        <v>8</v>
      </c>
      <c r="D23" s="194">
        <f>B23*C23</f>
        <v>208</v>
      </c>
      <c r="E23" s="206"/>
      <c r="F23" s="261"/>
      <c r="H23" s="203"/>
      <c r="I23" s="204"/>
      <c r="K23" s="225"/>
      <c r="L23" s="327" t="s">
        <v>260</v>
      </c>
      <c r="M23" s="327"/>
      <c r="N23" s="327"/>
      <c r="O23" s="25"/>
      <c r="P23" s="25"/>
      <c r="Q23" s="265"/>
      <c r="R23" s="25"/>
      <c r="S23" s="185" t="s">
        <v>264</v>
      </c>
      <c r="T23" s="34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-36219.414485694564</v>
      </c>
      <c r="U23" s="341"/>
      <c r="V23" s="341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15</v>
      </c>
      <c r="B24" s="193">
        <f>'Données projet'!D37</f>
        <v>54</v>
      </c>
      <c r="C24" s="292">
        <v>15</v>
      </c>
      <c r="D24" s="194">
        <f t="shared" ref="D24:D42" si="2">B24*C24</f>
        <v>810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2">
        <f ca="1">'Scénario référence'!$B$8*$M$30*'Données projet'!$C$5+('Scénario référence'!B9+'Scénario référence'!B10+'Scénario référence'!F8+'Scénario référence'!F9)*$N$19/(1+M4)^N16*'Données projet'!$C$5</f>
        <v>404.88179885377832</v>
      </c>
      <c r="U24" s="342"/>
      <c r="V24" s="342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20</v>
      </c>
      <c r="B25" s="193">
        <f>'Données projet'!D38</f>
        <v>61</v>
      </c>
      <c r="C25" s="292">
        <v>20</v>
      </c>
      <c r="D25" s="194">
        <f t="shared" si="2"/>
        <v>1220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3">
        <f ca="1">T23-T24</f>
        <v>-36624.296284548342</v>
      </c>
      <c r="U25" s="343"/>
      <c r="V25" s="343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25</v>
      </c>
      <c r="B26" s="193">
        <f>'Données projet'!D39</f>
        <v>57</v>
      </c>
      <c r="C26" s="292">
        <v>28</v>
      </c>
      <c r="D26" s="194">
        <f t="shared" si="2"/>
        <v>1596</v>
      </c>
      <c r="E26" s="206"/>
      <c r="F26" s="264"/>
      <c r="G26" s="259"/>
      <c r="H26" s="203"/>
      <c r="I26" s="204"/>
      <c r="K26" s="225"/>
      <c r="L26" s="330" t="s">
        <v>258</v>
      </c>
      <c r="M26" s="331"/>
      <c r="N26" s="331"/>
      <c r="O26" s="331"/>
      <c r="P26" s="332"/>
      <c r="Q26" s="265"/>
      <c r="R26" s="25"/>
      <c r="S26" s="198" t="s">
        <v>265</v>
      </c>
      <c r="T26" s="340" t="str">
        <f ca="1">IF(T25&lt;0,"Votre projet est additionnel","Votre projet n'est pas additionnel")</f>
        <v>Votre projet est additionnel</v>
      </c>
      <c r="U26" s="340"/>
      <c r="V26" s="340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30</v>
      </c>
      <c r="B27" s="193">
        <f>'Données projet'!D40</f>
        <v>48</v>
      </c>
      <c r="C27" s="292">
        <v>28</v>
      </c>
      <c r="D27" s="194">
        <f t="shared" si="2"/>
        <v>1344</v>
      </c>
      <c r="E27" s="206"/>
      <c r="F27" s="264"/>
      <c r="G27" s="259"/>
      <c r="H27" s="203"/>
      <c r="I27" s="204"/>
      <c r="K27" s="225"/>
      <c r="L27" s="333"/>
      <c r="M27" s="334"/>
      <c r="N27" s="334"/>
      <c r="O27" s="334"/>
      <c r="P27" s="335"/>
      <c r="Q27" s="265"/>
      <c r="R27" s="25"/>
      <c r="S27" s="339" t="s">
        <v>267</v>
      </c>
      <c r="T27" s="339"/>
      <c r="U27" s="339"/>
      <c r="V27" s="339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35</v>
      </c>
      <c r="B28" s="193">
        <f>'Données projet'!D41</f>
        <v>38</v>
      </c>
      <c r="C28" s="292">
        <v>38</v>
      </c>
      <c r="D28" s="194">
        <f t="shared" si="2"/>
        <v>1444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40</v>
      </c>
      <c r="B29" s="193">
        <f>'Données projet'!D42</f>
        <v>28</v>
      </c>
      <c r="C29" s="292">
        <v>48</v>
      </c>
      <c r="D29" s="194">
        <f t="shared" si="2"/>
        <v>1344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45</v>
      </c>
      <c r="B30" s="193">
        <f>'Données projet'!D43</f>
        <v>21</v>
      </c>
      <c r="C30" s="292">
        <v>58</v>
      </c>
      <c r="D30" s="194">
        <f t="shared" si="2"/>
        <v>1218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50</v>
      </c>
      <c r="B31" s="193">
        <f>'Données projet'!D44</f>
        <v>374</v>
      </c>
      <c r="C31" s="292">
        <v>60</v>
      </c>
      <c r="D31" s="194">
        <f t="shared" si="2"/>
        <v>22440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92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92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laricio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22</v>
      </c>
      <c r="B54" s="193">
        <f>'Données projet'!D62</f>
        <v>16</v>
      </c>
      <c r="C54" s="204">
        <v>12</v>
      </c>
      <c r="D54" s="191">
        <f>B54*C54</f>
        <v>192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17</v>
      </c>
      <c r="C55" s="204">
        <v>12</v>
      </c>
      <c r="D55" s="191">
        <f t="shared" ref="D55:D73" si="4">B55*C55</f>
        <v>204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34</v>
      </c>
      <c r="C56" s="204">
        <v>15</v>
      </c>
      <c r="D56" s="191">
        <f t="shared" si="4"/>
        <v>510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41</v>
      </c>
      <c r="C57" s="204">
        <v>17</v>
      </c>
      <c r="D57" s="191">
        <f t="shared" si="4"/>
        <v>697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41</v>
      </c>
      <c r="C58" s="204">
        <v>17</v>
      </c>
      <c r="D58" s="191">
        <f t="shared" si="4"/>
        <v>697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53</v>
      </c>
      <c r="C59" s="204">
        <v>17</v>
      </c>
      <c r="D59" s="191">
        <f t="shared" si="4"/>
        <v>901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53</v>
      </c>
      <c r="C60" s="204">
        <v>20</v>
      </c>
      <c r="D60" s="191">
        <f t="shared" si="4"/>
        <v>1060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58</v>
      </c>
      <c r="B61" s="193">
        <f>'Données projet'!D69</f>
        <v>78</v>
      </c>
      <c r="C61" s="204">
        <v>25</v>
      </c>
      <c r="D61" s="191">
        <f t="shared" si="4"/>
        <v>1950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66</v>
      </c>
      <c r="B62" s="193">
        <f>'Données projet'!D70</f>
        <v>65</v>
      </c>
      <c r="C62" s="204">
        <v>30</v>
      </c>
      <c r="D62" s="191">
        <f t="shared" si="4"/>
        <v>1950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74</v>
      </c>
      <c r="B63" s="193">
        <f>'Données projet'!D71</f>
        <v>37</v>
      </c>
      <c r="C63" s="204">
        <v>35</v>
      </c>
      <c r="D63" s="191">
        <f t="shared" si="4"/>
        <v>1295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82</v>
      </c>
      <c r="B64" s="193">
        <f>'Données projet'!D72</f>
        <v>555</v>
      </c>
      <c r="C64" s="204">
        <v>45</v>
      </c>
      <c r="D64" s="191">
        <f t="shared" si="4"/>
        <v>24975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Cèdre de l'Atlas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30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str">
        <f>IF(O83+1&lt;=MIN('Données projet'!$E$9:$E$18),O83+1,"STOP")</f>
        <v>STOP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0</v>
      </c>
      <c r="C85" s="293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0</v>
      </c>
      <c r="C86" s="293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40</v>
      </c>
      <c r="B87" s="193">
        <f>'Données projet'!D90</f>
        <v>88</v>
      </c>
      <c r="C87" s="292">
        <v>15</v>
      </c>
      <c r="D87" s="191">
        <f t="shared" si="6"/>
        <v>1320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50</v>
      </c>
      <c r="B88" s="193">
        <f>'Données projet'!D91</f>
        <v>0</v>
      </c>
      <c r="C88" s="293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60</v>
      </c>
      <c r="B89" s="193">
        <f>'Données projet'!D92</f>
        <v>102</v>
      </c>
      <c r="C89" s="292">
        <v>18</v>
      </c>
      <c r="D89" s="191">
        <f t="shared" si="6"/>
        <v>1836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70</v>
      </c>
      <c r="B90" s="193">
        <f>'Données projet'!D93</f>
        <v>113</v>
      </c>
      <c r="C90" s="292">
        <v>20</v>
      </c>
      <c r="D90" s="191">
        <f t="shared" si="6"/>
        <v>2260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80</v>
      </c>
      <c r="B91" s="193">
        <f>'Données projet'!D94</f>
        <v>124</v>
      </c>
      <c r="C91" s="292">
        <v>25</v>
      </c>
      <c r="D91" s="191">
        <f t="shared" si="6"/>
        <v>3100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90</v>
      </c>
      <c r="B92" s="193">
        <f>'Données projet'!D95</f>
        <v>135</v>
      </c>
      <c r="C92" s="292">
        <v>30</v>
      </c>
      <c r="D92" s="191">
        <f t="shared" si="6"/>
        <v>4050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100</v>
      </c>
      <c r="B93" s="193">
        <f>'Données projet'!D96</f>
        <v>723</v>
      </c>
      <c r="C93" s="292">
        <v>50</v>
      </c>
      <c r="D93" s="191">
        <f t="shared" si="6"/>
        <v>36150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10</v>
      </c>
      <c r="B116" s="193">
        <f>'Données projet'!D114</f>
        <v>26</v>
      </c>
      <c r="C116" s="204">
        <v>12</v>
      </c>
      <c r="D116" s="191">
        <f>B116*C116</f>
        <v>312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15</v>
      </c>
      <c r="B117" s="193">
        <f>'Données projet'!D115</f>
        <v>54</v>
      </c>
      <c r="C117" s="204">
        <v>12</v>
      </c>
      <c r="D117" s="191">
        <f t="shared" ref="D117:D135" si="8">B117*C117</f>
        <v>648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20</v>
      </c>
      <c r="B118" s="193">
        <f>'Données projet'!D116</f>
        <v>61</v>
      </c>
      <c r="C118" s="204">
        <v>15</v>
      </c>
      <c r="D118" s="191">
        <f t="shared" si="8"/>
        <v>915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25</v>
      </c>
      <c r="B119" s="193">
        <f>'Données projet'!D117</f>
        <v>57</v>
      </c>
      <c r="C119" s="204">
        <v>17</v>
      </c>
      <c r="D119" s="191">
        <f t="shared" si="8"/>
        <v>969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30</v>
      </c>
      <c r="B120" s="193">
        <f>'Données projet'!D118</f>
        <v>48</v>
      </c>
      <c r="C120" s="204">
        <v>20</v>
      </c>
      <c r="D120" s="191">
        <f t="shared" si="8"/>
        <v>960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35</v>
      </c>
      <c r="B121" s="193">
        <f>'Données projet'!D119</f>
        <v>38</v>
      </c>
      <c r="C121" s="204">
        <v>25</v>
      </c>
      <c r="D121" s="191">
        <f t="shared" si="8"/>
        <v>950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40</v>
      </c>
      <c r="B122" s="193">
        <f>'Données projet'!D120</f>
        <v>28</v>
      </c>
      <c r="C122" s="204">
        <v>30</v>
      </c>
      <c r="D122" s="191">
        <f t="shared" si="8"/>
        <v>840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45</v>
      </c>
      <c r="B123" s="193">
        <f>'Données projet'!D121</f>
        <v>21</v>
      </c>
      <c r="C123" s="204">
        <v>45</v>
      </c>
      <c r="D123" s="191">
        <f t="shared" si="8"/>
        <v>945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50</v>
      </c>
      <c r="B124" s="193">
        <f>'Données projet'!D122</f>
        <v>374</v>
      </c>
      <c r="C124" s="204">
        <v>60</v>
      </c>
      <c r="D124" s="191">
        <f t="shared" si="8"/>
        <v>22440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2024-08-05T09:29:25Z</dcterms:modified>
</cp:coreProperties>
</file>