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Fabien FAUQUET/Roquefère/Dossier LBC/"/>
    </mc:Choice>
  </mc:AlternateContent>
  <xr:revisionPtr revIDLastSave="189" documentId="8_{B4D2AF26-108A-4FCE-A4A0-BFB861C64860}" xr6:coauthVersionLast="47" xr6:coauthVersionMax="47" xr10:uidLastSave="{2545FE58-263A-488F-9558-87FEDAB760B6}"/>
  <bookViews>
    <workbookView xWindow="-110" yWindow="-110" windowWidth="19420" windowHeight="115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REE" sheetId="4" r:id="rId4"/>
    <sheet name="Calculateur" sheetId="2" r:id="rId5"/>
    <sheet name="Paramètres" sheetId="3" state="hidden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6" l="1"/>
  <c r="E141" i="6"/>
  <c r="E110" i="6"/>
  <c r="E79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Q4" i="2"/>
  <c r="FR4" i="2"/>
  <c r="GL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FS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EC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HG113" i="2"/>
  <c r="EC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HI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G130" i="2"/>
  <c r="EX130" i="2"/>
  <c r="HH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EX156" i="2"/>
  <c r="DH156" i="2"/>
  <c r="EB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DI163" i="2"/>
  <c r="FR164" i="2"/>
  <c r="EA164" i="2"/>
  <c r="HH164" i="2"/>
  <c r="EV164" i="2"/>
  <c r="HG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HI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FS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I185" i="2" l="1"/>
  <c r="EW185" i="2"/>
  <c r="EB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EB199" i="2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H201" i="2"/>
  <c r="EB201" i="2"/>
  <c r="FS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FZ6" i="2" l="1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35" i="2" a="1"/>
  <c r="FY35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EY202" i="2"/>
  <c r="AX200" i="2"/>
  <c r="BC18" i="2" l="1" a="1"/>
  <c r="BC18" i="2" s="1"/>
  <c r="BC68" i="2" a="1"/>
  <c r="BC68" i="2" s="1"/>
  <c r="BC34" i="2" a="1"/>
  <c r="BC34" i="2" s="1"/>
  <c r="BC58" i="2" a="1"/>
  <c r="BC58" i="2" s="1"/>
  <c r="BC55" i="2" a="1"/>
  <c r="BC55" i="2" s="1"/>
  <c r="BC130" i="2" a="1"/>
  <c r="BC130" i="2" s="1"/>
  <c r="BC192" i="2" a="1"/>
  <c r="BC192" i="2" s="1"/>
  <c r="BC38" i="2" a="1"/>
  <c r="BC38" i="2" s="1"/>
  <c r="BC151" i="2" a="1"/>
  <c r="BC151" i="2" s="1"/>
  <c r="BC7" i="2" a="1"/>
  <c r="BC7" i="2" s="1"/>
  <c r="BD7" i="2" s="1"/>
  <c r="BC83" i="2" a="1"/>
  <c r="BC83" i="2" s="1"/>
  <c r="BC185" i="2" a="1"/>
  <c r="BC185" i="2" s="1"/>
  <c r="BC31" i="2" a="1"/>
  <c r="BC31" i="2" s="1"/>
  <c r="BC143" i="2" a="1"/>
  <c r="BC143" i="2" s="1"/>
  <c r="BC84" i="2" a="1"/>
  <c r="BC84" i="2" s="1"/>
  <c r="BC32" i="2" a="1"/>
  <c r="BC32" i="2" s="1"/>
  <c r="BC164" i="2" a="1"/>
  <c r="BC164" i="2" s="1"/>
  <c r="AH90" i="2" a="1"/>
  <c r="AH90" i="2" s="1"/>
  <c r="AH151" i="2" a="1"/>
  <c r="AH151" i="2" s="1"/>
  <c r="CS38" i="2" a="1"/>
  <c r="CS38" i="2" s="1"/>
  <c r="BC117" i="2" a="1"/>
  <c r="BC117" i="2" s="1"/>
  <c r="BC65" i="2" a="1"/>
  <c r="BC65" i="2" s="1"/>
  <c r="CS24" i="2" a="1"/>
  <c r="CS24" i="2" s="1"/>
  <c r="CS77" i="2" a="1"/>
  <c r="CS77" i="2" s="1"/>
  <c r="BC114" i="2" a="1"/>
  <c r="BC114" i="2" s="1"/>
  <c r="BC126" i="2" a="1"/>
  <c r="BC126" i="2" s="1"/>
  <c r="BC181" i="2" a="1"/>
  <c r="BC181" i="2" s="1"/>
  <c r="BC82" i="2" a="1"/>
  <c r="BC82" i="2" s="1"/>
  <c r="BC47" i="2" a="1"/>
  <c r="BC47" i="2" s="1"/>
  <c r="AH19" i="2" a="1"/>
  <c r="AH19" i="2" s="1"/>
  <c r="BP203" i="2"/>
  <c r="DN167" i="2" a="1"/>
  <c r="DN167" i="2" s="1"/>
  <c r="DN188" i="2" a="1"/>
  <c r="DN188" i="2" s="1"/>
  <c r="DN16" i="2" a="1"/>
  <c r="DN16" i="2" s="1"/>
  <c r="DN86" i="2" a="1"/>
  <c r="DN86" i="2" s="1"/>
  <c r="FY34" i="2" a="1"/>
  <c r="FY34" i="2" s="1"/>
  <c r="FY109" i="2" a="1"/>
  <c r="FY109" i="2" s="1"/>
  <c r="DN177" i="2" a="1"/>
  <c r="DN177" i="2" s="1"/>
  <c r="FY140" i="2" a="1"/>
  <c r="FY140" i="2" s="1"/>
  <c r="DN49" i="2" a="1"/>
  <c r="DN49" i="2" s="1"/>
  <c r="DN115" i="2" a="1"/>
  <c r="DN115" i="2" s="1"/>
  <c r="FY29" i="2" a="1"/>
  <c r="FY29" i="2" s="1"/>
  <c r="FY24" i="2" a="1"/>
  <c r="FY24" i="2" s="1"/>
  <c r="FY167" i="2" a="1"/>
  <c r="FY167" i="2" s="1"/>
  <c r="CS129" i="2" a="1"/>
  <c r="CS129" i="2" s="1"/>
  <c r="FY110" i="2" a="1"/>
  <c r="FY110" i="2" s="1"/>
  <c r="DN133" i="2" a="1"/>
  <c r="DN133" i="2" s="1"/>
  <c r="DN38" i="2" a="1"/>
  <c r="DN38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41" i="2" a="1"/>
  <c r="DN41" i="2" s="1"/>
  <c r="FY133" i="2" a="1"/>
  <c r="FY133" i="2" s="1"/>
  <c r="DN46" i="2" a="1"/>
  <c r="DN46" i="2" s="1"/>
  <c r="FY188" i="2" a="1"/>
  <c r="FY188" i="2" s="1"/>
  <c r="DN186" i="2" a="1"/>
  <c r="DN186" i="2" s="1"/>
  <c r="FY149" i="2" a="1"/>
  <c r="FY149" i="2" s="1"/>
  <c r="FY143" i="2" a="1"/>
  <c r="FY143" i="2" s="1"/>
  <c r="FY191" i="2" a="1"/>
  <c r="FY191" i="2" s="1"/>
  <c r="DN135" i="2" a="1"/>
  <c r="DN135" i="2" s="1"/>
  <c r="DN170" i="2" a="1"/>
  <c r="DN170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29" i="2" a="1"/>
  <c r="DN29" i="2" s="1"/>
  <c r="FY115" i="2" a="1"/>
  <c r="FY115" i="2" s="1"/>
  <c r="FY126" i="2" a="1"/>
  <c r="FY126" i="2" s="1"/>
  <c r="DN114" i="2" a="1"/>
  <c r="DN114" i="2" s="1"/>
  <c r="FY159" i="2" a="1"/>
  <c r="FY159" i="2" s="1"/>
  <c r="DN103" i="2" a="1"/>
  <c r="DN103" i="2" s="1"/>
  <c r="FY47" i="2" a="1"/>
  <c r="FY47" i="2" s="1"/>
  <c r="DN164" i="2" a="1"/>
  <c r="DN164" i="2" s="1"/>
  <c r="DN137" i="2" a="1"/>
  <c r="DN137" i="2" s="1"/>
  <c r="FY78" i="2" a="1"/>
  <c r="FY78" i="2" s="1"/>
  <c r="DN190" i="2" a="1"/>
  <c r="DN190" i="2" s="1"/>
  <c r="FY165" i="2" a="1"/>
  <c r="FY165" i="2" s="1"/>
  <c r="DN70" i="2" a="1"/>
  <c r="DN70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187" i="2" a="1"/>
  <c r="DN187" i="2" s="1"/>
  <c r="CS137" i="2" a="1"/>
  <c r="CS137" i="2" s="1"/>
  <c r="FY124" i="2" a="1"/>
  <c r="FY124" i="2" s="1"/>
  <c r="CS72" i="2" a="1"/>
  <c r="CS72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30" i="2" a="1"/>
  <c r="DN30" i="2" s="1"/>
  <c r="FY173" i="2" a="1"/>
  <c r="FY173" i="2" s="1"/>
  <c r="DN162" i="2" a="1"/>
  <c r="DN162" i="2" s="1"/>
  <c r="FY86" i="2" a="1"/>
  <c r="FY86" i="2" s="1"/>
  <c r="DN43" i="2" a="1"/>
  <c r="DN43" i="2" s="1"/>
  <c r="FY164" i="2" a="1"/>
  <c r="FY164" i="2" s="1"/>
  <c r="FY79" i="2" a="1"/>
  <c r="FY79" i="2" s="1"/>
  <c r="FY58" i="2" a="1"/>
  <c r="FY58" i="2" s="1"/>
  <c r="FY28" i="2" a="1"/>
  <c r="FY28" i="2" s="1"/>
  <c r="DN176" i="2" a="1"/>
  <c r="DN176" i="2" s="1"/>
  <c r="FY121" i="2" a="1"/>
  <c r="FY121" i="2" s="1"/>
  <c r="DN153" i="2" a="1"/>
  <c r="DN153" i="2" s="1"/>
  <c r="CS105" i="2" a="1"/>
  <c r="CS105" i="2" s="1"/>
  <c r="FY174" i="2" a="1"/>
  <c r="FY174" i="2" s="1"/>
  <c r="CS56" i="2" a="1"/>
  <c r="CS56" i="2" s="1"/>
  <c r="DN45" i="2" a="1"/>
  <c r="DN45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AN172" i="2" l="1"/>
  <c r="AN168" i="2"/>
  <c r="AN143" i="2"/>
  <c r="AN121" i="2"/>
  <c r="AN132" i="2"/>
  <c r="AN198" i="2"/>
  <c r="AN72" i="2"/>
  <c r="AN150" i="2"/>
  <c r="AN100" i="2"/>
  <c r="AN15" i="2"/>
  <c r="AN14" i="2"/>
  <c r="AN101" i="2"/>
  <c r="AN190" i="2"/>
  <c r="AN152" i="2"/>
  <c r="AN77" i="2"/>
  <c r="AN171" i="2"/>
  <c r="AN112" i="2"/>
  <c r="AN40" i="2"/>
  <c r="AN115" i="2"/>
  <c r="AN188" i="2"/>
  <c r="AN11" i="2"/>
  <c r="AN18" i="2"/>
  <c r="AN97" i="2"/>
  <c r="AN49" i="2"/>
  <c r="AN114" i="2"/>
  <c r="AN140" i="2"/>
  <c r="AN32" i="2"/>
  <c r="AN69" i="2"/>
  <c r="AN196" i="2"/>
  <c r="AN54" i="2"/>
  <c r="AN94" i="2"/>
  <c r="AN43" i="2"/>
  <c r="AN173" i="2"/>
  <c r="AN147" i="2"/>
  <c r="AN175" i="2"/>
  <c r="AN179" i="2"/>
  <c r="AN81" i="2"/>
  <c r="AN133" i="2"/>
  <c r="AN123" i="2"/>
  <c r="AN13" i="2"/>
  <c r="AN118" i="2"/>
  <c r="AN60" i="2"/>
  <c r="AN170" i="2"/>
  <c r="AN51" i="2"/>
  <c r="AN98" i="2"/>
  <c r="AN177" i="2"/>
  <c r="AN126" i="2"/>
  <c r="AN134" i="2"/>
  <c r="AN4" i="2"/>
  <c r="AN202" i="2"/>
  <c r="AN7" i="2"/>
  <c r="AN176" i="2"/>
  <c r="AN163" i="2"/>
  <c r="AN57" i="2"/>
  <c r="AN92" i="2"/>
  <c r="AN71" i="2"/>
  <c r="AN10" i="2"/>
  <c r="AN26" i="2"/>
  <c r="AN88" i="2"/>
  <c r="AN53" i="2"/>
  <c r="AN128" i="2"/>
  <c r="AN37" i="2"/>
  <c r="AN194" i="2"/>
  <c r="AN187" i="2"/>
  <c r="AN153" i="2"/>
  <c r="AN96" i="2"/>
  <c r="AN197" i="2"/>
  <c r="AN189" i="2"/>
  <c r="AN200" i="2"/>
  <c r="AN68" i="2"/>
  <c r="AN110" i="2"/>
  <c r="AN44" i="2"/>
  <c r="AN116" i="2"/>
  <c r="AN130" i="2"/>
  <c r="AN192" i="2"/>
  <c r="AN86" i="2"/>
  <c r="AN154" i="2"/>
  <c r="AN107" i="2"/>
  <c r="AN178" i="2"/>
  <c r="AN41" i="2"/>
  <c r="AN5" i="2"/>
  <c r="AN55" i="2"/>
  <c r="AN63" i="2"/>
  <c r="AN111" i="2"/>
  <c r="AN52" i="2"/>
  <c r="AN33" i="2"/>
  <c r="AN142" i="2"/>
  <c r="AN3" i="2"/>
  <c r="C7" i="4" s="1"/>
  <c r="E7" i="4" s="1"/>
  <c r="F7" i="4" s="1"/>
  <c r="G7" i="4" s="1"/>
  <c r="L7" i="4" s="1"/>
  <c r="AN20" i="2"/>
  <c r="AN125" i="2"/>
  <c r="AN58" i="2"/>
  <c r="AN156" i="2"/>
  <c r="AN144" i="2"/>
  <c r="AN85" i="2"/>
  <c r="AN195" i="2"/>
  <c r="AN12" i="2"/>
  <c r="AN157" i="2"/>
  <c r="AN151" i="2"/>
  <c r="AN117" i="2"/>
  <c r="AN90" i="2"/>
  <c r="AN73" i="2"/>
  <c r="AN64" i="2"/>
  <c r="AN199" i="2"/>
  <c r="AN182" i="2"/>
  <c r="AN146" i="2"/>
  <c r="AN65" i="2"/>
  <c r="AN108" i="2"/>
  <c r="AN106" i="2"/>
  <c r="AN131" i="2"/>
  <c r="AN184" i="2"/>
  <c r="AN129" i="2"/>
  <c r="AN167" i="2"/>
  <c r="AN47" i="2"/>
  <c r="AN166" i="2"/>
  <c r="AN31" i="2"/>
  <c r="AN9" i="2"/>
  <c r="AN186" i="2"/>
  <c r="AN148" i="2"/>
  <c r="AN181" i="2"/>
  <c r="AN29" i="2"/>
  <c r="AN76" i="2"/>
  <c r="AN160" i="2"/>
  <c r="AN95" i="2"/>
  <c r="AN67" i="2"/>
  <c r="AN103" i="2"/>
  <c r="AN136" i="2"/>
  <c r="AN6" i="2"/>
  <c r="AN39" i="2"/>
  <c r="AN169" i="2"/>
  <c r="AN159" i="2"/>
  <c r="AN124" i="2"/>
  <c r="AN56" i="2"/>
  <c r="AN138" i="2"/>
  <c r="AN119" i="2"/>
  <c r="AN70" i="2"/>
  <c r="AN50" i="2"/>
  <c r="AN122" i="2"/>
  <c r="AN83" i="2"/>
  <c r="AN174" i="2"/>
  <c r="AN120" i="2"/>
  <c r="AN141" i="2"/>
  <c r="AN8" i="2"/>
  <c r="AN38" i="2"/>
  <c r="AN16" i="2"/>
  <c r="AN75" i="2"/>
  <c r="AN74" i="2"/>
  <c r="AN127" i="2"/>
  <c r="AN27" i="2"/>
  <c r="AN62" i="2"/>
  <c r="AN82" i="2"/>
  <c r="AN193" i="2"/>
  <c r="AN165" i="2"/>
  <c r="AN113" i="2"/>
  <c r="AN149" i="2"/>
  <c r="AN17" i="2"/>
  <c r="AN46" i="2"/>
  <c r="AN203" i="2"/>
  <c r="AN21" i="2"/>
  <c r="AN84" i="2"/>
  <c r="AN59" i="2"/>
  <c r="AN34" i="2"/>
  <c r="AN35" i="2"/>
  <c r="AN191" i="2"/>
  <c r="AN145" i="2"/>
  <c r="AN89" i="2"/>
  <c r="AN25" i="2"/>
  <c r="AN79" i="2"/>
  <c r="AN87" i="2"/>
  <c r="AN91" i="2"/>
  <c r="AN201" i="2"/>
  <c r="AN48" i="2"/>
  <c r="AN104" i="2"/>
  <c r="AN155" i="2"/>
  <c r="AN66" i="2"/>
  <c r="AN42" i="2"/>
  <c r="AN61" i="2"/>
  <c r="AN24" i="2"/>
  <c r="AN23" i="2"/>
  <c r="AN109" i="2"/>
  <c r="AN162" i="2"/>
  <c r="AN78" i="2"/>
  <c r="AN161" i="2"/>
  <c r="AN80" i="2"/>
  <c r="AN93" i="2"/>
  <c r="AN99" i="2"/>
  <c r="AN102" i="2"/>
  <c r="AN28" i="2"/>
  <c r="AN45" i="2"/>
  <c r="AN19" i="2"/>
  <c r="AN164" i="2"/>
  <c r="AN105" i="2"/>
  <c r="AN185" i="2"/>
  <c r="AN137" i="2"/>
  <c r="AN135" i="2"/>
  <c r="AN180" i="2"/>
  <c r="AN30" i="2"/>
  <c r="AN158" i="2"/>
  <c r="AN183" i="2"/>
  <c r="AN139" i="2"/>
  <c r="AN22" i="2"/>
  <c r="AN36" i="2"/>
  <c r="FE168" i="2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<sst xmlns="http://schemas.openxmlformats.org/spreadsheetml/2006/main" count="1176" uniqueCount="325">
  <si>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</si>
  <si>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</si>
  <si>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</si>
  <si>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</si>
  <si>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</si>
  <si>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</si>
  <si>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</si>
  <si>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</si>
  <si>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</si>
  <si>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</si>
  <si>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</si>
  <si>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</si>
  <si>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</si>
  <si>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</si>
  <si>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</si>
  <si>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</si>
  <si>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Cèdre de l'Atlas</t>
  </si>
  <si>
    <t>NB : La durée de révolution doit être identique à la dernière année indiquée dans la table de production renseignée en dessous</t>
  </si>
  <si>
    <t>Essence 2</t>
  </si>
  <si>
    <t>Douglas</t>
  </si>
  <si>
    <t>Essence 3</t>
  </si>
  <si>
    <t>Pin maritime</t>
  </si>
  <si>
    <t>Essence 4</t>
  </si>
  <si>
    <t>Pin taeda</t>
  </si>
  <si>
    <t>Essence 5</t>
  </si>
  <si>
    <t>Pin laricio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</si>
  <si>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</si>
  <si>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</si>
  <si>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</si>
  <si>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</si>
  <si>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</si>
  <si>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</si>
  <si>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</si>
  <si>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</si>
  <si>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</si>
  <si>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</si>
  <si>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</si>
  <si>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</si>
  <si>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</si>
  <si>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</si>
  <si>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</si>
  <si>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</si>
  <si>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</si>
  <si>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</si>
  <si>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</si>
  <si>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</si>
  <si>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</si>
  <si>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</si>
  <si>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</si>
  <si>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</si>
  <si>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</si>
  <si>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</si>
  <si>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</si>
  <si>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</si>
  <si>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</si>
  <si>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</si>
  <si>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</si>
  <si>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</si>
  <si>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</si>
  <si>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</si>
  <si>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</si>
  <si>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</si>
  <si>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</si>
  <si>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</si>
  <si>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</si>
  <si>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</si>
  <si>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</si>
  <si>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</si>
  <si>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</si>
  <si>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</si>
  <si>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</si>
  <si>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</si>
  <si>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</si>
  <si>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commun</t>
  </si>
  <si>
    <t>Culture agricole</t>
  </si>
  <si>
    <t>Prairie</t>
  </si>
  <si>
    <t>Verger ou vigne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</si>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</sst>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283.45438999358527</c:v>
                </c:pt>
                <c:pt idx="66">
                  <c:v>293.80226750956672</c:v>
                </c:pt>
                <c:pt idx="67">
                  <c:v>304.14201262042326</c:v>
                </c:pt>
                <c:pt idx="68">
                  <c:v>314.47394093474514</c:v>
                </c:pt>
                <c:pt idx="69">
                  <c:v>324.79834561750624</c:v>
                </c:pt>
                <c:pt idx="70">
                  <c:v>335.11549966417408</c:v>
                </c:pt>
                <c:pt idx="71">
                  <c:v>345.42565787999462</c:v>
                </c:pt>
                <c:pt idx="72">
                  <c:v>355.72905861051368</c:v>
                </c:pt>
                <c:pt idx="73">
                  <c:v>366.02592526105212</c:v>
                </c:pt>
                <c:pt idx="74">
                  <c:v>281.90576500782794</c:v>
                </c:pt>
                <c:pt idx="75">
                  <c:v>291.46151941530667</c:v>
                </c:pt>
                <c:pt idx="76">
                  <c:v>301.0102774284689</c:v>
                </c:pt>
                <c:pt idx="77">
                  <c:v>310.55229243957859</c:v>
                </c:pt>
                <c:pt idx="78">
                  <c:v>320.08780098731637</c:v>
                </c:pt>
                <c:pt idx="79">
                  <c:v>329.6170243573369</c:v>
                </c:pt>
                <c:pt idx="80">
                  <c:v>339.14016998796109</c:v>
                </c:pt>
                <c:pt idx="81">
                  <c:v>348.65743270964526</c:v>
                </c:pt>
                <c:pt idx="82">
                  <c:v>358.16899584197989</c:v>
                </c:pt>
                <c:pt idx="83">
                  <c:v>367.67503216802317</c:v>
                </c:pt>
                <c:pt idx="84">
                  <c:v>377.17570480256546</c:v>
                </c:pt>
                <c:pt idx="85">
                  <c:v>386.67116796831215</c:v>
                </c:pt>
                <c:pt idx="86">
                  <c:v>310.25502677283174</c:v>
                </c:pt>
                <c:pt idx="87">
                  <c:v>318.98740593712301</c:v>
                </c:pt>
                <c:pt idx="88">
                  <c:v>327.71449394580162</c:v>
                </c:pt>
                <c:pt idx="89">
                  <c:v>336.4364516795992</c:v>
                </c:pt>
                <c:pt idx="90">
                  <c:v>345.15343099079388</c:v>
                </c:pt>
                <c:pt idx="91">
                  <c:v>353.86557543008075</c:v>
                </c:pt>
                <c:pt idx="92">
                  <c:v>362.57302089808604</c:v>
                </c:pt>
                <c:pt idx="93">
                  <c:v>371.27589623099493</c:v>
                </c:pt>
                <c:pt idx="94">
                  <c:v>379.97432372837642</c:v>
                </c:pt>
                <c:pt idx="95">
                  <c:v>388.66841963013439</c:v>
                </c:pt>
                <c:pt idx="96">
                  <c:v>397.35829454853587</c:v>
                </c:pt>
                <c:pt idx="97">
                  <c:v>406.04405386046182</c:v>
                </c:pt>
                <c:pt idx="98">
                  <c:v>334.41940603910456</c:v>
                </c:pt>
                <c:pt idx="99">
                  <c:v>342.29956794326159</c:v>
                </c:pt>
                <c:pt idx="100">
                  <c:v>350.17574235487018</c:v>
                </c:pt>
                <c:pt idx="101">
                  <c:v>358.04803168316045</c:v>
                </c:pt>
                <c:pt idx="102">
                  <c:v>365.91653346305492</c:v>
                </c:pt>
                <c:pt idx="103">
                  <c:v>373.78134068929762</c:v>
                </c:pt>
                <c:pt idx="104">
                  <c:v>381.64254212098064</c:v>
                </c:pt>
                <c:pt idx="105">
                  <c:v>389.50022255965672</c:v>
                </c:pt>
                <c:pt idx="106">
                  <c:v>397.35446310382684</c:v>
                </c:pt>
                <c:pt idx="107">
                  <c:v>405.20534138224889</c:v>
                </c:pt>
                <c:pt idx="108">
                  <c:v>413.05293176821243</c:v>
                </c:pt>
                <c:pt idx="109">
                  <c:v>420.89730557667417</c:v>
                </c:pt>
                <c:pt idx="110">
                  <c:v>347.55719193287587</c:v>
                </c:pt>
                <c:pt idx="111">
                  <c:v>354.63762505887615</c:v>
                </c:pt>
                <c:pt idx="112">
                  <c:v>361.71496177810815</c:v>
                </c:pt>
                <c:pt idx="113">
                  <c:v>368.78927127529045</c:v>
                </c:pt>
                <c:pt idx="114">
                  <c:v>375.86061986197745</c:v>
                </c:pt>
                <c:pt idx="115">
                  <c:v>382.92907114888618</c:v>
                </c:pt>
                <c:pt idx="116">
                  <c:v>389.99468620482725</c:v>
                </c:pt>
                <c:pt idx="117">
                  <c:v>397.05752370351092</c:v>
                </c:pt>
                <c:pt idx="118">
                  <c:v>404.11764005935697</c:v>
                </c:pt>
                <c:pt idx="119">
                  <c:v>411.17508955331436</c:v>
                </c:pt>
                <c:pt idx="120">
                  <c:v>418.2299244495868</c:v>
                </c:pt>
                <c:pt idx="121">
                  <c:v>425.28219510406871</c:v>
                </c:pt>
                <c:pt idx="122">
                  <c:v>222.90571332852667</c:v>
                </c:pt>
                <c:pt idx="123">
                  <c:v>227.8575926467731</c:v>
                </c:pt>
                <c:pt idx="124">
                  <c:v>232.80700909260065</c:v>
                </c:pt>
                <c:pt idx="125">
                  <c:v>237.75402251395406</c:v>
                </c:pt>
                <c:pt idx="126">
                  <c:v>242.69869006033142</c:v>
                </c:pt>
                <c:pt idx="127">
                  <c:v>247.64106635821645</c:v>
                </c:pt>
                <c:pt idx="128">
                  <c:v>252.58120367175192</c:v>
                </c:pt>
                <c:pt idx="129">
                  <c:v>257.51915205016786</c:v>
                </c:pt>
                <c:pt idx="130">
                  <c:v>262.4549594632943</c:v>
                </c:pt>
                <c:pt idx="131">
                  <c:v>267.3886719263333</c:v>
                </c:pt>
                <c:pt idx="132">
                  <c:v>1.2386324814023317E-11</c:v>
                </c:pt>
                <c:pt idx="133">
                  <c:v>1.2386324814023317E-11</c:v>
                </c:pt>
                <c:pt idx="134">
                  <c:v>1.2386324814023317E-11</c:v>
                </c:pt>
                <c:pt idx="135">
                  <c:v>1.2386324814023317E-11</c:v>
                </c:pt>
                <c:pt idx="136">
                  <c:v>1.2386324814023317E-11</c:v>
                </c:pt>
                <c:pt idx="137">
                  <c:v>1.2386324814023317E-11</c:v>
                </c:pt>
                <c:pt idx="138">
                  <c:v>1.2386324814023317E-11</c:v>
                </c:pt>
                <c:pt idx="139">
                  <c:v>1.2386324814023317E-11</c:v>
                </c:pt>
                <c:pt idx="140">
                  <c:v>1.2386324814023317E-11</c:v>
                </c:pt>
                <c:pt idx="141">
                  <c:v>1.2386324814023317E-11</c:v>
                </c:pt>
                <c:pt idx="142">
                  <c:v>1.2386324814023317E-11</c:v>
                </c:pt>
                <c:pt idx="143">
                  <c:v>1.2386324814023317E-11</c:v>
                </c:pt>
                <c:pt idx="144">
                  <c:v>1.2386324814023317E-11</c:v>
                </c:pt>
                <c:pt idx="145">
                  <c:v>1.2386324814023317E-11</c:v>
                </c:pt>
                <c:pt idx="146">
                  <c:v>1.2386324814023317E-11</c:v>
                </c:pt>
                <c:pt idx="147">
                  <c:v>1.2386324814023317E-11</c:v>
                </c:pt>
                <c:pt idx="148">
                  <c:v>1.2386324814023317E-11</c:v>
                </c:pt>
                <c:pt idx="149">
                  <c:v>1.2386324814023317E-11</c:v>
                </c:pt>
                <c:pt idx="150">
                  <c:v>1.2386324814023317E-11</c:v>
                </c:pt>
                <c:pt idx="151">
                  <c:v>1.2386324814023317E-11</c:v>
                </c:pt>
                <c:pt idx="152">
                  <c:v>1.2386324814023317E-11</c:v>
                </c:pt>
                <c:pt idx="153">
                  <c:v>1.2386324814023317E-11</c:v>
                </c:pt>
                <c:pt idx="154">
                  <c:v>1.2386324814023317E-11</c:v>
                </c:pt>
                <c:pt idx="155">
                  <c:v>1.2386324814023317E-11</c:v>
                </c:pt>
                <c:pt idx="156">
                  <c:v>1.2386324814023317E-11</c:v>
                </c:pt>
                <c:pt idx="157">
                  <c:v>1.2386324814023317E-11</c:v>
                </c:pt>
                <c:pt idx="158">
                  <c:v>1.2386324814023317E-11</c:v>
                </c:pt>
                <c:pt idx="159">
                  <c:v>1.2386324814023317E-11</c:v>
                </c:pt>
                <c:pt idx="160">
                  <c:v>1.2386324814023317E-11</c:v>
                </c:pt>
                <c:pt idx="161">
                  <c:v>1.2386324814023317E-11</c:v>
                </c:pt>
                <c:pt idx="162">
                  <c:v>1.2386324814023317E-11</c:v>
                </c:pt>
                <c:pt idx="163">
                  <c:v>1.2386324814023317E-11</c:v>
                </c:pt>
                <c:pt idx="164">
                  <c:v>1.2386324814023317E-11</c:v>
                </c:pt>
                <c:pt idx="165">
                  <c:v>1.2386324814023317E-11</c:v>
                </c:pt>
                <c:pt idx="166">
                  <c:v>1.2386324814023317E-11</c:v>
                </c:pt>
                <c:pt idx="167">
                  <c:v>1.2386324814023317E-11</c:v>
                </c:pt>
                <c:pt idx="168">
                  <c:v>1.2386324814023317E-11</c:v>
                </c:pt>
                <c:pt idx="169">
                  <c:v>1.2386324814023317E-11</c:v>
                </c:pt>
                <c:pt idx="170">
                  <c:v>1.2386324814023317E-11</c:v>
                </c:pt>
                <c:pt idx="171">
                  <c:v>1.2386324814023317E-11</c:v>
                </c:pt>
                <c:pt idx="172">
                  <c:v>1.2386324814023317E-11</c:v>
                </c:pt>
                <c:pt idx="173">
                  <c:v>1.2386324814023317E-11</c:v>
                </c:pt>
                <c:pt idx="174">
                  <c:v>1.2386324814023317E-11</c:v>
                </c:pt>
                <c:pt idx="175">
                  <c:v>1.2386324814023317E-11</c:v>
                </c:pt>
                <c:pt idx="176">
                  <c:v>1.2386324814023317E-11</c:v>
                </c:pt>
                <c:pt idx="177">
                  <c:v>1.2386324814023317E-11</c:v>
                </c:pt>
                <c:pt idx="178">
                  <c:v>1.2386324814023317E-11</c:v>
                </c:pt>
                <c:pt idx="179">
                  <c:v>1.2386324814023317E-11</c:v>
                </c:pt>
                <c:pt idx="180">
                  <c:v>1.2386324814023317E-11</c:v>
                </c:pt>
                <c:pt idx="181">
                  <c:v>1.2386324814023317E-11</c:v>
                </c:pt>
                <c:pt idx="182">
                  <c:v>1.2386324814023317E-11</c:v>
                </c:pt>
                <c:pt idx="183">
                  <c:v>1.2386324814023317E-11</c:v>
                </c:pt>
                <c:pt idx="184">
                  <c:v>1.2386324814023317E-11</c:v>
                </c:pt>
                <c:pt idx="185">
                  <c:v>1.2386324814023317E-11</c:v>
                </c:pt>
                <c:pt idx="186">
                  <c:v>1.2386324814023317E-11</c:v>
                </c:pt>
                <c:pt idx="187">
                  <c:v>1.2386324814023317E-11</c:v>
                </c:pt>
                <c:pt idx="188">
                  <c:v>1.2386324814023317E-11</c:v>
                </c:pt>
                <c:pt idx="189">
                  <c:v>1.2386324814023317E-11</c:v>
                </c:pt>
                <c:pt idx="190">
                  <c:v>1.2386324814023317E-11</c:v>
                </c:pt>
                <c:pt idx="191">
                  <c:v>1.2386324814023317E-11</c:v>
                </c:pt>
                <c:pt idx="192">
                  <c:v>1.2386324814023317E-11</c:v>
                </c:pt>
                <c:pt idx="193">
                  <c:v>1.2386324814023317E-11</c:v>
                </c:pt>
                <c:pt idx="194">
                  <c:v>1.2386324814023317E-11</c:v>
                </c:pt>
                <c:pt idx="195">
                  <c:v>1.2386324814023317E-11</c:v>
                </c:pt>
                <c:pt idx="196">
                  <c:v>1.2386324814023317E-11</c:v>
                </c:pt>
                <c:pt idx="197">
                  <c:v>1.2386324814023317E-11</c:v>
                </c:pt>
                <c:pt idx="198">
                  <c:v>1.2386324814023317E-11</c:v>
                </c:pt>
                <c:pt idx="199">
                  <c:v>1.2386324814023317E-11</c:v>
                </c:pt>
                <c:pt idx="200">
                  <c:v>1.2386324814023317E-11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1.8440967493960854</c:v>
                </c:pt>
                <c:pt idx="2">
                  <c:v>2.3397767225383261</c:v>
                </c:pt>
                <c:pt idx="3">
                  <c:v>2.9692251378239298</c:v>
                </c:pt>
                <c:pt idx="4">
                  <c:v>3.7686778222565338</c:v>
                </c:pt>
                <c:pt idx="5">
                  <c:v>4.7842208479495723</c:v>
                </c:pt>
                <c:pt idx="6">
                  <c:v>6.0744769252219095</c:v>
                </c:pt>
                <c:pt idx="7">
                  <c:v>7.7140266387541381</c:v>
                </c:pt>
                <c:pt idx="8">
                  <c:v>9.7977660906100486</c:v>
                </c:pt>
                <c:pt idx="9">
                  <c:v>12.446457940375948</c:v>
                </c:pt>
                <c:pt idx="10">
                  <c:v>15.813803535000055</c:v>
                </c:pt>
                <c:pt idx="11">
                  <c:v>20.095454017876332</c:v>
                </c:pt>
                <c:pt idx="12">
                  <c:v>25.540493384302135</c:v>
                </c:pt>
                <c:pt idx="13">
                  <c:v>32.466073285357531</c:v>
                </c:pt>
                <c:pt idx="14">
                  <c:v>41.27606675520061</c:v>
                </c:pt>
                <c:pt idx="15">
                  <c:v>52.484847160414972</c:v>
                </c:pt>
                <c:pt idx="16">
                  <c:v>66.747603863638901</c:v>
                </c:pt>
                <c:pt idx="17">
                  <c:v>84.898995645097301</c:v>
                </c:pt>
                <c:pt idx="18">
                  <c:v>108.00244019278658</c:v>
                </c:pt>
                <c:pt idx="19">
                  <c:v>137.41297279060404</c:v>
                </c:pt>
                <c:pt idx="20">
                  <c:v>174.8574178159995</c:v>
                </c:pt>
                <c:pt idx="21">
                  <c:v>222.53665149290282</c:v>
                </c:pt>
                <c:pt idx="22">
                  <c:v>168.75667061619112</c:v>
                </c:pt>
                <c:pt idx="23">
                  <c:v>188.97408626306841</c:v>
                </c:pt>
                <c:pt idx="24">
                  <c:v>209.14106954499564</c:v>
                </c:pt>
                <c:pt idx="25">
                  <c:v>229.26316865848699</c:v>
                </c:pt>
                <c:pt idx="26">
                  <c:v>249.34487716008638</c:v>
                </c:pt>
                <c:pt idx="27">
                  <c:v>269.38990512338603</c:v>
                </c:pt>
                <c:pt idx="28">
                  <c:v>289.40136514946477</c:v>
                </c:pt>
                <c:pt idx="29">
                  <c:v>242.80327727155984</c:v>
                </c:pt>
                <c:pt idx="30">
                  <c:v>264.55540625451221</c:v>
                </c:pt>
                <c:pt idx="31">
                  <c:v>286.26720910538745</c:v>
                </c:pt>
                <c:pt idx="32">
                  <c:v>307.94217324243942</c:v>
                </c:pt>
                <c:pt idx="33">
                  <c:v>329.58325501696078</c:v>
                </c:pt>
                <c:pt idx="34">
                  <c:v>351.19299088161262</c:v>
                </c:pt>
                <c:pt idx="35">
                  <c:v>372.77357973751413</c:v>
                </c:pt>
                <c:pt idx="36">
                  <c:v>310.37056460408849</c:v>
                </c:pt>
                <c:pt idx="37">
                  <c:v>332.16291002206191</c:v>
                </c:pt>
                <c:pt idx="38">
                  <c:v>353.92374108444454</c:v>
                </c:pt>
                <c:pt idx="39">
                  <c:v>375.65526675426514</c:v>
                </c:pt>
                <c:pt idx="40">
                  <c:v>397.35941965777789</c:v>
                </c:pt>
                <c:pt idx="41">
                  <c:v>419.03790417016086</c:v>
                </c:pt>
                <c:pt idx="42">
                  <c:v>440.69223402870369</c:v>
                </c:pt>
                <c:pt idx="43">
                  <c:v>365.57194315744817</c:v>
                </c:pt>
                <c:pt idx="44">
                  <c:v>386.44222710623802</c:v>
                </c:pt>
                <c:pt idx="45">
                  <c:v>407.28803877314027</c:v>
                </c:pt>
                <c:pt idx="46">
                  <c:v>428.11080607598296</c:v>
                </c:pt>
                <c:pt idx="47">
                  <c:v>448.91180677300622</c:v>
                </c:pt>
                <c:pt idx="48">
                  <c:v>469.69219062189342</c:v>
                </c:pt>
                <c:pt idx="49">
                  <c:v>490.45299741346918</c:v>
                </c:pt>
                <c:pt idx="50">
                  <c:v>402.35177810768869</c:v>
                </c:pt>
                <c:pt idx="51">
                  <c:v>421.64657744029768</c:v>
                </c:pt>
                <c:pt idx="52">
                  <c:v>440.92237189764592</c:v>
                </c:pt>
                <c:pt idx="53">
                  <c:v>460.18010873731311</c:v>
                </c:pt>
                <c:pt idx="54">
                  <c:v>479.42064951221931</c:v>
                </c:pt>
                <c:pt idx="55">
                  <c:v>498.64478102355866</c:v>
                </c:pt>
                <c:pt idx="56">
                  <c:v>517.85322449720422</c:v>
                </c:pt>
                <c:pt idx="57">
                  <c:v>445.53319472861421</c:v>
                </c:pt>
                <c:pt idx="58">
                  <c:v>463.13961635174354</c:v>
                </c:pt>
                <c:pt idx="59">
                  <c:v>480.73176522935711</c:v>
                </c:pt>
                <c:pt idx="60">
                  <c:v>498.31023691698778</c:v>
                </c:pt>
                <c:pt idx="61">
                  <c:v>515.87558154807391</c:v>
                </c:pt>
                <c:pt idx="62">
                  <c:v>533.42830875860125</c:v>
                </c:pt>
                <c:pt idx="63">
                  <c:v>550.96889193008133</c:v>
                </c:pt>
                <c:pt idx="64">
                  <c:v>472.3543075985433</c:v>
                </c:pt>
                <c:pt idx="65">
                  <c:v>488.11156591254894</c:v>
                </c:pt>
                <c:pt idx="66">
                  <c:v>503.85803336145045</c:v>
                </c:pt>
                <c:pt idx="67">
                  <c:v>519.5940945298081</c:v>
                </c:pt>
                <c:pt idx="68">
                  <c:v>535.32010881828603</c:v>
                </c:pt>
                <c:pt idx="69">
                  <c:v>551.03641279944372</c:v>
                </c:pt>
                <c:pt idx="70">
                  <c:v>566.74332229089191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233.44601670164332</c:v>
                </c:pt>
                <c:pt idx="31">
                  <c:v>251.84750489279975</c:v>
                </c:pt>
                <c:pt idx="32">
                  <c:v>270.21853173148173</c:v>
                </c:pt>
                <c:pt idx="33">
                  <c:v>288.56145921228261</c:v>
                </c:pt>
                <c:pt idx="34">
                  <c:v>306.87832445859306</c:v>
                </c:pt>
                <c:pt idx="35">
                  <c:v>325.17090153957975</c:v>
                </c:pt>
                <c:pt idx="36">
                  <c:v>343.4407486365871</c:v>
                </c:pt>
                <c:pt idx="37">
                  <c:v>277.64048097463598</c:v>
                </c:pt>
                <c:pt idx="38">
                  <c:v>294.48954064418047</c:v>
                </c:pt>
                <c:pt idx="39">
                  <c:v>311.31709656199939</c:v>
                </c:pt>
                <c:pt idx="40">
                  <c:v>328.12447448680598</c:v>
                </c:pt>
                <c:pt idx="41">
                  <c:v>344.91285327297737</c:v>
                </c:pt>
                <c:pt idx="42">
                  <c:v>361.68328765643633</c:v>
                </c:pt>
                <c:pt idx="43">
                  <c:v>378.43672659197046</c:v>
                </c:pt>
                <c:pt idx="44">
                  <c:v>395.17402817293191</c:v>
                </c:pt>
                <c:pt idx="45">
                  <c:v>327.78033103831336</c:v>
                </c:pt>
                <c:pt idx="46">
                  <c:v>342.65491462622498</c:v>
                </c:pt>
                <c:pt idx="47">
                  <c:v>357.5153094120638</c:v>
                </c:pt>
                <c:pt idx="48">
                  <c:v>372.36218817857565</c:v>
                </c:pt>
                <c:pt idx="49">
                  <c:v>387.19616568146989</c:v>
                </c:pt>
                <c:pt idx="50">
                  <c:v>402.01780573211067</c:v>
                </c:pt>
                <c:pt idx="51">
                  <c:v>416.82762718109433</c:v>
                </c:pt>
                <c:pt idx="52">
                  <c:v>431.62610900705425</c:v>
                </c:pt>
                <c:pt idx="53">
                  <c:v>366.26587035197628</c:v>
                </c:pt>
                <c:pt idx="54">
                  <c:v>379.56512783201532</c:v>
                </c:pt>
                <c:pt idx="55">
                  <c:v>392.85424896262816</c:v>
                </c:pt>
                <c:pt idx="56">
                  <c:v>406.13362493988217</c:v>
                </c:pt>
                <c:pt idx="57">
                  <c:v>419.40361929031616</c:v>
                </c:pt>
                <c:pt idx="58">
                  <c:v>432.66457066000584</c:v>
                </c:pt>
                <c:pt idx="59">
                  <c:v>445.91679524386319</c:v>
                </c:pt>
                <c:pt idx="60">
                  <c:v>459.16058891110259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277.64048093700978</c:v>
                </c:pt>
                <c:pt idx="38">
                  <c:v>294.48954060352384</c:v>
                </c:pt>
                <c:pt idx="39">
                  <c:v>311.31709651831665</c:v>
                </c:pt>
                <c:pt idx="40">
                  <c:v>328.12447444010144</c:v>
                </c:pt>
                <c:pt idx="41">
                  <c:v>344.91285322325461</c:v>
                </c:pt>
                <c:pt idx="42">
                  <c:v>361.6832876036994</c:v>
                </c:pt>
                <c:pt idx="43">
                  <c:v>378.43672653622252</c:v>
                </c:pt>
                <c:pt idx="44">
                  <c:v>395.17402811417611</c:v>
                </c:pt>
                <c:pt idx="45">
                  <c:v>327.7803309925909</c:v>
                </c:pt>
                <c:pt idx="46">
                  <c:v>342.65491458987913</c:v>
                </c:pt>
                <c:pt idx="47">
                  <c:v>357.51530938507517</c:v>
                </c:pt>
                <c:pt idx="48">
                  <c:v>372.362188160926</c:v>
                </c:pt>
                <c:pt idx="49">
                  <c:v>387.1961656731425</c:v>
                </c:pt>
                <c:pt idx="50">
                  <c:v>402.01780573308952</c:v>
                </c:pt>
                <c:pt idx="51">
                  <c:v>416.82762719136463</c:v>
                </c:pt>
                <c:pt idx="52">
                  <c:v>431.62610902660225</c:v>
                </c:pt>
                <c:pt idx="53">
                  <c:v>366.26587036399184</c:v>
                </c:pt>
                <c:pt idx="54">
                  <c:v>379.56512784230637</c:v>
                </c:pt>
                <c:pt idx="55">
                  <c:v>392.85424897119765</c:v>
                </c:pt>
                <c:pt idx="56">
                  <c:v>406.13362494673282</c:v>
                </c:pt>
                <c:pt idx="57">
                  <c:v>419.40361929545037</c:v>
                </c:pt>
                <c:pt idx="58">
                  <c:v>432.66457066342628</c:v>
                </c:pt>
                <c:pt idx="59">
                  <c:v>445.91679524557213</c:v>
                </c:pt>
                <c:pt idx="60">
                  <c:v>459.1605889111022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1.9190286454012624</c:v>
                </c:pt>
                <c:pt idx="2">
                  <c:v>2.3745849545197242</c:v>
                </c:pt>
                <c:pt idx="3">
                  <c:v>2.938707459966293</c:v>
                </c:pt>
                <c:pt idx="4">
                  <c:v>3.6373642605922853</c:v>
                </c:pt>
                <c:pt idx="5">
                  <c:v>4.5027561309452855</c:v>
                </c:pt>
                <c:pt idx="6">
                  <c:v>5.5748172110080709</c:v>
                </c:pt>
                <c:pt idx="7">
                  <c:v>6.9030780907738958</c:v>
                </c:pt>
                <c:pt idx="8">
                  <c:v>8.5489790386098861</c:v>
                </c:pt>
                <c:pt idx="9">
                  <c:v>10.588742421786387</c:v>
                </c:pt>
                <c:pt idx="10">
                  <c:v>13.116939848545632</c:v>
                </c:pt>
                <c:pt idx="11">
                  <c:v>16.250922486723002</c:v>
                </c:pt>
                <c:pt idx="12">
                  <c:v>20.136323955741016</c:v>
                </c:pt>
                <c:pt idx="13">
                  <c:v>24.953896102189773</c:v>
                </c:pt>
                <c:pt idx="14">
                  <c:v>30.928001287430916</c:v>
                </c:pt>
                <c:pt idx="15">
                  <c:v>38.337163566726382</c:v>
                </c:pt>
                <c:pt idx="16">
                  <c:v>47.527179091678228</c:v>
                </c:pt>
                <c:pt idx="17">
                  <c:v>58.927407911319868</c:v>
                </c:pt>
                <c:pt idx="18">
                  <c:v>73.071020919484155</c:v>
                </c:pt>
                <c:pt idx="19">
                  <c:v>90.620164263085925</c:v>
                </c:pt>
                <c:pt idx="20">
                  <c:v>112.39723813230249</c:v>
                </c:pt>
                <c:pt idx="21">
                  <c:v>139.42377875850318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158.76051047616977</c:v>
                </c:pt>
                <c:pt idx="29">
                  <c:v>175.59896515661092</c:v>
                </c:pt>
                <c:pt idx="30">
                  <c:v>192.39950654022346</c:v>
                </c:pt>
                <c:pt idx="31">
                  <c:v>209.1659124742217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220.02792534458786</c:v>
                </c:pt>
                <c:pt idx="36">
                  <c:v>236.44664825214025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288.8629105041029</c:v>
                </c:pt>
                <c:pt idx="45">
                  <c:v>304.05893725366735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387.77711671492483</c:v>
                </c:pt>
                <c:pt idx="62">
                  <c:v>399.46857547560194</c:v>
                </c:pt>
                <c:pt idx="63">
                  <c:v>411.15262834415716</c:v>
                </c:pt>
                <c:pt idx="64">
                  <c:v>422.82951547202782</c:v>
                </c:pt>
                <c:pt idx="65">
                  <c:v>434.49946266268313</c:v>
                </c:pt>
                <c:pt idx="66">
                  <c:v>446.16268259938062</c:v>
                </c:pt>
                <c:pt idx="67">
                  <c:v>457.81937593784545</c:v>
                </c:pt>
                <c:pt idx="68">
                  <c:v>469.46973228186403</c:v>
                </c:pt>
                <c:pt idx="69">
                  <c:v>481.11393105699318</c:v>
                </c:pt>
                <c:pt idx="70">
                  <c:v>492.75214229528297</c:v>
                </c:pt>
                <c:pt idx="71">
                  <c:v>435.52165251525474</c:v>
                </c:pt>
                <c:pt idx="72">
                  <c:v>445.12148725674382</c:v>
                </c:pt>
                <c:pt idx="73">
                  <c:v>454.71688879830617</c:v>
                </c:pt>
                <c:pt idx="74">
                  <c:v>464.30796390444101</c:v>
                </c:pt>
                <c:pt idx="75">
                  <c:v>473.89481456791827</c:v>
                </c:pt>
                <c:pt idx="76">
                  <c:v>483.47753831734173</c:v>
                </c:pt>
                <c:pt idx="77">
                  <c:v>493.05622849905473</c:v>
                </c:pt>
                <c:pt idx="78">
                  <c:v>502.63097453599795</c:v>
                </c:pt>
                <c:pt idx="79">
                  <c:v>512.20186216581476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80" zoomScaleNormal="55" workbookViewId="0">
      <selection activeCell="A95" sqref="A95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2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7</v>
      </c>
      <c r="B5" s="268"/>
      <c r="C5" s="24">
        <v>11.85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0.54425363276089833</v>
      </c>
      <c r="D9" s="33">
        <f t="shared" ref="D9:D18" si="0">C9*$C$5</f>
        <v>6.449405548216645</v>
      </c>
      <c r="E9" s="34">
        <v>131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0.25099075297225892</v>
      </c>
      <c r="D10" s="33">
        <f t="shared" si="0"/>
        <v>2.9742404227212682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8.5865257595772793E-2</v>
      </c>
      <c r="D11" s="33">
        <f t="shared" si="0"/>
        <v>1.0175033025099076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v>8.5865257595772793E-2</v>
      </c>
      <c r="D12" s="33">
        <f t="shared" si="0"/>
        <v>1.0175033025099076</v>
      </c>
      <c r="E12" s="34">
        <v>60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 t="s">
        <v>25</v>
      </c>
      <c r="C13" s="32">
        <v>3.3025099075297229E-2</v>
      </c>
      <c r="D13" s="33">
        <f t="shared" si="0"/>
        <v>0.39134742404227213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26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27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28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29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30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31</v>
      </c>
      <c r="C19" s="37">
        <f>SUM(C9:C18)</f>
        <v>1</v>
      </c>
      <c r="D19" s="38">
        <f>SUM(D9:D18)</f>
        <v>11.850000000000003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33</v>
      </c>
      <c r="B24" s="42" t="s">
        <v>34</v>
      </c>
      <c r="C24" s="43">
        <v>0</v>
      </c>
      <c r="D24" s="44" t="s">
        <v>35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36</v>
      </c>
      <c r="B25" s="42" t="s">
        <v>37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38</v>
      </c>
      <c r="B26" s="42" t="s">
        <v>39</v>
      </c>
      <c r="C26" s="43">
        <v>0.05</v>
      </c>
      <c r="D26" s="44" t="s">
        <v>40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41</v>
      </c>
      <c r="B27" s="42" t="s">
        <v>42</v>
      </c>
      <c r="C27" s="43">
        <v>0</v>
      </c>
      <c r="D27" s="44" t="s">
        <v>43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44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Cèdre de l'Atlas</v>
      </c>
      <c r="D32" s="229" t="s">
        <v>45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46</v>
      </c>
      <c r="C34" s="259" t="s">
        <v>47</v>
      </c>
      <c r="D34" s="259"/>
      <c r="E34" s="260" t="s">
        <v>48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49</v>
      </c>
      <c r="B35" s="36" t="s">
        <v>50</v>
      </c>
      <c r="C35" s="48" t="s">
        <v>51</v>
      </c>
      <c r="D35" s="48" t="s">
        <v>52</v>
      </c>
      <c r="E35" s="36" t="s">
        <v>53</v>
      </c>
      <c r="F35" s="36" t="s">
        <v>54</v>
      </c>
      <c r="G35" s="36" t="s">
        <v>55</v>
      </c>
      <c r="H35" s="36" t="s">
        <v>56</v>
      </c>
      <c r="I35" s="48" t="s">
        <v>57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30</v>
      </c>
      <c r="B36" s="60">
        <v>147.25384615384615</v>
      </c>
      <c r="C36" s="60" t="s">
        <v>58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4.9084615384615384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51</v>
      </c>
      <c r="B37" s="60">
        <v>387.56923076923078</v>
      </c>
      <c r="C37" s="60">
        <v>1</v>
      </c>
      <c r="D37" s="60">
        <v>170.16153846153847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11.443589743589744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61</v>
      </c>
      <c r="B38" s="60">
        <v>329.11538461538464</v>
      </c>
      <c r="C38" s="60">
        <v>2</v>
      </c>
      <c r="D38" s="60">
        <v>94.76153846153845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11.170769230769233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73</v>
      </c>
      <c r="B39" s="60">
        <v>358.13076923076926</v>
      </c>
      <c r="C39" s="60">
        <v>3</v>
      </c>
      <c r="D39" s="60">
        <v>93.584615384615375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10.314743589743591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85</v>
      </c>
      <c r="B40" s="60">
        <v>378.83076923076919</v>
      </c>
      <c r="C40" s="60">
        <v>4</v>
      </c>
      <c r="D40" s="60">
        <v>85.207692307692298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9.5237179487179446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97</v>
      </c>
      <c r="B41" s="60">
        <v>398.27692307692308</v>
      </c>
      <c r="C41" s="60">
        <v>5</v>
      </c>
      <c r="D41" s="60">
        <v>79.669230769230765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8.7211538461538485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109</v>
      </c>
      <c r="B42" s="60">
        <v>413.2</v>
      </c>
      <c r="C42" s="60">
        <v>6</v>
      </c>
      <c r="D42" s="60">
        <v>80.653846153846146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7.882692307692305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121</v>
      </c>
      <c r="B43" s="60">
        <v>417.60769230769228</v>
      </c>
      <c r="C43" s="60">
        <v>7</v>
      </c>
      <c r="D43" s="60">
        <v>207.07692307692307</v>
      </c>
      <c r="E43" s="51">
        <v>0.7</v>
      </c>
      <c r="F43" s="51">
        <v>0.16800000000000001</v>
      </c>
      <c r="G43" s="51">
        <v>0.13200000000000001</v>
      </c>
      <c r="H43" s="51">
        <v>0</v>
      </c>
      <c r="I43" s="49">
        <f t="shared" si="1"/>
        <v>7.0884615384615346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131</v>
      </c>
      <c r="B44" s="60">
        <v>259.61538461538458</v>
      </c>
      <c r="C44" s="60">
        <v>8</v>
      </c>
      <c r="D44" s="60">
        <v>259.61538461538458</v>
      </c>
      <c r="E44" s="51">
        <v>0.7</v>
      </c>
      <c r="F44" s="51">
        <v>0.16800000000000001</v>
      </c>
      <c r="G44" s="51">
        <v>0.13200000000000001</v>
      </c>
      <c r="H44" s="51">
        <v>0</v>
      </c>
      <c r="I44" s="49">
        <f t="shared" si="1"/>
        <v>4.9084615384615375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Douglas</v>
      </c>
      <c r="D58" s="229" t="s">
        <v>45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46</v>
      </c>
      <c r="C60" s="259" t="s">
        <v>47</v>
      </c>
      <c r="D60" s="259"/>
      <c r="E60" s="260" t="s">
        <v>48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49</v>
      </c>
      <c r="B61" s="36" t="s">
        <v>50</v>
      </c>
      <c r="C61" s="48" t="s">
        <v>51</v>
      </c>
      <c r="D61" s="48" t="s">
        <v>52</v>
      </c>
      <c r="E61" s="36" t="s">
        <v>53</v>
      </c>
      <c r="F61" s="36" t="s">
        <v>54</v>
      </c>
      <c r="G61" s="36" t="s">
        <v>55</v>
      </c>
      <c r="H61" s="36" t="s">
        <v>56</v>
      </c>
      <c r="I61" s="48" t="s">
        <v>57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21</v>
      </c>
      <c r="B62" s="60">
        <v>180.06153846153845</v>
      </c>
      <c r="C62" s="60">
        <v>1</v>
      </c>
      <c r="D62" s="60">
        <v>61.169230769230765</v>
      </c>
      <c r="E62" s="51">
        <v>0</v>
      </c>
      <c r="F62" s="51">
        <v>0.56000000000000005</v>
      </c>
      <c r="G62" s="51">
        <v>0.44</v>
      </c>
      <c r="H62" s="51">
        <v>0</v>
      </c>
      <c r="I62" s="53">
        <f>IFERROR(B62/A62,"")</f>
        <v>8.5743589743589741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28</v>
      </c>
      <c r="B63" s="60">
        <v>235.7076923076923</v>
      </c>
      <c r="C63" s="60">
        <v>2</v>
      </c>
      <c r="D63" s="60">
        <v>56.91538461538461</v>
      </c>
      <c r="E63" s="51">
        <v>0</v>
      </c>
      <c r="F63" s="51">
        <v>0.56000000000000005</v>
      </c>
      <c r="G63" s="51">
        <v>0.44</v>
      </c>
      <c r="H63" s="51">
        <v>0</v>
      </c>
      <c r="I63" s="49">
        <f>IF(A63&lt;&gt;0,(B63-(B62-D62))/(A63-A62),"")</f>
        <v>16.687912087912089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35</v>
      </c>
      <c r="B64" s="60">
        <v>305.49230770000003</v>
      </c>
      <c r="C64" s="60">
        <v>3</v>
      </c>
      <c r="D64" s="60">
        <v>70.5</v>
      </c>
      <c r="E64" s="51">
        <v>0.7</v>
      </c>
      <c r="F64" s="51">
        <v>0.17</v>
      </c>
      <c r="G64" s="51">
        <v>0.13</v>
      </c>
      <c r="H64" s="51">
        <v>0</v>
      </c>
      <c r="I64" s="49">
        <f>IF(A64&lt;&gt;0,(B64-(B63-D63))/(A64-A63),"")</f>
        <v>18.100000001098902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42</v>
      </c>
      <c r="B65" s="60">
        <v>362.6</v>
      </c>
      <c r="C65" s="60">
        <v>4</v>
      </c>
      <c r="D65" s="60">
        <v>80.669230769999999</v>
      </c>
      <c r="E65" s="51">
        <v>0.7</v>
      </c>
      <c r="F65" s="51">
        <v>0.16800000000000001</v>
      </c>
      <c r="G65" s="51">
        <v>0.13200000000000001</v>
      </c>
      <c r="H65" s="51">
        <v>0</v>
      </c>
      <c r="I65" s="49">
        <f>IF(A65&lt;&gt;0,(B65-(B64-D64))/(A65-A64),"")</f>
        <v>18.229670328571427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49</v>
      </c>
      <c r="B66" s="60">
        <v>404.56230799999997</v>
      </c>
      <c r="C66" s="60">
        <v>5</v>
      </c>
      <c r="D66" s="60">
        <v>90.453846150000004</v>
      </c>
      <c r="E66" s="51">
        <v>0.7</v>
      </c>
      <c r="F66" s="51">
        <v>0.16800000000000001</v>
      </c>
      <c r="G66" s="51">
        <v>0.13200000000000001</v>
      </c>
      <c r="H66" s="51">
        <v>0</v>
      </c>
      <c r="I66" s="49">
        <f t="shared" ref="I66:I81" si="2">IF(A66&lt;&gt;0,(B66-(B65-D65))/(A66-A65),"")</f>
        <v>17.518791252857138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56</v>
      </c>
      <c r="B67" s="60">
        <v>427.70769230000002</v>
      </c>
      <c r="C67" s="60">
        <v>6</v>
      </c>
      <c r="D67" s="60">
        <v>75.869230770000001</v>
      </c>
      <c r="E67" s="51">
        <v>0.7</v>
      </c>
      <c r="F67" s="51">
        <v>0.16800000000000001</v>
      </c>
      <c r="G67" s="51">
        <v>0.13200000000000001</v>
      </c>
      <c r="H67" s="51">
        <v>0</v>
      </c>
      <c r="I67" s="49">
        <f t="shared" si="2"/>
        <v>16.22846149285715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63</v>
      </c>
      <c r="B68" s="60">
        <v>455.71538459999999</v>
      </c>
      <c r="C68" s="60">
        <v>7</v>
      </c>
      <c r="D68" s="60">
        <v>79.723076919999997</v>
      </c>
      <c r="E68" s="51">
        <v>0.7</v>
      </c>
      <c r="F68" s="51">
        <v>0.16800000000000001</v>
      </c>
      <c r="G68" s="51">
        <v>0.13200000000000001</v>
      </c>
      <c r="H68" s="51">
        <v>0</v>
      </c>
      <c r="I68" s="49">
        <f t="shared" si="2"/>
        <v>14.839560438571425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70</v>
      </c>
      <c r="B69" s="50">
        <v>469.06923080000001</v>
      </c>
      <c r="C69" s="50">
        <v>8</v>
      </c>
      <c r="D69" s="50">
        <v>469.06923080000001</v>
      </c>
      <c r="E69" s="51">
        <v>0.7</v>
      </c>
      <c r="F69" s="51">
        <v>0.16800000000000001</v>
      </c>
      <c r="G69" s="51">
        <v>0.13200000000000001</v>
      </c>
      <c r="H69" s="51">
        <v>0</v>
      </c>
      <c r="I69" s="49">
        <f t="shared" si="2"/>
        <v>13.296703302857143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Pin maritime</v>
      </c>
      <c r="D84" s="229" t="s">
        <v>45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46</v>
      </c>
      <c r="C86" s="259" t="s">
        <v>47</v>
      </c>
      <c r="D86" s="259"/>
      <c r="E86" s="260" t="s">
        <v>48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49</v>
      </c>
      <c r="B87" s="36" t="s">
        <v>50</v>
      </c>
      <c r="C87" s="48" t="s">
        <v>51</v>
      </c>
      <c r="D87" s="48" t="s">
        <v>52</v>
      </c>
      <c r="E87" s="36" t="s">
        <v>53</v>
      </c>
      <c r="F87" s="36" t="s">
        <v>54</v>
      </c>
      <c r="G87" s="36" t="s">
        <v>55</v>
      </c>
      <c r="H87" s="36" t="s">
        <v>56</v>
      </c>
      <c r="I87" s="48" t="s">
        <v>57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17</v>
      </c>
      <c r="B88" s="60">
        <v>126.33076923076922</v>
      </c>
      <c r="C88" s="60">
        <v>1</v>
      </c>
      <c r="D88" s="60">
        <v>42.084615384615383</v>
      </c>
      <c r="E88" s="51">
        <v>0</v>
      </c>
      <c r="F88" s="51">
        <v>0.56000000000000005</v>
      </c>
      <c r="G88" s="51">
        <v>0.44</v>
      </c>
      <c r="H88" s="87">
        <v>0</v>
      </c>
      <c r="I88" s="53">
        <f>IFERROR(B88/A88,"")</f>
        <v>7.4312217194570129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23</v>
      </c>
      <c r="B89" s="60">
        <v>173.80769230769229</v>
      </c>
      <c r="C89" s="60">
        <v>2</v>
      </c>
      <c r="D89" s="60">
        <v>54.099999999999994</v>
      </c>
      <c r="E89" s="51">
        <v>0</v>
      </c>
      <c r="F89" s="51"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14.926923076923075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29</v>
      </c>
      <c r="B90" s="60">
        <v>210.14615384615385</v>
      </c>
      <c r="C90" s="60">
        <v>3</v>
      </c>
      <c r="D90" s="60">
        <v>47.661538461538463</v>
      </c>
      <c r="E90" s="87">
        <v>0.7</v>
      </c>
      <c r="F90" s="87">
        <v>0.16800000000000001</v>
      </c>
      <c r="G90" s="87">
        <v>0.13200000000000001</v>
      </c>
      <c r="H90" s="87">
        <v>0</v>
      </c>
      <c r="I90" s="53">
        <f t="shared" si="3"/>
        <v>15.073076923076925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36</v>
      </c>
      <c r="B91" s="60">
        <v>262.57692309999999</v>
      </c>
      <c r="C91" s="60">
        <v>4</v>
      </c>
      <c r="D91" s="60">
        <v>64.553846149999998</v>
      </c>
      <c r="E91" s="87">
        <v>0.7</v>
      </c>
      <c r="F91" s="87">
        <v>0.17</v>
      </c>
      <c r="G91" s="87">
        <v>0.13</v>
      </c>
      <c r="H91" s="87">
        <v>0</v>
      </c>
      <c r="I91" s="53">
        <f t="shared" si="3"/>
        <v>14.298901102197801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44</v>
      </c>
      <c r="B92" s="60">
        <v>303.15384619999998</v>
      </c>
      <c r="C92" s="60">
        <v>5</v>
      </c>
      <c r="D92" s="60">
        <v>64.476923080000006</v>
      </c>
      <c r="E92" s="87">
        <v>0.7</v>
      </c>
      <c r="F92" s="87">
        <v>0.16800000000000001</v>
      </c>
      <c r="G92" s="87">
        <v>0.13200000000000001</v>
      </c>
      <c r="H92" s="87">
        <v>0</v>
      </c>
      <c r="I92" s="53">
        <f t="shared" si="3"/>
        <v>13.141346156249998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52</v>
      </c>
      <c r="B93" s="60">
        <v>331.81538460000002</v>
      </c>
      <c r="C93" s="60">
        <v>6</v>
      </c>
      <c r="D93" s="60">
        <v>61.784615379999998</v>
      </c>
      <c r="E93" s="87">
        <v>0.7</v>
      </c>
      <c r="F93" s="87">
        <v>0.16800000000000001</v>
      </c>
      <c r="G93" s="87">
        <v>0.13200000000000001</v>
      </c>
      <c r="H93" s="87">
        <v>0</v>
      </c>
      <c r="I93" s="53">
        <f t="shared" si="3"/>
        <v>11.642307685000006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60</v>
      </c>
      <c r="B94" s="60">
        <v>353.5</v>
      </c>
      <c r="C94" s="60">
        <v>7</v>
      </c>
      <c r="D94" s="60">
        <v>353.5</v>
      </c>
      <c r="E94" s="87">
        <v>0.7</v>
      </c>
      <c r="F94" s="87">
        <v>0.16800000000000001</v>
      </c>
      <c r="G94" s="87">
        <v>0.13200000000000001</v>
      </c>
      <c r="H94" s="87">
        <v>0</v>
      </c>
      <c r="I94" s="53">
        <f t="shared" si="3"/>
        <v>10.433653847499997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Pin taeda</v>
      </c>
      <c r="D110" s="229" t="s">
        <v>45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46</v>
      </c>
      <c r="C112" s="259" t="s">
        <v>47</v>
      </c>
      <c r="D112" s="259"/>
      <c r="E112" s="260" t="s">
        <v>48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49</v>
      </c>
      <c r="B113" s="36" t="s">
        <v>50</v>
      </c>
      <c r="C113" s="48" t="s">
        <v>51</v>
      </c>
      <c r="D113" s="48" t="s">
        <v>52</v>
      </c>
      <c r="E113" s="36" t="s">
        <v>53</v>
      </c>
      <c r="F113" s="36" t="s">
        <v>54</v>
      </c>
      <c r="G113" s="36" t="s">
        <v>55</v>
      </c>
      <c r="H113" s="36" t="s">
        <v>56</v>
      </c>
      <c r="I113" s="48" t="s">
        <v>57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17</v>
      </c>
      <c r="B114" s="60">
        <v>126.33076923076922</v>
      </c>
      <c r="C114" s="50">
        <v>1</v>
      </c>
      <c r="D114" s="60">
        <v>42.084615384615383</v>
      </c>
      <c r="E114" s="51">
        <v>0</v>
      </c>
      <c r="F114" s="51">
        <v>0.56000000000000005</v>
      </c>
      <c r="G114" s="51">
        <v>0.44</v>
      </c>
      <c r="H114" s="51">
        <v>0</v>
      </c>
      <c r="I114" s="53">
        <f>IFERROR(B114/A114,"")</f>
        <v>7.4312217194570129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23</v>
      </c>
      <c r="B115" s="60">
        <v>173.80769230769229</v>
      </c>
      <c r="C115" s="50">
        <v>2</v>
      </c>
      <c r="D115" s="60">
        <v>54.099999999999994</v>
      </c>
      <c r="E115" s="51">
        <v>0</v>
      </c>
      <c r="F115" s="51">
        <v>0.56000000000000005</v>
      </c>
      <c r="G115" s="51">
        <v>0.44</v>
      </c>
      <c r="H115" s="51">
        <v>0</v>
      </c>
      <c r="I115" s="53">
        <f t="shared" ref="I115:I133" si="4">IF(A115&lt;&gt;0,(B115-(B114-D114))/(A115-A114),"")</f>
        <v>14.926923076923075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29</v>
      </c>
      <c r="B116" s="60">
        <v>210.14615384615385</v>
      </c>
      <c r="C116" s="50">
        <v>3</v>
      </c>
      <c r="D116" s="60">
        <v>47.661538461538463</v>
      </c>
      <c r="E116" s="51">
        <v>0.7</v>
      </c>
      <c r="F116" s="51">
        <v>0.16800000000000001</v>
      </c>
      <c r="G116" s="51">
        <v>0.13200000000000001</v>
      </c>
      <c r="H116" s="51">
        <v>0</v>
      </c>
      <c r="I116" s="53">
        <f t="shared" si="4"/>
        <v>15.073076923076925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36</v>
      </c>
      <c r="B117" s="60">
        <v>262.57692307692309</v>
      </c>
      <c r="C117" s="50">
        <v>4</v>
      </c>
      <c r="D117" s="60">
        <v>64.553846153846152</v>
      </c>
      <c r="E117" s="51">
        <v>0.7</v>
      </c>
      <c r="F117" s="51">
        <v>0.16800000000000001</v>
      </c>
      <c r="G117" s="51">
        <v>0.13200000000000001</v>
      </c>
      <c r="H117" s="51">
        <v>0</v>
      </c>
      <c r="I117" s="53">
        <f t="shared" si="4"/>
        <v>14.298901098901101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44</v>
      </c>
      <c r="B118" s="60">
        <v>303.15384615384613</v>
      </c>
      <c r="C118" s="50">
        <v>5</v>
      </c>
      <c r="D118" s="60">
        <v>64.476923076923072</v>
      </c>
      <c r="E118" s="51">
        <v>0.7</v>
      </c>
      <c r="F118" s="51">
        <v>0.16800000000000001</v>
      </c>
      <c r="G118" s="51">
        <v>0.13200000000000001</v>
      </c>
      <c r="H118" s="51">
        <v>0</v>
      </c>
      <c r="I118" s="53">
        <f t="shared" si="4"/>
        <v>13.14134615384615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52</v>
      </c>
      <c r="B119" s="60">
        <v>331.81538461538463</v>
      </c>
      <c r="C119" s="50">
        <v>6</v>
      </c>
      <c r="D119" s="60">
        <v>61.784615384615378</v>
      </c>
      <c r="E119" s="51">
        <v>0.7</v>
      </c>
      <c r="F119" s="51">
        <v>0.16800000000000001</v>
      </c>
      <c r="G119" s="51">
        <v>0.13200000000000001</v>
      </c>
      <c r="H119" s="51">
        <v>0</v>
      </c>
      <c r="I119" s="53">
        <f t="shared" si="4"/>
        <v>11.642307692307696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60</v>
      </c>
      <c r="B120" s="60">
        <v>353.5</v>
      </c>
      <c r="C120" s="60">
        <v>7</v>
      </c>
      <c r="D120" s="60">
        <v>353.5</v>
      </c>
      <c r="E120" s="87">
        <v>0.7</v>
      </c>
      <c r="F120" s="87">
        <v>0.16800000000000001</v>
      </c>
      <c r="G120" s="87">
        <v>0.13200000000000001</v>
      </c>
      <c r="H120" s="87">
        <v>0</v>
      </c>
      <c r="I120" s="53">
        <f t="shared" si="4"/>
        <v>10.433653846153845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>Pin laricio</v>
      </c>
      <c r="D136" s="229" t="s">
        <v>45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46</v>
      </c>
      <c r="C138" s="259" t="s">
        <v>47</v>
      </c>
      <c r="D138" s="259"/>
      <c r="E138" s="260" t="s">
        <v>48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49</v>
      </c>
      <c r="B139" s="36" t="s">
        <v>50</v>
      </c>
      <c r="C139" s="48" t="s">
        <v>51</v>
      </c>
      <c r="D139" s="48" t="s">
        <v>52</v>
      </c>
      <c r="E139" s="36" t="s">
        <v>53</v>
      </c>
      <c r="F139" s="36" t="s">
        <v>54</v>
      </c>
      <c r="G139" s="36" t="s">
        <v>55</v>
      </c>
      <c r="H139" s="36" t="s">
        <v>56</v>
      </c>
      <c r="I139" s="48" t="s">
        <v>57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>
        <v>22</v>
      </c>
      <c r="B140" s="60">
        <v>129.98461538461538</v>
      </c>
      <c r="C140" s="50">
        <v>1</v>
      </c>
      <c r="D140" s="60">
        <v>52.746153846153838</v>
      </c>
      <c r="E140" s="51">
        <v>0</v>
      </c>
      <c r="F140" s="51">
        <v>0.56000000000000005</v>
      </c>
      <c r="G140" s="51">
        <v>0.44</v>
      </c>
      <c r="H140" s="51">
        <v>0</v>
      </c>
      <c r="I140" s="57">
        <f>IFERROR(B140/A140,"")</f>
        <v>5.9083916083916082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>
        <v>27</v>
      </c>
      <c r="B141" s="60">
        <v>140.71538461538461</v>
      </c>
      <c r="C141" s="50">
        <v>2</v>
      </c>
      <c r="D141" s="60">
        <v>34.646153846153844</v>
      </c>
      <c r="E141" s="51">
        <v>0.7</v>
      </c>
      <c r="F141" s="51">
        <v>0.16800000000000001</v>
      </c>
      <c r="G141" s="51">
        <v>0.13200000000000001</v>
      </c>
      <c r="H141" s="51">
        <v>0</v>
      </c>
      <c r="I141" s="57">
        <f t="shared" ref="I141:I159" si="5">IF(A141&lt;&gt;0,(B141-(B140-D140))/(A141-A140),"")</f>
        <v>12.695384615384615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>
        <v>30</v>
      </c>
      <c r="B142" s="60">
        <v>144.98461538461538</v>
      </c>
      <c r="C142" s="50" t="s">
        <v>58</v>
      </c>
      <c r="D142" s="60">
        <v>0</v>
      </c>
      <c r="E142" s="51">
        <v>0</v>
      </c>
      <c r="F142" s="51">
        <v>0</v>
      </c>
      <c r="G142" s="51">
        <v>0</v>
      </c>
      <c r="H142" s="51">
        <v>0</v>
      </c>
      <c r="I142" s="57">
        <f t="shared" si="5"/>
        <v>12.971794871794875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>
        <v>33</v>
      </c>
      <c r="B143" s="60">
        <v>183.89999999999998</v>
      </c>
      <c r="C143" s="50">
        <v>3</v>
      </c>
      <c r="D143" s="60">
        <v>43.007692307692302</v>
      </c>
      <c r="E143" s="51">
        <v>0.7</v>
      </c>
      <c r="F143" s="51">
        <v>0.16800000000000001</v>
      </c>
      <c r="G143" s="51">
        <v>0.13200000000000001</v>
      </c>
      <c r="H143" s="51">
        <v>0</v>
      </c>
      <c r="I143" s="57">
        <f t="shared" si="5"/>
        <v>12.971794871794865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>
        <v>41</v>
      </c>
      <c r="B144" s="60">
        <v>242.81538461538457</v>
      </c>
      <c r="C144" s="50">
        <v>4</v>
      </c>
      <c r="D144" s="60">
        <v>58.484615384615381</v>
      </c>
      <c r="E144" s="51">
        <v>0.7</v>
      </c>
      <c r="F144" s="51">
        <v>0.16800000000000001</v>
      </c>
      <c r="G144" s="51">
        <v>0.13200000000000001</v>
      </c>
      <c r="H144" s="51">
        <v>0</v>
      </c>
      <c r="I144" s="57">
        <f t="shared" si="5"/>
        <v>12.740384615384613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50</v>
      </c>
      <c r="B145" s="60">
        <v>291.08461538461535</v>
      </c>
      <c r="C145" s="50">
        <v>5</v>
      </c>
      <c r="D145" s="60">
        <v>55.292307692307688</v>
      </c>
      <c r="E145" s="51">
        <v>0.7</v>
      </c>
      <c r="F145" s="51">
        <v>0.16800000000000001</v>
      </c>
      <c r="G145" s="51">
        <v>0.13200000000000001</v>
      </c>
      <c r="H145" s="51">
        <v>0</v>
      </c>
      <c r="I145" s="57">
        <f t="shared" si="5"/>
        <v>11.861538461538462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60</v>
      </c>
      <c r="B146" s="60">
        <v>342.42307692307696</v>
      </c>
      <c r="C146" s="50">
        <v>6</v>
      </c>
      <c r="D146" s="60">
        <v>54.261538461538464</v>
      </c>
      <c r="E146" s="51">
        <v>0.7</v>
      </c>
      <c r="F146" s="51">
        <v>0.16800000000000001</v>
      </c>
      <c r="G146" s="51">
        <v>0.13200000000000001</v>
      </c>
      <c r="H146" s="51">
        <v>0</v>
      </c>
      <c r="I146" s="57">
        <f t="shared" si="5"/>
        <v>10.663076923076932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70</v>
      </c>
      <c r="B147" s="60">
        <v>379.99230769230769</v>
      </c>
      <c r="C147" s="50">
        <v>7</v>
      </c>
      <c r="D147" s="60">
        <v>52.669230769230765</v>
      </c>
      <c r="E147" s="51">
        <v>0.7</v>
      </c>
      <c r="F147" s="51">
        <v>0.16800000000000001</v>
      </c>
      <c r="G147" s="51">
        <v>0.13200000000000001</v>
      </c>
      <c r="H147" s="51">
        <v>0</v>
      </c>
      <c r="I147" s="57">
        <f>IF(A147&lt;&gt;0,(B147-(B146-D146))/(A147-A146),"")</f>
        <v>9.1830769230769196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80</v>
      </c>
      <c r="B148" s="60">
        <v>402.90769230769229</v>
      </c>
      <c r="C148" s="50">
        <v>8</v>
      </c>
      <c r="D148" s="60">
        <v>402.90769230769229</v>
      </c>
      <c r="E148" s="51">
        <v>0.7</v>
      </c>
      <c r="F148" s="51">
        <v>0.16800000000000001</v>
      </c>
      <c r="G148" s="51">
        <v>0.13200000000000001</v>
      </c>
      <c r="H148" s="51">
        <v>0</v>
      </c>
      <c r="I148" s="57">
        <f t="shared" si="5"/>
        <v>7.5584615384615343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26</v>
      </c>
      <c r="B162" s="52" t="str">
        <f>IF(B14="","",B14)</f>
        <v/>
      </c>
      <c r="D162" s="229" t="s">
        <v>45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46</v>
      </c>
      <c r="C164" s="259" t="s">
        <v>47</v>
      </c>
      <c r="D164" s="259"/>
      <c r="E164" s="260" t="s">
        <v>48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49</v>
      </c>
      <c r="B165" s="36" t="s">
        <v>50</v>
      </c>
      <c r="C165" s="48" t="s">
        <v>51</v>
      </c>
      <c r="D165" s="48" t="s">
        <v>52</v>
      </c>
      <c r="E165" s="36" t="s">
        <v>53</v>
      </c>
      <c r="F165" s="36" t="s">
        <v>54</v>
      </c>
      <c r="G165" s="36" t="s">
        <v>55</v>
      </c>
      <c r="H165" s="36" t="s">
        <v>56</v>
      </c>
      <c r="I165" s="48" t="s">
        <v>57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27</v>
      </c>
      <c r="B188" s="52" t="str">
        <f>IF(B15="","",B15)</f>
        <v/>
      </c>
      <c r="D188" s="229" t="s">
        <v>45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46</v>
      </c>
      <c r="C190" s="259" t="s">
        <v>47</v>
      </c>
      <c r="D190" s="259"/>
      <c r="E190" s="260" t="s">
        <v>48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49</v>
      </c>
      <c r="B191" s="36" t="s">
        <v>50</v>
      </c>
      <c r="C191" s="48" t="s">
        <v>51</v>
      </c>
      <c r="D191" s="48" t="s">
        <v>52</v>
      </c>
      <c r="E191" s="36" t="s">
        <v>53</v>
      </c>
      <c r="F191" s="36" t="s">
        <v>54</v>
      </c>
      <c r="G191" s="36" t="s">
        <v>55</v>
      </c>
      <c r="H191" s="36" t="s">
        <v>56</v>
      </c>
      <c r="I191" s="48" t="s">
        <v>57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28</v>
      </c>
      <c r="B214" s="52" t="str">
        <f>IF(B16="","",B16)</f>
        <v/>
      </c>
      <c r="D214" s="229" t="s">
        <v>45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46</v>
      </c>
      <c r="C216" s="259" t="s">
        <v>47</v>
      </c>
      <c r="D216" s="259"/>
      <c r="E216" s="260" t="s">
        <v>48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49</v>
      </c>
      <c r="B217" s="36" t="s">
        <v>50</v>
      </c>
      <c r="C217" s="48" t="s">
        <v>51</v>
      </c>
      <c r="D217" s="48" t="s">
        <v>52</v>
      </c>
      <c r="E217" s="36" t="s">
        <v>53</v>
      </c>
      <c r="F217" s="36" t="s">
        <v>54</v>
      </c>
      <c r="G217" s="36" t="s">
        <v>55</v>
      </c>
      <c r="H217" s="36" t="s">
        <v>56</v>
      </c>
      <c r="I217" s="48" t="s">
        <v>57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29</v>
      </c>
      <c r="B240" s="52" t="str">
        <f>IF(B17="","",B17)</f>
        <v/>
      </c>
      <c r="D240" s="229" t="s">
        <v>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46</v>
      </c>
      <c r="C242" s="259" t="s">
        <v>47</v>
      </c>
      <c r="D242" s="259"/>
      <c r="E242" s="260" t="s">
        <v>48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49</v>
      </c>
      <c r="B243" s="36" t="s">
        <v>50</v>
      </c>
      <c r="C243" s="48" t="s">
        <v>51</v>
      </c>
      <c r="D243" s="48" t="s">
        <v>52</v>
      </c>
      <c r="E243" s="36" t="s">
        <v>53</v>
      </c>
      <c r="F243" s="36" t="s">
        <v>54</v>
      </c>
      <c r="G243" s="36" t="s">
        <v>55</v>
      </c>
      <c r="H243" s="36" t="s">
        <v>56</v>
      </c>
      <c r="I243" s="48" t="s">
        <v>57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30</v>
      </c>
      <c r="B266" s="52" t="str">
        <f>IF(B18="","",B18)</f>
        <v/>
      </c>
      <c r="D266" s="229" t="s">
        <v>45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46</v>
      </c>
      <c r="C268" s="259" t="s">
        <v>47</v>
      </c>
      <c r="D268" s="259"/>
      <c r="E268" s="260" t="s">
        <v>48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49</v>
      </c>
      <c r="B269" s="36" t="s">
        <v>50</v>
      </c>
      <c r="C269" s="48" t="s">
        <v>51</v>
      </c>
      <c r="D269" s="48" t="s">
        <v>52</v>
      </c>
      <c r="E269" s="36" t="s">
        <v>53</v>
      </c>
      <c r="F269" s="36" t="s">
        <v>54</v>
      </c>
      <c r="G269" s="36" t="s">
        <v>55</v>
      </c>
      <c r="H269" s="36" t="s">
        <v>56</v>
      </c>
      <c r="I269" s="48" t="s">
        <v>57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5" zoomScaleNormal="100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59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60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61</v>
      </c>
      <c r="C7" s="100" t="s">
        <v>62</v>
      </c>
      <c r="D7" s="215"/>
      <c r="E7" s="101"/>
      <c r="F7" s="26" t="s">
        <v>61</v>
      </c>
      <c r="G7" s="100" t="s">
        <v>63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64</v>
      </c>
      <c r="D8" s="23"/>
      <c r="E8" s="105">
        <v>4</v>
      </c>
      <c r="F8" s="61">
        <v>1</v>
      </c>
      <c r="G8" s="102" t="s">
        <v>65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66</v>
      </c>
      <c r="D9" s="23"/>
      <c r="E9" s="105">
        <v>5</v>
      </c>
      <c r="F9" s="61">
        <v>0</v>
      </c>
      <c r="G9" s="103" t="s">
        <v>67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68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69</v>
      </c>
      <c r="D13" s="216"/>
      <c r="E13" s="99"/>
      <c r="F13" s="107"/>
      <c r="G13" s="98" t="s">
        <v>70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71</v>
      </c>
      <c r="D14" s="216"/>
      <c r="E14" s="99"/>
      <c r="F14" s="107"/>
      <c r="G14" s="98" t="s">
        <v>72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61</v>
      </c>
      <c r="C15" s="4"/>
      <c r="D15" s="23"/>
      <c r="E15" s="4"/>
      <c r="F15" s="4"/>
      <c r="G15" s="2" t="s">
        <v>73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74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75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76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56" zoomScaleNormal="120" workbookViewId="0">
      <selection activeCell="L16" sqref="L16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77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78</v>
      </c>
      <c r="B5" s="139" t="s">
        <v>79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80</v>
      </c>
      <c r="F5" s="140" t="s">
        <v>81</v>
      </c>
      <c r="G5" s="140" t="s">
        <v>82</v>
      </c>
      <c r="H5" s="141" t="s">
        <v>83</v>
      </c>
      <c r="I5" s="142" t="s">
        <v>84</v>
      </c>
      <c r="J5" s="143" t="s">
        <v>85</v>
      </c>
      <c r="K5" s="144" t="s">
        <v>86</v>
      </c>
      <c r="L5" s="84" t="s">
        <v>87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Cèdre de l'Atlas</v>
      </c>
      <c r="B6" s="146">
        <f>'Données projet'!D9</f>
        <v>6.449405548216645</v>
      </c>
      <c r="C6" s="147">
        <f ca="1">IF(OR('Données projet'!B9="",'Données projet'!C9="",'Données projet'!C9=0%),0,Calculateur!S3)</f>
        <v>181.79645720099597</v>
      </c>
      <c r="D6" s="147">
        <f>IF(OR('Données projet'!B9="",'Données projet'!C9="",'Données projet'!C9=0%),0,Calculateur!T3)</f>
        <v>120.20040029102233</v>
      </c>
      <c r="E6" s="147">
        <f ca="1">MIN(C6,D6)</f>
        <v>120.20040029102233</v>
      </c>
      <c r="F6" s="147">
        <f ca="1">E6*B6</f>
        <v>775.22112853478109</v>
      </c>
      <c r="G6" s="147">
        <f ca="1">F6*(100%-'Données projet'!$C$24)*(100%-'Données projet'!$C$25)*(100%-'Données projet'!$C$26)*(100%-'Données projet'!$C$27)</f>
        <v>662.81406489723781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662.81406489723781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Douglas</v>
      </c>
      <c r="B7" s="154">
        <f>'Données projet'!D10</f>
        <v>2.9742404227212682</v>
      </c>
      <c r="C7" s="147">
        <f ca="1">IF(OR('Données projet'!B10="",'Données projet'!C10="",'Données projet'!C10=0%),0,Calculateur!AN3)</f>
        <v>253.62342381933348</v>
      </c>
      <c r="D7" s="147">
        <f>IF(OR('Données projet'!B10="",'Données projet'!C10="",'Données projet'!C10=0%),0,Calculateur!AO3)</f>
        <v>230.93438491775407</v>
      </c>
      <c r="E7" s="147">
        <f t="shared" ref="E7:E15" ca="1" si="0">MIN(C7,D7)</f>
        <v>230.93438491775407</v>
      </c>
      <c r="F7" s="147">
        <f t="shared" ref="F7:F15" ca="1" si="1">E7*B7</f>
        <v>686.85438261865693</v>
      </c>
      <c r="G7" s="147">
        <f ca="1">F7*(100%-'Données projet'!$C$24)*(100%-'Données projet'!$C$25)*(100%-'Données projet'!$C$26)*(100%-'Données projet'!$C$27)</f>
        <v>587.26049713895168</v>
      </c>
      <c r="H7" s="155">
        <f>IF(OR('Données projet'!B10="",'Données projet'!C10="",'Données projet'!C10=0%),0,AVERAGE(Calculateur!$AX$3:$AX$33)*B7)</f>
        <v>24.210576273024977</v>
      </c>
      <c r="I7" s="149">
        <f>H7*(100%-'Données projet'!$C$24)*(100%-'Données projet'!$C$25)*(100%-'Données projet'!$C$26)*(100%-'Données projet'!$C$27)</f>
        <v>20.700042713436357</v>
      </c>
      <c r="J7" s="150">
        <f>IF(OR('Données projet'!B10="",'Données projet'!C10="",'Données projet'!C10=0%),0,SUM(Calculateur!$AQ$3:$AQ$33)*VLOOKUP('Données projet'!$B$10,Paramètres!$A$1:$I$89,9,0)*B7)</f>
        <v>151.02117564271921</v>
      </c>
      <c r="K7" s="151">
        <f>J7*(100%-'Données projet'!$C$24)*(100%-'Données projet'!$C$25)*(100%-'Données projet'!$C$26)*(100%-'Données projet'!$C$27)</f>
        <v>129.12310517452494</v>
      </c>
      <c r="L7" s="152">
        <f t="shared" ref="L7:L15" ca="1" si="2">G7+I7+K7</f>
        <v>737.08364502691302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Pin maritime</v>
      </c>
      <c r="B8" s="154">
        <f>'Données projet'!D11</f>
        <v>1.0175033025099076</v>
      </c>
      <c r="C8" s="147">
        <f ca="1">IF(OR('Données projet'!B11="",'Données projet'!C11="",'Données projet'!C11=0%),0,Calculateur!BI3)</f>
        <v>199.27781324660782</v>
      </c>
      <c r="D8" s="147">
        <f>IF(OR('Données projet'!B11="",'Données projet'!C11="",'Données projet'!C11=0%),0,Calculateur!BJ3)</f>
        <v>199.82499536488524</v>
      </c>
      <c r="E8" s="147">
        <f t="shared" ca="1" si="0"/>
        <v>199.27781324660782</v>
      </c>
      <c r="F8" s="147">
        <f t="shared" ca="1" si="1"/>
        <v>202.76583309537608</v>
      </c>
      <c r="G8" s="147">
        <f ca="1">F8*(100%-'Données projet'!$C$24)*(100%-'Données projet'!$C$25)*(100%-'Données projet'!$C$26)*(100%-'Données projet'!$C$27)</f>
        <v>173.36478729654652</v>
      </c>
      <c r="H8" s="155">
        <f>IF(OR('Données projet'!B11="",'Données projet'!C11="",'Données projet'!C11=0%),0,AVERAGE(Calculateur!$BS$3:$BS$33)*B8)</f>
        <v>10.092516890173954</v>
      </c>
      <c r="I8" s="149">
        <f>H8*(100%-'Données projet'!$C$24)*(100%-'Données projet'!$C$25)*(100%-'Données projet'!$C$26)*(100%-'Données projet'!$C$27)</f>
        <v>8.62910194109873</v>
      </c>
      <c r="J8" s="150">
        <f>IF(OR('Données projet'!B11="",'Données projet'!C11="",'Données projet'!C11=0%),0,SUM(Calculateur!$BL$3:$BL$33)*VLOOKUP('Données projet'!$B$11,Paramètres!$A$1:$I$89,9,0)*B8)</f>
        <v>86.354722589167778</v>
      </c>
      <c r="K8" s="151">
        <f>J8*(100%-'Données projet'!$C$24)*(100%-'Données projet'!$C$25)*(100%-'Données projet'!$C$26)*(100%-'Données projet'!$C$27)</f>
        <v>73.833287813738451</v>
      </c>
      <c r="L8" s="152">
        <f t="shared" ca="1" si="2"/>
        <v>255.8271770513837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Pin taeda</v>
      </c>
      <c r="B9" s="154">
        <f>'Données projet'!D12</f>
        <v>1.0175033025099076</v>
      </c>
      <c r="C9" s="147">
        <f ca="1">IF(OR('Données projet'!B12="",'Données projet'!C12="",'Données projet'!C12=0%),0,Calculateur!CD3)</f>
        <v>199.27781323742636</v>
      </c>
      <c r="D9" s="147">
        <f>IF(OR('Données projet'!B12="",'Données projet'!C12="",'Données projet'!C12=0%),0,Calculateur!CE3)</f>
        <v>199.82499536063892</v>
      </c>
      <c r="E9" s="147">
        <f t="shared" ca="1" si="0"/>
        <v>199.27781323742636</v>
      </c>
      <c r="F9" s="147">
        <f t="shared" ca="1" si="1"/>
        <v>202.76583308603389</v>
      </c>
      <c r="G9" s="147">
        <f ca="1">F9*(100%-'Données projet'!$C$24)*(100%-'Données projet'!$C$25)*(100%-'Données projet'!$C$26)*(100%-'Données projet'!$C$27)</f>
        <v>173.36478728855897</v>
      </c>
      <c r="H9" s="155">
        <f>IF(OR('Données projet'!B12="",'Données projet'!C12="",'Données projet'!C12=0%),0,AVERAGE(Calculateur!$CN$3:$CN$33)*B9)</f>
        <v>10.092516890173954</v>
      </c>
      <c r="I9" s="149">
        <f>H9*(100%-'Données projet'!$C$24)*(100%-'Données projet'!$C$25)*(100%-'Données projet'!$C$26)*(100%-'Données projet'!$C$27)</f>
        <v>8.62910194109873</v>
      </c>
      <c r="J9" s="150">
        <f>IF(OR('Données projet'!B12="",'Données projet'!C12="",'Données projet'!C12=0%),0,SUM(Calculateur!$CG$3:$CG$33)*VLOOKUP('Données projet'!$B$12,Paramètres!$A$1:$I$89,9,0)*B9)</f>
        <v>62.9364927344782</v>
      </c>
      <c r="K9" s="151">
        <f>J9*(100%-'Données projet'!$C$24)*(100%-'Données projet'!$C$25)*(100%-'Données projet'!$C$26)*(100%-'Données projet'!$C$27)</f>
        <v>53.810701287978858</v>
      </c>
      <c r="L9" s="152">
        <f t="shared" ca="1" si="2"/>
        <v>235.80459051763654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Pin laricio</v>
      </c>
      <c r="B10" s="154">
        <f>'Données projet'!D13</f>
        <v>0.39134742404227213</v>
      </c>
      <c r="C10" s="147">
        <f ca="1">IF(OR('Données projet'!B13="",'Données projet'!C13="",'Données projet'!C13=0%),0,Calculateur!CY3)</f>
        <v>213.18424462765137</v>
      </c>
      <c r="D10" s="147">
        <f>IF(OR('Données projet'!B13="",'Données projet'!C13="",'Données projet'!C13=0%),0,Calculateur!CZ3)</f>
        <v>158.77848520346532</v>
      </c>
      <c r="E10" s="147">
        <f t="shared" ca="1" si="0"/>
        <v>158.77848520346532</v>
      </c>
      <c r="F10" s="147">
        <f t="shared" ca="1" si="1"/>
        <v>62.137551177710172</v>
      </c>
      <c r="G10" s="147">
        <f ca="1">F10*(100%-'Données projet'!$C$24)*(100%-'Données projet'!$C$25)*(100%-'Données projet'!$C$26)*(100%-'Données projet'!$C$27)</f>
        <v>53.127606256942194</v>
      </c>
      <c r="H10" s="155">
        <f>IF(OR('Données projet'!B13="",'Données projet'!C13="",'Données projet'!C13=0%),0,AVERAGE(Calculateur!$DI$3:$DI$33)*B10)</f>
        <v>2.3430084548290502</v>
      </c>
      <c r="I10" s="149">
        <f>H10*(100%-'Données projet'!$C$24)*(100%-'Données projet'!$C$25)*(100%-'Données projet'!$C$26)*(100%-'Données projet'!$C$27)</f>
        <v>2.003272228878838</v>
      </c>
      <c r="J10" s="150">
        <f>IF(OR('Données projet'!B13="",'Données projet'!C13="",'Données projet'!C13=0%),0,SUM(Calculateur!$DB$3:$DB$33)*VLOOKUP('Données projet'!$B$13,Paramètres!$A$1:$I$89,9,0)*B10)</f>
        <v>14.706324433492528</v>
      </c>
      <c r="K10" s="151">
        <f>J10*(100%-'Données projet'!$C$24)*(100%-'Données projet'!$C$25)*(100%-'Données projet'!$C$26)*(100%-'Données projet'!$C$27)</f>
        <v>12.57390739063611</v>
      </c>
      <c r="L10" s="152">
        <f t="shared" ca="1" si="2"/>
        <v>67.704785876457137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1929.7447285125581</v>
      </c>
      <c r="G16" s="166">
        <f t="shared" ca="1" si="3"/>
        <v>1649.9317428782374</v>
      </c>
      <c r="H16" s="167">
        <f t="shared" si="3"/>
        <v>46.738618508201938</v>
      </c>
      <c r="I16" s="167">
        <f t="shared" si="3"/>
        <v>39.961518824512652</v>
      </c>
      <c r="J16" s="168">
        <f t="shared" si="3"/>
        <v>315.01871539985768</v>
      </c>
      <c r="K16" s="168">
        <f t="shared" si="3"/>
        <v>269.34100166687836</v>
      </c>
      <c r="L16" s="169">
        <f t="shared" ca="1" si="3"/>
        <v>1959.2342633696283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75" t="s">
        <v>88</v>
      </c>
      <c r="G17" s="276"/>
      <c r="H17" s="276"/>
      <c r="I17" s="276"/>
      <c r="J17" s="276"/>
      <c r="K17" s="276"/>
      <c r="L17" s="27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Douglas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Pin taeda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Pin laricio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="70" zoomScaleNormal="70" workbookViewId="0">
      <selection activeCell="M8" sqref="M8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0" t="s">
        <v>89</v>
      </c>
      <c r="C1" s="281"/>
      <c r="D1" s="281"/>
      <c r="E1" s="281"/>
      <c r="F1" s="281"/>
      <c r="G1" s="281"/>
      <c r="H1" s="282"/>
      <c r="I1" s="277" t="str">
        <f>IF('Données projet'!$B$9="","",'Données projet'!$B$9)</f>
        <v>Cèdre de l'Atlas</v>
      </c>
      <c r="J1" s="278"/>
      <c r="K1" s="278"/>
      <c r="L1" s="278"/>
      <c r="M1" s="278"/>
      <c r="N1" s="278"/>
      <c r="O1" s="278"/>
      <c r="P1" s="278"/>
      <c r="Q1" s="278"/>
      <c r="R1" s="278"/>
      <c r="S1" s="278"/>
      <c r="T1" s="278"/>
      <c r="U1" s="278"/>
      <c r="V1" s="278"/>
      <c r="W1" s="278"/>
      <c r="X1" s="278"/>
      <c r="Y1" s="278"/>
      <c r="Z1" s="278"/>
      <c r="AA1" s="278"/>
      <c r="AB1" s="278"/>
      <c r="AC1" s="279"/>
      <c r="AD1" s="278" t="str">
        <f>IF('Données projet'!$B$10="","",'Données projet'!$B$10)</f>
        <v>Douglas</v>
      </c>
      <c r="AE1" s="278"/>
      <c r="AF1" s="278"/>
      <c r="AG1" s="278"/>
      <c r="AH1" s="278"/>
      <c r="AI1" s="278"/>
      <c r="AJ1" s="278"/>
      <c r="AK1" s="278"/>
      <c r="AL1" s="278"/>
      <c r="AM1" s="278"/>
      <c r="AN1" s="278"/>
      <c r="AO1" s="278"/>
      <c r="AP1" s="278"/>
      <c r="AQ1" s="278"/>
      <c r="AR1" s="278"/>
      <c r="AS1" s="278"/>
      <c r="AT1" s="278"/>
      <c r="AU1" s="278"/>
      <c r="AV1" s="278"/>
      <c r="AW1" s="278"/>
      <c r="AX1" s="279"/>
      <c r="AY1" s="277" t="str">
        <f>IF('Données projet'!$B$11="","",'Données projet'!$B$11)</f>
        <v>Pin maritime</v>
      </c>
      <c r="AZ1" s="278"/>
      <c r="BA1" s="278"/>
      <c r="BB1" s="278"/>
      <c r="BC1" s="278"/>
      <c r="BD1" s="278"/>
      <c r="BE1" s="278"/>
      <c r="BF1" s="278"/>
      <c r="BG1" s="278"/>
      <c r="BH1" s="278"/>
      <c r="BI1" s="278"/>
      <c r="BJ1" s="278"/>
      <c r="BK1" s="278"/>
      <c r="BL1" s="278"/>
      <c r="BM1" s="278"/>
      <c r="BN1" s="278"/>
      <c r="BO1" s="278"/>
      <c r="BP1" s="278"/>
      <c r="BQ1" s="278"/>
      <c r="BR1" s="278"/>
      <c r="BS1" s="279"/>
      <c r="BT1" s="277" t="str">
        <f>IF('Données projet'!$B$12="","",'Données projet'!$B$12)</f>
        <v>Pin taeda</v>
      </c>
      <c r="BU1" s="278"/>
      <c r="BV1" s="278"/>
      <c r="BW1" s="278"/>
      <c r="BX1" s="278"/>
      <c r="BY1" s="278"/>
      <c r="BZ1" s="278"/>
      <c r="CA1" s="278"/>
      <c r="CB1" s="278"/>
      <c r="CC1" s="278"/>
      <c r="CD1" s="278"/>
      <c r="CE1" s="278"/>
      <c r="CF1" s="278"/>
      <c r="CG1" s="278"/>
      <c r="CH1" s="278"/>
      <c r="CI1" s="278"/>
      <c r="CJ1" s="278"/>
      <c r="CK1" s="278"/>
      <c r="CL1" s="278"/>
      <c r="CM1" s="278"/>
      <c r="CN1" s="279"/>
      <c r="CO1" s="277" t="str">
        <f>IF('Données projet'!$B$13="","",'Données projet'!$B$13)</f>
        <v>Pin laricio</v>
      </c>
      <c r="CP1" s="278"/>
      <c r="CQ1" s="278"/>
      <c r="CR1" s="278"/>
      <c r="CS1" s="278"/>
      <c r="CT1" s="278"/>
      <c r="CU1" s="278"/>
      <c r="CV1" s="278"/>
      <c r="CW1" s="278"/>
      <c r="CX1" s="278"/>
      <c r="CY1" s="278"/>
      <c r="CZ1" s="278"/>
      <c r="DA1" s="278"/>
      <c r="DB1" s="278"/>
      <c r="DC1" s="278"/>
      <c r="DD1" s="278"/>
      <c r="DE1" s="278"/>
      <c r="DF1" s="278"/>
      <c r="DG1" s="278"/>
      <c r="DH1" s="278"/>
      <c r="DI1" s="279"/>
      <c r="DJ1" s="277" t="str">
        <f>IF('Données projet'!$B$14="","",'Données projet'!$B$14)</f>
        <v/>
      </c>
      <c r="DK1" s="278"/>
      <c r="DL1" s="278"/>
      <c r="DM1" s="278"/>
      <c r="DN1" s="278"/>
      <c r="DO1" s="278"/>
      <c r="DP1" s="278"/>
      <c r="DQ1" s="278"/>
      <c r="DR1" s="278"/>
      <c r="DS1" s="278"/>
      <c r="DT1" s="278"/>
      <c r="DU1" s="278"/>
      <c r="DV1" s="278"/>
      <c r="DW1" s="278"/>
      <c r="DX1" s="278"/>
      <c r="DY1" s="278"/>
      <c r="DZ1" s="278"/>
      <c r="EA1" s="278"/>
      <c r="EB1" s="278"/>
      <c r="EC1" s="278"/>
      <c r="ED1" s="279"/>
      <c r="EE1" s="277" t="str">
        <f>IF('Données projet'!$B$15="","",'Données projet'!$B$15)</f>
        <v/>
      </c>
      <c r="EF1" s="278"/>
      <c r="EG1" s="278"/>
      <c r="EH1" s="278"/>
      <c r="EI1" s="278"/>
      <c r="EJ1" s="278"/>
      <c r="EK1" s="278"/>
      <c r="EL1" s="278"/>
      <c r="EM1" s="278"/>
      <c r="EN1" s="278"/>
      <c r="EO1" s="278"/>
      <c r="EP1" s="278"/>
      <c r="EQ1" s="278"/>
      <c r="ER1" s="278"/>
      <c r="ES1" s="278"/>
      <c r="ET1" s="278"/>
      <c r="EU1" s="278"/>
      <c r="EV1" s="278"/>
      <c r="EW1" s="278"/>
      <c r="EX1" s="278"/>
      <c r="EY1" s="279"/>
      <c r="EZ1" s="277" t="str">
        <f>IF('Données projet'!$B$16="","",'Données projet'!$B$16)</f>
        <v/>
      </c>
      <c r="FA1" s="278"/>
      <c r="FB1" s="278"/>
      <c r="FC1" s="278"/>
      <c r="FD1" s="278"/>
      <c r="FE1" s="278"/>
      <c r="FF1" s="278"/>
      <c r="FG1" s="278"/>
      <c r="FH1" s="278"/>
      <c r="FI1" s="278"/>
      <c r="FJ1" s="278"/>
      <c r="FK1" s="278"/>
      <c r="FL1" s="278"/>
      <c r="FM1" s="278"/>
      <c r="FN1" s="278"/>
      <c r="FO1" s="278"/>
      <c r="FP1" s="278"/>
      <c r="FQ1" s="278"/>
      <c r="FR1" s="278"/>
      <c r="FS1" s="278"/>
      <c r="FT1" s="279"/>
      <c r="FU1" s="277" t="str">
        <f>IF('Données projet'!$B$17="","",'Données projet'!$B$17)</f>
        <v/>
      </c>
      <c r="FV1" s="278"/>
      <c r="FW1" s="278"/>
      <c r="FX1" s="278"/>
      <c r="FY1" s="278"/>
      <c r="FZ1" s="278"/>
      <c r="GA1" s="278"/>
      <c r="GB1" s="278"/>
      <c r="GC1" s="278"/>
      <c r="GD1" s="278"/>
      <c r="GE1" s="278"/>
      <c r="GF1" s="278"/>
      <c r="GG1" s="278"/>
      <c r="GH1" s="278"/>
      <c r="GI1" s="278"/>
      <c r="GJ1" s="278"/>
      <c r="GK1" s="278"/>
      <c r="GL1" s="278"/>
      <c r="GM1" s="278"/>
      <c r="GN1" s="278"/>
      <c r="GO1" s="279"/>
      <c r="GP1" s="277" t="str">
        <f>IF('Données projet'!$B$18="","",'Données projet'!$B$18)</f>
        <v/>
      </c>
      <c r="GQ1" s="278"/>
      <c r="GR1" s="278"/>
      <c r="GS1" s="278"/>
      <c r="GT1" s="278"/>
      <c r="GU1" s="278"/>
      <c r="GV1" s="278"/>
      <c r="GW1" s="278"/>
      <c r="GX1" s="278"/>
      <c r="GY1" s="278"/>
      <c r="GZ1" s="278"/>
      <c r="HA1" s="278"/>
      <c r="HB1" s="278"/>
      <c r="HC1" s="278"/>
      <c r="HD1" s="278"/>
      <c r="HE1" s="278"/>
      <c r="HF1" s="278"/>
      <c r="HG1" s="278"/>
      <c r="HH1" s="278"/>
      <c r="HI1" s="278"/>
      <c r="HJ1" s="279"/>
    </row>
    <row r="2" spans="1:218" ht="58.5" thickBot="1" x14ac:dyDescent="0.4">
      <c r="A2" s="71" t="s">
        <v>90</v>
      </c>
      <c r="B2" s="72" t="s">
        <v>91</v>
      </c>
      <c r="C2" s="5" t="s">
        <v>92</v>
      </c>
      <c r="D2" s="5" t="s">
        <v>93</v>
      </c>
      <c r="E2" s="5" t="s">
        <v>94</v>
      </c>
      <c r="F2" s="5" t="s">
        <v>95</v>
      </c>
      <c r="G2" s="5" t="s">
        <v>96</v>
      </c>
      <c r="H2" s="66" t="s">
        <v>97</v>
      </c>
      <c r="I2" s="68" t="s">
        <v>94</v>
      </c>
      <c r="J2" s="69" t="s">
        <v>95</v>
      </c>
      <c r="K2" s="6" t="s">
        <v>98</v>
      </c>
      <c r="L2" s="6" t="s">
        <v>99</v>
      </c>
      <c r="M2" s="6" t="s">
        <v>99</v>
      </c>
      <c r="N2" s="6" t="s">
        <v>100</v>
      </c>
      <c r="O2" s="6" t="s">
        <v>101</v>
      </c>
      <c r="P2" s="6" t="s">
        <v>102</v>
      </c>
      <c r="Q2" s="6" t="s">
        <v>96</v>
      </c>
      <c r="R2" s="6" t="s">
        <v>103</v>
      </c>
      <c r="S2" s="6" t="s">
        <v>104</v>
      </c>
      <c r="T2" s="6" t="s">
        <v>105</v>
      </c>
      <c r="U2" s="7" t="s">
        <v>106</v>
      </c>
      <c r="V2" s="8" t="s">
        <v>107</v>
      </c>
      <c r="W2" s="7" t="s">
        <v>53</v>
      </c>
      <c r="X2" s="7" t="s">
        <v>54</v>
      </c>
      <c r="Y2" s="7" t="s">
        <v>108</v>
      </c>
      <c r="Z2" s="8" t="s">
        <v>109</v>
      </c>
      <c r="AA2" s="8" t="s">
        <v>110</v>
      </c>
      <c r="AB2" s="8" t="s">
        <v>111</v>
      </c>
      <c r="AC2" s="9" t="s">
        <v>112</v>
      </c>
      <c r="AD2" s="69" t="s">
        <v>94</v>
      </c>
      <c r="AE2" s="69" t="s">
        <v>95</v>
      </c>
      <c r="AF2" s="6" t="s">
        <v>98</v>
      </c>
      <c r="AG2" s="6" t="s">
        <v>99</v>
      </c>
      <c r="AH2" s="6" t="s">
        <v>99</v>
      </c>
      <c r="AI2" s="6" t="s">
        <v>100</v>
      </c>
      <c r="AJ2" s="6" t="s">
        <v>101</v>
      </c>
      <c r="AK2" s="6" t="s">
        <v>102</v>
      </c>
      <c r="AL2" s="6" t="s">
        <v>96</v>
      </c>
      <c r="AM2" s="6" t="s">
        <v>103</v>
      </c>
      <c r="AN2" s="6" t="s">
        <v>104</v>
      </c>
      <c r="AO2" s="6" t="s">
        <v>105</v>
      </c>
      <c r="AP2" s="7" t="s">
        <v>106</v>
      </c>
      <c r="AQ2" s="8" t="s">
        <v>107</v>
      </c>
      <c r="AR2" s="7" t="s">
        <v>53</v>
      </c>
      <c r="AS2" s="7" t="s">
        <v>54</v>
      </c>
      <c r="AT2" s="8" t="s">
        <v>113</v>
      </c>
      <c r="AU2" s="8" t="s">
        <v>109</v>
      </c>
      <c r="AV2" s="8" t="s">
        <v>110</v>
      </c>
      <c r="AW2" s="8" t="s">
        <v>111</v>
      </c>
      <c r="AX2" s="8" t="s">
        <v>112</v>
      </c>
      <c r="AY2" s="68" t="s">
        <v>94</v>
      </c>
      <c r="AZ2" s="69" t="s">
        <v>95</v>
      </c>
      <c r="BA2" s="6" t="s">
        <v>98</v>
      </c>
      <c r="BB2" s="6" t="s">
        <v>99</v>
      </c>
      <c r="BC2" s="6" t="s">
        <v>99</v>
      </c>
      <c r="BD2" s="6" t="s">
        <v>100</v>
      </c>
      <c r="BE2" s="6" t="s">
        <v>101</v>
      </c>
      <c r="BF2" s="6" t="s">
        <v>102</v>
      </c>
      <c r="BG2" s="6" t="s">
        <v>96</v>
      </c>
      <c r="BH2" s="6" t="s">
        <v>103</v>
      </c>
      <c r="BI2" s="6" t="s">
        <v>104</v>
      </c>
      <c r="BJ2" s="6" t="s">
        <v>105</v>
      </c>
      <c r="BK2" s="7" t="s">
        <v>106</v>
      </c>
      <c r="BL2" s="8" t="s">
        <v>107</v>
      </c>
      <c r="BM2" s="7" t="s">
        <v>53</v>
      </c>
      <c r="BN2" s="7" t="s">
        <v>54</v>
      </c>
      <c r="BO2" s="8" t="s">
        <v>113</v>
      </c>
      <c r="BP2" s="8" t="s">
        <v>109</v>
      </c>
      <c r="BQ2" s="8" t="s">
        <v>110</v>
      </c>
      <c r="BR2" s="8" t="s">
        <v>111</v>
      </c>
      <c r="BS2" s="9" t="s">
        <v>112</v>
      </c>
      <c r="BT2" s="68" t="s">
        <v>94</v>
      </c>
      <c r="BU2" s="69" t="s">
        <v>95</v>
      </c>
      <c r="BV2" s="6" t="s">
        <v>98</v>
      </c>
      <c r="BW2" s="6" t="s">
        <v>99</v>
      </c>
      <c r="BX2" s="6" t="s">
        <v>99</v>
      </c>
      <c r="BY2" s="6" t="s">
        <v>100</v>
      </c>
      <c r="BZ2" s="6" t="s">
        <v>101</v>
      </c>
      <c r="CA2" s="6" t="s">
        <v>102</v>
      </c>
      <c r="CB2" s="6" t="s">
        <v>96</v>
      </c>
      <c r="CC2" s="6" t="s">
        <v>103</v>
      </c>
      <c r="CD2" s="6" t="s">
        <v>104</v>
      </c>
      <c r="CE2" s="6" t="s">
        <v>105</v>
      </c>
      <c r="CF2" s="7" t="s">
        <v>106</v>
      </c>
      <c r="CG2" s="8" t="s">
        <v>107</v>
      </c>
      <c r="CH2" s="7" t="s">
        <v>53</v>
      </c>
      <c r="CI2" s="7" t="s">
        <v>54</v>
      </c>
      <c r="CJ2" s="8" t="s">
        <v>113</v>
      </c>
      <c r="CK2" s="8" t="s">
        <v>109</v>
      </c>
      <c r="CL2" s="8" t="s">
        <v>110</v>
      </c>
      <c r="CM2" s="8" t="s">
        <v>111</v>
      </c>
      <c r="CN2" s="9" t="s">
        <v>112</v>
      </c>
      <c r="CO2" s="68" t="s">
        <v>94</v>
      </c>
      <c r="CP2" s="69" t="s">
        <v>95</v>
      </c>
      <c r="CQ2" s="6" t="s">
        <v>98</v>
      </c>
      <c r="CR2" s="6" t="s">
        <v>99</v>
      </c>
      <c r="CS2" s="6" t="s">
        <v>99</v>
      </c>
      <c r="CT2" s="6" t="s">
        <v>100</v>
      </c>
      <c r="CU2" s="6" t="s">
        <v>101</v>
      </c>
      <c r="CV2" s="6" t="s">
        <v>102</v>
      </c>
      <c r="CW2" s="6" t="s">
        <v>96</v>
      </c>
      <c r="CX2" s="6" t="s">
        <v>103</v>
      </c>
      <c r="CY2" s="6" t="s">
        <v>104</v>
      </c>
      <c r="CZ2" s="6" t="s">
        <v>105</v>
      </c>
      <c r="DA2" s="7" t="s">
        <v>106</v>
      </c>
      <c r="DB2" s="8" t="s">
        <v>107</v>
      </c>
      <c r="DC2" s="7" t="s">
        <v>53</v>
      </c>
      <c r="DD2" s="7" t="s">
        <v>54</v>
      </c>
      <c r="DE2" s="8" t="s">
        <v>113</v>
      </c>
      <c r="DF2" s="8" t="s">
        <v>109</v>
      </c>
      <c r="DG2" s="8" t="s">
        <v>110</v>
      </c>
      <c r="DH2" s="8" t="s">
        <v>111</v>
      </c>
      <c r="DI2" s="9" t="s">
        <v>112</v>
      </c>
      <c r="DJ2" s="68" t="s">
        <v>94</v>
      </c>
      <c r="DK2" s="69" t="s">
        <v>95</v>
      </c>
      <c r="DL2" s="6" t="s">
        <v>98</v>
      </c>
      <c r="DM2" s="6" t="s">
        <v>99</v>
      </c>
      <c r="DN2" s="6" t="s">
        <v>99</v>
      </c>
      <c r="DO2" s="6" t="s">
        <v>100</v>
      </c>
      <c r="DP2" s="6" t="s">
        <v>101</v>
      </c>
      <c r="DQ2" s="6" t="s">
        <v>102</v>
      </c>
      <c r="DR2" s="6" t="s">
        <v>96</v>
      </c>
      <c r="DS2" s="6" t="s">
        <v>103</v>
      </c>
      <c r="DT2" s="6" t="s">
        <v>104</v>
      </c>
      <c r="DU2" s="6" t="s">
        <v>105</v>
      </c>
      <c r="DV2" s="7" t="s">
        <v>106</v>
      </c>
      <c r="DW2" s="8" t="s">
        <v>107</v>
      </c>
      <c r="DX2" s="7" t="s">
        <v>53</v>
      </c>
      <c r="DY2" s="7" t="s">
        <v>54</v>
      </c>
      <c r="DZ2" s="8" t="s">
        <v>113</v>
      </c>
      <c r="EA2" s="8" t="s">
        <v>109</v>
      </c>
      <c r="EB2" s="8" t="s">
        <v>110</v>
      </c>
      <c r="EC2" s="8" t="s">
        <v>111</v>
      </c>
      <c r="ED2" s="9" t="s">
        <v>112</v>
      </c>
      <c r="EE2" s="68" t="s">
        <v>94</v>
      </c>
      <c r="EF2" s="69" t="s">
        <v>95</v>
      </c>
      <c r="EG2" s="6" t="s">
        <v>98</v>
      </c>
      <c r="EH2" s="6" t="s">
        <v>99</v>
      </c>
      <c r="EI2" s="6" t="s">
        <v>99</v>
      </c>
      <c r="EJ2" s="6" t="s">
        <v>100</v>
      </c>
      <c r="EK2" s="6" t="s">
        <v>101</v>
      </c>
      <c r="EL2" s="6" t="s">
        <v>102</v>
      </c>
      <c r="EM2" s="6" t="s">
        <v>96</v>
      </c>
      <c r="EN2" s="6" t="s">
        <v>103</v>
      </c>
      <c r="EO2" s="6" t="s">
        <v>104</v>
      </c>
      <c r="EP2" s="6" t="s">
        <v>105</v>
      </c>
      <c r="EQ2" s="7" t="s">
        <v>106</v>
      </c>
      <c r="ER2" s="8" t="s">
        <v>107</v>
      </c>
      <c r="ES2" s="7" t="s">
        <v>53</v>
      </c>
      <c r="ET2" s="7" t="s">
        <v>54</v>
      </c>
      <c r="EU2" s="8" t="s">
        <v>113</v>
      </c>
      <c r="EV2" s="8" t="s">
        <v>109</v>
      </c>
      <c r="EW2" s="8" t="s">
        <v>110</v>
      </c>
      <c r="EX2" s="8" t="s">
        <v>111</v>
      </c>
      <c r="EY2" s="9" t="s">
        <v>112</v>
      </c>
      <c r="EZ2" s="68" t="s">
        <v>94</v>
      </c>
      <c r="FA2" s="69" t="s">
        <v>95</v>
      </c>
      <c r="FB2" s="6" t="s">
        <v>98</v>
      </c>
      <c r="FC2" s="6" t="s">
        <v>99</v>
      </c>
      <c r="FD2" s="6" t="s">
        <v>99</v>
      </c>
      <c r="FE2" s="6" t="s">
        <v>100</v>
      </c>
      <c r="FF2" s="6" t="s">
        <v>101</v>
      </c>
      <c r="FG2" s="6" t="s">
        <v>102</v>
      </c>
      <c r="FH2" s="6" t="s">
        <v>96</v>
      </c>
      <c r="FI2" s="6" t="s">
        <v>103</v>
      </c>
      <c r="FJ2" s="6" t="s">
        <v>104</v>
      </c>
      <c r="FK2" s="6" t="s">
        <v>105</v>
      </c>
      <c r="FL2" s="7" t="s">
        <v>106</v>
      </c>
      <c r="FM2" s="8" t="s">
        <v>107</v>
      </c>
      <c r="FN2" s="7" t="s">
        <v>53</v>
      </c>
      <c r="FO2" s="7" t="s">
        <v>54</v>
      </c>
      <c r="FP2" s="8" t="s">
        <v>114</v>
      </c>
      <c r="FQ2" s="8" t="s">
        <v>109</v>
      </c>
      <c r="FR2" s="8" t="s">
        <v>110</v>
      </c>
      <c r="FS2" s="8" t="s">
        <v>111</v>
      </c>
      <c r="FT2" s="9" t="s">
        <v>112</v>
      </c>
      <c r="FU2" s="68" t="s">
        <v>94</v>
      </c>
      <c r="FV2" s="69" t="s">
        <v>95</v>
      </c>
      <c r="FW2" s="6" t="s">
        <v>98</v>
      </c>
      <c r="FX2" s="6" t="s">
        <v>99</v>
      </c>
      <c r="FY2" s="6" t="s">
        <v>99</v>
      </c>
      <c r="FZ2" s="6" t="s">
        <v>100</v>
      </c>
      <c r="GA2" s="6" t="s">
        <v>101</v>
      </c>
      <c r="GB2" s="6" t="s">
        <v>102</v>
      </c>
      <c r="GC2" s="6" t="s">
        <v>96</v>
      </c>
      <c r="GD2" s="6" t="s">
        <v>103</v>
      </c>
      <c r="GE2" s="6" t="s">
        <v>104</v>
      </c>
      <c r="GF2" s="6" t="s">
        <v>105</v>
      </c>
      <c r="GG2" s="7" t="s">
        <v>106</v>
      </c>
      <c r="GH2" s="8" t="s">
        <v>107</v>
      </c>
      <c r="GI2" s="7" t="s">
        <v>53</v>
      </c>
      <c r="GJ2" s="7" t="s">
        <v>54</v>
      </c>
      <c r="GK2" s="8" t="s">
        <v>113</v>
      </c>
      <c r="GL2" s="8" t="s">
        <v>109</v>
      </c>
      <c r="GM2" s="8" t="s">
        <v>110</v>
      </c>
      <c r="GN2" s="8" t="s">
        <v>111</v>
      </c>
      <c r="GO2" s="8" t="s">
        <v>112</v>
      </c>
      <c r="GP2" s="68" t="s">
        <v>94</v>
      </c>
      <c r="GQ2" s="69" t="s">
        <v>95</v>
      </c>
      <c r="GR2" s="6" t="s">
        <v>98</v>
      </c>
      <c r="GS2" s="6" t="s">
        <v>99</v>
      </c>
      <c r="GT2" s="6" t="s">
        <v>99</v>
      </c>
      <c r="GU2" s="6" t="s">
        <v>100</v>
      </c>
      <c r="GV2" s="6" t="s">
        <v>101</v>
      </c>
      <c r="GW2" s="6" t="s">
        <v>102</v>
      </c>
      <c r="GX2" s="6" t="s">
        <v>96</v>
      </c>
      <c r="GY2" s="6" t="s">
        <v>103</v>
      </c>
      <c r="GZ2" s="6" t="s">
        <v>104</v>
      </c>
      <c r="HA2" s="6" t="s">
        <v>105</v>
      </c>
      <c r="HB2" s="7" t="s">
        <v>106</v>
      </c>
      <c r="HC2" s="8" t="s">
        <v>107</v>
      </c>
      <c r="HD2" s="7" t="s">
        <v>53</v>
      </c>
      <c r="HE2" s="7" t="s">
        <v>54</v>
      </c>
      <c r="HF2" s="8" t="s">
        <v>113</v>
      </c>
      <c r="HG2" s="8" t="s">
        <v>109</v>
      </c>
      <c r="HH2" s="8" t="s">
        <v>110</v>
      </c>
      <c r="HI2" s="8" t="s">
        <v>111</v>
      </c>
      <c r="HJ2" s="9" t="s">
        <v>112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181.79645720099597</v>
      </c>
      <c r="T3" s="59">
        <f>IF('Données projet'!E9&gt;30,$R$33-$H$33,LOOKUP('Données projet'!$E$9,$A$3:$A$203,R3:R203)-LOOKUP('Données projet'!$E$9,$A$3:$A$203,$H$3:$H$203))</f>
        <v>120.20040029102233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253.62342381933348</v>
      </c>
      <c r="AO3" s="59">
        <f>IF('Données projet'!E10&gt;30,$AM$33-$H$33,LOOKUP('Données projet'!$E$10,$A$3:$A$203,AM3:AM203)-LOOKUP('Données projet'!$E$10,$A$3:$A$203,$H$3:$H$203))</f>
        <v>230.93438491775407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199.27781324660782</v>
      </c>
      <c r="BJ3" s="59">
        <f>IF('Données projet'!E11&gt;30,$BH$33-$H$33,LOOKUP('Données projet'!$E$11,$A$3:$A$203,BH3:BH203)-LOOKUP('Données projet'!$E$11,$A$3:$A$203,$H$3:$H$203))</f>
        <v>199.82499536488524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199.27781323742636</v>
      </c>
      <c r="CE3" s="59">
        <f>IF('Données projet'!E12&gt;30,$CC$33-$H$33,LOOKUP('Données projet'!$E$12,$A$3:$A$203,CC3:CC203)-LOOKUP('Données projet'!$E$12,$A$3:$A$203,$H$3:$H$203))</f>
        <v>199.82499536063892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213.18424462765137</v>
      </c>
      <c r="CZ3" s="59">
        <f>IF('Données projet'!E13&gt;30,$CX$33-$H$33,LOOKUP('Données projet'!$E$13,$A$3:$A$203,CX3:CX203)-LOOKUP('Données projet'!$E$13,$A$3:$A$203,$H$3:$H$203))</f>
        <v>158.77848520346532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4.9084615384615384</v>
      </c>
      <c r="N4" s="13">
        <f>IF('Données projet'!$A$36&gt;35,N3+M4-V3,IF(A4&lt;'Données projet'!$A$36,$K$205^A4,IF(A4='Données projet'!$A$36,'Données projet'!$B$36,N3+M4-V3)))</f>
        <v>1.1810516433311786</v>
      </c>
      <c r="O4" s="13">
        <f>N4*VLOOKUP('Données projet'!$B$9,Paramètres!$A$1:$I$89,3,0)*VLOOKUP('Données projet'!$B$9,Paramètres!$A$1:$I$89,5,0)</f>
        <v>0.55273216907899159</v>
      </c>
      <c r="P4" s="13">
        <f>EXP(-1.0587+0.8836*LN(O4)+0.284)</f>
        <v>0.27292171413945432</v>
      </c>
      <c r="Q4" s="20">
        <f t="shared" ref="Q4:Q34" si="2">(O4+P4)*0.475*44/12</f>
        <v>1.4380138466054599</v>
      </c>
      <c r="R4" s="59">
        <f t="shared" si="0"/>
        <v>294.7713471799388</v>
      </c>
      <c r="S4" s="59">
        <f ca="1">AVERAGE(OFFSET($R$3,0,0,'Données projet'!$E$9+1,1))-AVERAGE(OFFSET($H$3,0,0,'Données projet'!$E$9+1,1))</f>
        <v>181.79645720099597</v>
      </c>
      <c r="T4" s="59">
        <f>$T$3</f>
        <v>120.20040029102233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8.5743589743589741</v>
      </c>
      <c r="AI4" s="13">
        <f>IF('Données projet'!$A$62&gt;35,AI3+AH4-AQ3,IF(A4&lt;'Données projet'!$A$62,$AF$205^A4,IF(A4='Données projet'!$A$62,'Données projet'!$B$62,AI3+AH4-AQ3)))</f>
        <v>1.2805631431945952</v>
      </c>
      <c r="AJ4" s="13">
        <f>AI4*VLOOKUP('Données projet'!$B$10,Paramètres!$A$1:$I$89,3,0)*VLOOKUP('Données projet'!$B$10,Paramètres!$A$1:$I$89,5,0)</f>
        <v>0.71583479704577868</v>
      </c>
      <c r="AK4" s="13">
        <f>EXP(-1.0587+0.8836*LN(AJ4)+0.284)</f>
        <v>0.34297673370795467</v>
      </c>
      <c r="AL4" s="20">
        <f t="shared" ref="AL4:AL67" si="4">(AJ4+AK4)*0.475*44/12</f>
        <v>1.8440967493960854</v>
      </c>
      <c r="AM4" s="59">
        <f t="shared" ref="AM4:AM67" si="5">AL4+(AD4+AE4)*44/12</f>
        <v>295.17743008272942</v>
      </c>
      <c r="AN4" s="59">
        <f ca="1">AVERAGE(OFFSET($AM$3,0,0,'Données projet'!$E$10+1,1))-AVERAGE(OFFSET($H$3,0,0,'Données projet'!$E$10+1,1))</f>
        <v>253.62342381933348</v>
      </c>
      <c r="AO4" s="59">
        <f>$AO$3</f>
        <v>230.93438491775407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7.4312217194570129</v>
      </c>
      <c r="BD4" s="12">
        <f>IF('Données projet'!$A$88&gt;35,BD3+BC4-BL3,IF(A4&lt;'Données projet'!$A$88,$BA$205^A4,IF(A4='Données projet'!$A$88,'Données projet'!$B$88,BD3+BC4-BL3)))</f>
        <v>1.3292852468636394</v>
      </c>
      <c r="BE4" s="13">
        <f>BD4*VLOOKUP('Données projet'!$B$11,Paramètres!$A$1:$I$89,3,0)*VLOOKUP('Données projet'!$B$11,Paramètres!$A$1:$I$89,5,0)</f>
        <v>0.79491257762445644</v>
      </c>
      <c r="BF4" s="13">
        <f>EXP(-1.0587+0.8836*LN(BE4)+0.284)</f>
        <v>0.37624805113513943</v>
      </c>
      <c r="BG4" s="20">
        <f t="shared" ref="BG4:BG67" si="7">(BE4+BF4)*0.475*44/12</f>
        <v>2.0397714284229629</v>
      </c>
      <c r="BH4" s="59">
        <f t="shared" ref="BH4:BH67" si="8">BG4+(AY4+AZ4)*44/12</f>
        <v>295.37310476175628</v>
      </c>
      <c r="BI4" s="59">
        <f ca="1">AVERAGE(OFFSET($BH$3,0,0,'Données projet'!$E$11+1,1))-AVERAGE(OFFSET($H$3,0,0,'Données projet'!$E$11+1,1))</f>
        <v>199.27781324660782</v>
      </c>
      <c r="BJ4" s="59">
        <f>$BJ$3</f>
        <v>199.82499536488524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7.4312217194570129</v>
      </c>
      <c r="BY4" s="12">
        <f>IF('Données projet'!$A$114&gt;35,BY3+BX4-CG3,IF(A4&lt;'Données projet'!$A$114,$BV$205^A4,IF(A4='Données projet'!$A$114,'Données projet'!$B$114,BY3+BX4-CG3)))</f>
        <v>1.3292852468636394</v>
      </c>
      <c r="BZ4" s="13">
        <f>BY4*VLOOKUP('Données projet'!$B$12,Paramètres!$A$1:$I$89,3,0)*VLOOKUP('Données projet'!$B$12,Paramètres!$A$1:$I$89,5,0)</f>
        <v>0.79491257762445644</v>
      </c>
      <c r="CA4" s="13">
        <f>EXP(-1.0587+0.8836*LN(BZ4)+0.284)</f>
        <v>0.37624805113513943</v>
      </c>
      <c r="CB4" s="20">
        <f t="shared" ref="CB4:CB67" si="10">(BZ4+CA4)*0.475*44/12</f>
        <v>2.0397714284229629</v>
      </c>
      <c r="CC4" s="59">
        <f t="shared" ref="CC4:CC67" si="11">CB4+(BT4+BU4)*44/12</f>
        <v>295.37310476175628</v>
      </c>
      <c r="CD4" s="59">
        <f ca="1">AVERAGE(OFFSET($CC$3,0,0,'Données projet'!$E$12+1,1))-AVERAGE(OFFSET($H$3,0,0,'Données projet'!$E$12+1,1))</f>
        <v>199.27781323742636</v>
      </c>
      <c r="CE4" s="59">
        <f>$CE$3</f>
        <v>199.82499536063892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5.9083916083916082</v>
      </c>
      <c r="CT4" s="12">
        <f>IF('Données projet'!$A$140&gt;35,CT3+CS4-DB3,IF(A4&lt;'Données projet'!$A$140,$CQ$205^A4,IF(A4='Données projet'!$A$140,'Données projet'!$B$140,CT3+CS4-DB3)))</f>
        <v>1.2476305424001204</v>
      </c>
      <c r="CU4" s="17">
        <f>CT4*VLOOKUP('Données projet'!$B$13,Paramètres!$A$1:$I$89,3,0)*VLOOKUP('Données projet'!$B$13,Paramètres!$A$1:$I$89,5,0)</f>
        <v>0.74608306435527205</v>
      </c>
      <c r="CV4" s="13">
        <f>EXP(-1.0587+0.8836*LN(CU4)+0.284)</f>
        <v>0.35575156458325191</v>
      </c>
      <c r="CW4" s="20">
        <f t="shared" ref="CW4:CW67" si="13">(CU4+CV4)*0.475*44/12</f>
        <v>1.9190286454012624</v>
      </c>
      <c r="CX4" s="59">
        <f t="shared" ref="CX4:CX67" si="14">CW4+(CO4+CP4)*44/12</f>
        <v>295.2523619787346</v>
      </c>
      <c r="CY4" s="59">
        <f ca="1">AVERAGE(OFFSET($CX$3,0,0,'Données projet'!$E$13+1,1))-AVERAGE(OFFSET($H$3,0,0,'Données projet'!$E$13+1,1))</f>
        <v>213.18424462765137</v>
      </c>
      <c r="CZ4" s="59">
        <f>$CZ$3</f>
        <v>158.77848520346532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4.9084615384615384</v>
      </c>
      <c r="N5" s="13">
        <f>IF('Données projet'!$A$36&gt;35,N4+M5-V4,IF(A5&lt;'Données projet'!$A$36,$K$205^A5,IF(A5='Données projet'!$A$36,'Données projet'!$B$36,N4+M5-V4)))</f>
        <v>1.3948829842152777</v>
      </c>
      <c r="O5" s="13">
        <f>N5*VLOOKUP('Données projet'!$B$9,Paramètres!$A$1:$I$89,3,0)*VLOOKUP('Données projet'!$B$9,Paramètres!$A$1:$I$89,5,0)</f>
        <v>0.65280523661274992</v>
      </c>
      <c r="P5" s="13">
        <f t="shared" ref="P5:P68" si="33">EXP(-1.0587+0.8836*LN(O5)+0.284)</f>
        <v>0.31615123301372139</v>
      </c>
      <c r="Q5" s="20">
        <f t="shared" si="2"/>
        <v>1.6875991845994376</v>
      </c>
      <c r="R5" s="59">
        <f t="shared" si="0"/>
        <v>295.02093251793275</v>
      </c>
      <c r="S5" s="59">
        <f ca="1">AVERAGE(OFFSET($R$3,0,0,'Données projet'!$E$9+1,1))-AVERAGE(OFFSET($H$3,0,0,'Données projet'!$E$9+1,1))</f>
        <v>181.79645720099597</v>
      </c>
      <c r="T5" s="59">
        <f t="shared" ref="T5:T68" si="34">$T$3</f>
        <v>120.20040029102233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8.5743589743589741</v>
      </c>
      <c r="AI5" s="13">
        <f>IF('Données projet'!$A$62&gt;35,AI4+AH5-AQ4,IF(A5&lt;'Données projet'!$A$62,$AF$205^A5,IF(A5='Données projet'!$A$62,'Données projet'!$B$62,AI4+AH5-AQ4)))</f>
        <v>1.6398419637084214</v>
      </c>
      <c r="AJ5" s="13">
        <f>AI5*VLOOKUP('Données projet'!$B$10,Paramètres!$A$1:$I$89,3,0)*VLOOKUP('Données projet'!$B$10,Paramètres!$A$1:$I$89,5,0)</f>
        <v>0.91667165771300751</v>
      </c>
      <c r="AK5" s="13">
        <f t="shared" ref="AK5:AK68" si="35">EXP(-1.0587+0.8836*LN(AJ5)+0.284)</f>
        <v>0.42674081455780177</v>
      </c>
      <c r="AL5" s="20">
        <f t="shared" si="4"/>
        <v>2.3397767225383261</v>
      </c>
      <c r="AM5" s="59">
        <f t="shared" si="5"/>
        <v>295.67311005587163</v>
      </c>
      <c r="AN5" s="59">
        <f ca="1">AVERAGE(OFFSET($AM$3,0,0,'Données projet'!$E$10+1,1))-AVERAGE(OFFSET($H$3,0,0,'Données projet'!$E$10+1,1))</f>
        <v>253.62342381933348</v>
      </c>
      <c r="AO5" s="59">
        <f t="shared" ref="AO5:AO68" si="36">$AO$3</f>
        <v>230.93438491775407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7.4312217194570129</v>
      </c>
      <c r="BD5" s="12">
        <f>IF('Données projet'!$A$88&gt;35,BD4+BC5-BL4,IF(A5&lt;'Données projet'!$A$88,$BA$205^A5,IF(A5='Données projet'!$A$88,'Données projet'!$B$88,BD4+BC5-BL4)))</f>
        <v>1.7669992675293267</v>
      </c>
      <c r="BE5" s="13">
        <f>BD5*VLOOKUP('Données projet'!$B$11,Paramètres!$A$1:$I$89,3,0)*VLOOKUP('Données projet'!$B$11,Paramètres!$A$1:$I$89,5,0)</f>
        <v>1.0566655619825374</v>
      </c>
      <c r="BF5" s="13">
        <f t="shared" ref="BF5:BF68" si="37">EXP(-1.0587+0.8836*LN(BE5)+0.284)</f>
        <v>0.48384169076702271</v>
      </c>
      <c r="BG5" s="20">
        <f t="shared" si="7"/>
        <v>2.6830501318721502</v>
      </c>
      <c r="BH5" s="59">
        <f t="shared" si="8"/>
        <v>296.01638346520548</v>
      </c>
      <c r="BI5" s="59">
        <f ca="1">AVERAGE(OFFSET($BH$3,0,0,'Données projet'!$E$11+1,1))-AVERAGE(OFFSET($H$3,0,0,'Données projet'!$E$11+1,1))</f>
        <v>199.27781324660782</v>
      </c>
      <c r="BJ5" s="59">
        <f t="shared" ref="BJ5:BJ68" si="38">$BJ$3</f>
        <v>199.82499536488524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7.4312217194570129</v>
      </c>
      <c r="BY5" s="12">
        <f>IF('Données projet'!$A$114&gt;35,BY4+BX5-CG4,IF(A5&lt;'Données projet'!$A$114,$BV$205^A5,IF(A5='Données projet'!$A$114,'Données projet'!$B$114,BY4+BX5-CG4)))</f>
        <v>1.7669992675293267</v>
      </c>
      <c r="BZ5" s="13">
        <f>BY5*VLOOKUP('Données projet'!$B$12,Paramètres!$A$1:$I$89,3,0)*VLOOKUP('Données projet'!$B$12,Paramètres!$A$1:$I$89,5,0)</f>
        <v>1.0566655619825374</v>
      </c>
      <c r="CA5" s="13">
        <f t="shared" ref="CA5:CA68" si="39">EXP(-1.0587+0.8836*LN(BZ5)+0.284)</f>
        <v>0.48384169076702271</v>
      </c>
      <c r="CB5" s="20">
        <f t="shared" si="10"/>
        <v>2.6830501318721502</v>
      </c>
      <c r="CC5" s="59">
        <f t="shared" si="11"/>
        <v>296.01638346520548</v>
      </c>
      <c r="CD5" s="59">
        <f ca="1">AVERAGE(OFFSET($CC$3,0,0,'Données projet'!$E$12+1,1))-AVERAGE(OFFSET($H$3,0,0,'Données projet'!$E$12+1,1))</f>
        <v>199.27781323742636</v>
      </c>
      <c r="CE5" s="59">
        <f t="shared" ref="CE5:CE68" si="40">$CE$3</f>
        <v>199.82499536063892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5.9083916083916082</v>
      </c>
      <c r="CT5" s="12">
        <f>IF('Données projet'!$A$140&gt;35,CT4+CS5-DB4,IF(A5&lt;'Données projet'!$A$140,$CQ$205^A5,IF(A5='Données projet'!$A$140,'Données projet'!$B$140,CT4+CS5-DB4)))</f>
        <v>1.5565819703296186</v>
      </c>
      <c r="CU5" s="17">
        <f>CT5*VLOOKUP('Données projet'!$B$13,Paramètres!$A$1:$I$89,3,0)*VLOOKUP('Données projet'!$B$13,Paramètres!$A$1:$I$89,5,0)</f>
        <v>0.93083601825711204</v>
      </c>
      <c r="CV5" s="13">
        <f t="shared" ref="CV5:CV68" si="41">EXP(-1.0587+0.8836*LN(CU5)+0.284)</f>
        <v>0.43256204175421276</v>
      </c>
      <c r="CW5" s="20">
        <f t="shared" si="13"/>
        <v>2.3745849545197242</v>
      </c>
      <c r="CX5" s="59">
        <f t="shared" si="14"/>
        <v>295.70791828785303</v>
      </c>
      <c r="CY5" s="59">
        <f ca="1">AVERAGE(OFFSET($CX$3,0,0,'Données projet'!$E$13+1,1))-AVERAGE(OFFSET($H$3,0,0,'Données projet'!$E$13+1,1))</f>
        <v>213.18424462765137</v>
      </c>
      <c r="CZ5" s="59">
        <f t="shared" ref="CZ5:CZ68" si="42">$CZ$3</f>
        <v>158.77848520346532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4.9084615384615384</v>
      </c>
      <c r="N6" s="13">
        <f>IF('Données projet'!$A$36&gt;35,N5+M6-V5,IF(A6&lt;'Données projet'!$A$36,$K$205^A6,IF(A6='Données projet'!$A$36,'Données projet'!$B$36,N5+M6-V5)))</f>
        <v>1.6474288407621522</v>
      </c>
      <c r="O6" s="13">
        <f>N6*VLOOKUP('Données projet'!$B$9,Paramètres!$A$1:$I$89,3,0)*VLOOKUP('Données projet'!$B$9,Paramètres!$A$1:$I$89,5,0)</f>
        <v>0.7709966974766872</v>
      </c>
      <c r="P6" s="13">
        <f t="shared" si="33"/>
        <v>0.36622810482944673</v>
      </c>
      <c r="Q6" s="20">
        <f t="shared" si="2"/>
        <v>1.9806665306831832</v>
      </c>
      <c r="R6" s="59">
        <f t="shared" si="0"/>
        <v>295.31399986401652</v>
      </c>
      <c r="S6" s="59">
        <f ca="1">AVERAGE(OFFSET($R$3,0,0,'Données projet'!$E$9+1,1))-AVERAGE(OFFSET($H$3,0,0,'Données projet'!$E$9+1,1))</f>
        <v>181.79645720099597</v>
      </c>
      <c r="T6" s="59">
        <f t="shared" si="34"/>
        <v>120.20040029102233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8.5743589743589741</v>
      </c>
      <c r="AI6" s="13">
        <f>IF('Données projet'!$A$62&gt;35,AI5+AH6-AQ5,IF(A6&lt;'Données projet'!$A$62,$AF$205^A6,IF(A6='Données projet'!$A$62,'Données projet'!$B$62,AI5+AH6-AQ5)))</f>
        <v>2.0999211793888533</v>
      </c>
      <c r="AJ6" s="13">
        <f>AI6*VLOOKUP('Données projet'!$B$10,Paramètres!$A$1:$I$89,3,0)*VLOOKUP('Données projet'!$B$10,Paramètres!$A$1:$I$89,5,0)</f>
        <v>1.173855939278369</v>
      </c>
      <c r="AK6" s="13">
        <f t="shared" si="35"/>
        <v>0.53096232167316981</v>
      </c>
      <c r="AL6" s="20">
        <f t="shared" si="4"/>
        <v>2.9692251378239298</v>
      </c>
      <c r="AM6" s="59">
        <f t="shared" si="5"/>
        <v>296.30255847115723</v>
      </c>
      <c r="AN6" s="59">
        <f ca="1">AVERAGE(OFFSET($AM$3,0,0,'Données projet'!$E$10+1,1))-AVERAGE(OFFSET($H$3,0,0,'Données projet'!$E$10+1,1))</f>
        <v>253.62342381933348</v>
      </c>
      <c r="AO6" s="59">
        <f t="shared" si="36"/>
        <v>230.93438491775407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7.4312217194570129</v>
      </c>
      <c r="BD6" s="12">
        <f>IF('Données projet'!$A$88&gt;35,BD5+BC6-BL5,IF(A6&lt;'Données projet'!$A$88,$BA$205^A6,IF(A6='Données projet'!$A$88,'Données projet'!$B$88,BD5+BC6-BL5)))</f>
        <v>2.3488460575455909</v>
      </c>
      <c r="BE6" s="13">
        <f>BD6*VLOOKUP('Données projet'!$B$11,Paramètres!$A$1:$I$89,3,0)*VLOOKUP('Données projet'!$B$11,Paramètres!$A$1:$I$89,5,0)</f>
        <v>1.4046099424122636</v>
      </c>
      <c r="BF6" s="13">
        <f t="shared" si="37"/>
        <v>0.62220330714804695</v>
      </c>
      <c r="BG6" s="20">
        <f t="shared" si="7"/>
        <v>3.5300330763175403</v>
      </c>
      <c r="BH6" s="59">
        <f t="shared" si="8"/>
        <v>296.86336640965084</v>
      </c>
      <c r="BI6" s="59">
        <f ca="1">AVERAGE(OFFSET($BH$3,0,0,'Données projet'!$E$11+1,1))-AVERAGE(OFFSET($H$3,0,0,'Données projet'!$E$11+1,1))</f>
        <v>199.27781324660782</v>
      </c>
      <c r="BJ6" s="59">
        <f t="shared" si="38"/>
        <v>199.82499536488524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7.4312217194570129</v>
      </c>
      <c r="BY6" s="12">
        <f>IF('Données projet'!$A$114&gt;35,BY5+BX6-CG5,IF(A6&lt;'Données projet'!$A$114,$BV$205^A6,IF(A6='Données projet'!$A$114,'Données projet'!$B$114,BY5+BX6-CG5)))</f>
        <v>2.3488460575455909</v>
      </c>
      <c r="BZ6" s="13">
        <f>BY6*VLOOKUP('Données projet'!$B$12,Paramètres!$A$1:$I$89,3,0)*VLOOKUP('Données projet'!$B$12,Paramètres!$A$1:$I$89,5,0)</f>
        <v>1.4046099424122636</v>
      </c>
      <c r="CA6" s="13">
        <f t="shared" si="39"/>
        <v>0.62220330714804695</v>
      </c>
      <c r="CB6" s="20">
        <f t="shared" si="10"/>
        <v>3.5300330763175403</v>
      </c>
      <c r="CC6" s="59">
        <f t="shared" si="11"/>
        <v>296.86336640965084</v>
      </c>
      <c r="CD6" s="59">
        <f ca="1">AVERAGE(OFFSET($CC$3,0,0,'Données projet'!$E$12+1,1))-AVERAGE(OFFSET($H$3,0,0,'Données projet'!$E$12+1,1))</f>
        <v>199.27781323742636</v>
      </c>
      <c r="CE6" s="59">
        <f t="shared" si="40"/>
        <v>199.82499536063892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5.9083916083916082</v>
      </c>
      <c r="CT6" s="12">
        <f>IF('Données projet'!$A$140&gt;35,CT5+CS6-DB5,IF(A6&lt;'Données projet'!$A$140,$CQ$205^A6,IF(A6='Données projet'!$A$140,'Données projet'!$B$140,CT5+CS6-DB5)))</f>
        <v>1.9420392079325903</v>
      </c>
      <c r="CU6" s="17">
        <f>CT6*VLOOKUP('Données projet'!$B$13,Paramètres!$A$1:$I$89,3,0)*VLOOKUP('Données projet'!$B$13,Paramètres!$A$1:$I$89,5,0)</f>
        <v>1.1613394463436892</v>
      </c>
      <c r="CV6" s="13">
        <f t="shared" si="41"/>
        <v>0.52595670291925423</v>
      </c>
      <c r="CW6" s="20">
        <f t="shared" si="13"/>
        <v>2.938707459966293</v>
      </c>
      <c r="CX6" s="59">
        <f t="shared" si="14"/>
        <v>296.2720407932996</v>
      </c>
      <c r="CY6" s="59">
        <f ca="1">AVERAGE(OFFSET($CX$3,0,0,'Données projet'!$E$13+1,1))-AVERAGE(OFFSET($H$3,0,0,'Données projet'!$E$13+1,1))</f>
        <v>213.18424462765137</v>
      </c>
      <c r="CZ6" s="59">
        <f t="shared" si="42"/>
        <v>158.77848520346532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4.9084615384615384</v>
      </c>
      <c r="N7" s="13">
        <f>IF('Données projet'!$A$36&gt;35,N6+M7-V6,IF(A7&lt;'Données projet'!$A$36,$K$205^A7,IF(A7='Données projet'!$A$36,'Données projet'!$B$36,N6+M7-V6)))</f>
        <v>1.9456985396533186</v>
      </c>
      <c r="O7" s="13">
        <f>N7*VLOOKUP('Données projet'!$B$9,Paramètres!$A$1:$I$89,3,0)*VLOOKUP('Données projet'!$B$9,Paramètres!$A$1:$I$89,5,0)</f>
        <v>0.91058691655775315</v>
      </c>
      <c r="P7" s="13">
        <f t="shared" si="33"/>
        <v>0.42423691816235021</v>
      </c>
      <c r="Q7" s="20">
        <f t="shared" si="2"/>
        <v>2.32481817880418</v>
      </c>
      <c r="R7" s="59">
        <f t="shared" si="0"/>
        <v>295.65815151213752</v>
      </c>
      <c r="S7" s="59">
        <f ca="1">AVERAGE(OFFSET($R$3,0,0,'Données projet'!$E$9+1,1))-AVERAGE(OFFSET($H$3,0,0,'Données projet'!$E$9+1,1))</f>
        <v>181.79645720099597</v>
      </c>
      <c r="T7" s="59">
        <f t="shared" si="34"/>
        <v>120.20040029102233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8.5743589743589741</v>
      </c>
      <c r="AI7" s="13">
        <f>IF('Données projet'!$A$62&gt;35,AI6+AH7-AQ6,IF(A7&lt;'Données projet'!$A$62,$AF$205^A7,IF(A7='Données projet'!$A$62,'Données projet'!$B$62,AI6+AH7-AQ6)))</f>
        <v>2.6890816659390917</v>
      </c>
      <c r="AJ7" s="13">
        <f>AI7*VLOOKUP('Données projet'!$B$10,Paramètres!$A$1:$I$89,3,0)*VLOOKUP('Données projet'!$B$10,Paramètres!$A$1:$I$89,5,0)</f>
        <v>1.5031966512599522</v>
      </c>
      <c r="AK7" s="13">
        <f t="shared" si="35"/>
        <v>0.66063750505958863</v>
      </c>
      <c r="AL7" s="20">
        <f t="shared" si="4"/>
        <v>3.7686778222565338</v>
      </c>
      <c r="AM7" s="59">
        <f t="shared" si="5"/>
        <v>297.10201115558982</v>
      </c>
      <c r="AN7" s="59">
        <f ca="1">AVERAGE(OFFSET($AM$3,0,0,'Données projet'!$E$10+1,1))-AVERAGE(OFFSET($H$3,0,0,'Données projet'!$E$10+1,1))</f>
        <v>253.62342381933348</v>
      </c>
      <c r="AO7" s="59">
        <f t="shared" si="36"/>
        <v>230.93438491775407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7.4312217194570129</v>
      </c>
      <c r="BD7" s="12">
        <f>IF('Données projet'!$A$88&gt;35,BD6+BC7-BL6,IF(A7&lt;'Données projet'!$A$88,$BA$205^A7,IF(A7='Données projet'!$A$88,'Données projet'!$B$88,BD6+BC7-BL6)))</f>
        <v>3.1222864114491768</v>
      </c>
      <c r="BE7" s="13">
        <f>BD7*VLOOKUP('Données projet'!$B$11,Paramètres!$A$1:$I$89,3,0)*VLOOKUP('Données projet'!$B$11,Paramètres!$A$1:$I$89,5,0)</f>
        <v>1.8671272740466078</v>
      </c>
      <c r="BF7" s="13">
        <f t="shared" si="37"/>
        <v>0.80013145376589556</v>
      </c>
      <c r="BG7" s="20">
        <f t="shared" si="7"/>
        <v>4.6454756176067766</v>
      </c>
      <c r="BH7" s="59">
        <f t="shared" si="8"/>
        <v>297.97880895094011</v>
      </c>
      <c r="BI7" s="59">
        <f ca="1">AVERAGE(OFFSET($BH$3,0,0,'Données projet'!$E$11+1,1))-AVERAGE(OFFSET($H$3,0,0,'Données projet'!$E$11+1,1))</f>
        <v>199.27781324660782</v>
      </c>
      <c r="BJ7" s="59">
        <f t="shared" si="38"/>
        <v>199.82499536488524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7.4312217194570129</v>
      </c>
      <c r="BY7" s="12">
        <f>IF('Données projet'!$A$114&gt;35,BY6+BX7-CG6,IF(A7&lt;'Données projet'!$A$114,$BV$205^A7,IF(A7='Données projet'!$A$114,'Données projet'!$B$114,BY6+BX7-CG6)))</f>
        <v>3.1222864114491768</v>
      </c>
      <c r="BZ7" s="13">
        <f>BY7*VLOOKUP('Données projet'!$B$12,Paramètres!$A$1:$I$89,3,0)*VLOOKUP('Données projet'!$B$12,Paramètres!$A$1:$I$89,5,0)</f>
        <v>1.8671272740466078</v>
      </c>
      <c r="CA7" s="13">
        <f t="shared" si="39"/>
        <v>0.80013145376589556</v>
      </c>
      <c r="CB7" s="20">
        <f t="shared" si="10"/>
        <v>4.6454756176067766</v>
      </c>
      <c r="CC7" s="59">
        <f t="shared" si="11"/>
        <v>297.97880895094011</v>
      </c>
      <c r="CD7" s="59">
        <f ca="1">AVERAGE(OFFSET($CC$3,0,0,'Données projet'!$E$12+1,1))-AVERAGE(OFFSET($H$3,0,0,'Données projet'!$E$12+1,1))</f>
        <v>199.27781323742636</v>
      </c>
      <c r="CE7" s="59">
        <f t="shared" si="40"/>
        <v>199.82499536063892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5.9083916083916082</v>
      </c>
      <c r="CT7" s="12">
        <f>IF('Données projet'!$A$140&gt;35,CT6+CS7-DB6,IF(A7&lt;'Données projet'!$A$140,$CQ$205^A7,IF(A7='Données projet'!$A$140,'Données projet'!$B$140,CT6+CS7-DB6)))</f>
        <v>2.4229474303552379</v>
      </c>
      <c r="CU7" s="17">
        <f>CT7*VLOOKUP('Données projet'!$B$13,Paramètres!$A$1:$I$89,3,0)*VLOOKUP('Données projet'!$B$13,Paramètres!$A$1:$I$89,5,0)</f>
        <v>1.4489225633524323</v>
      </c>
      <c r="CV7" s="13">
        <f t="shared" si="41"/>
        <v>0.63951624655701411</v>
      </c>
      <c r="CW7" s="20">
        <f t="shared" si="13"/>
        <v>3.6373642605922853</v>
      </c>
      <c r="CX7" s="59">
        <f t="shared" si="14"/>
        <v>296.97069759392559</v>
      </c>
      <c r="CY7" s="59">
        <f ca="1">AVERAGE(OFFSET($CX$3,0,0,'Données projet'!$E$13+1,1))-AVERAGE(OFFSET($H$3,0,0,'Données projet'!$E$13+1,1))</f>
        <v>213.18424462765137</v>
      </c>
      <c r="CZ7" s="59">
        <f t="shared" si="42"/>
        <v>158.77848520346532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4.9084615384615384</v>
      </c>
      <c r="N8" s="13">
        <f>IF('Données projet'!$A$36&gt;35,N7+M8-V7,IF(A8&lt;'Données projet'!$A$36,$K$205^A8,IF(A8='Données projet'!$A$36,'Données projet'!$B$36,N7+M8-V7)))</f>
        <v>2.2979704576846265</v>
      </c>
      <c r="O8" s="13">
        <f>N8*VLOOKUP('Données projet'!$B$9,Paramètres!$A$1:$I$89,3,0)*VLOOKUP('Données projet'!$B$9,Paramètres!$A$1:$I$89,5,0)</f>
        <v>1.0754501741964051</v>
      </c>
      <c r="P8" s="13">
        <f t="shared" si="33"/>
        <v>0.49143405532927165</v>
      </c>
      <c r="Q8" s="20">
        <f t="shared" si="2"/>
        <v>2.7289900330905534</v>
      </c>
      <c r="R8" s="59">
        <f t="shared" si="0"/>
        <v>296.06232336642387</v>
      </c>
      <c r="S8" s="59">
        <f ca="1">AVERAGE(OFFSET($R$3,0,0,'Données projet'!$E$9+1,1))-AVERAGE(OFFSET($H$3,0,0,'Données projet'!$E$9+1,1))</f>
        <v>181.79645720099597</v>
      </c>
      <c r="T8" s="59">
        <f t="shared" si="34"/>
        <v>120.20040029102233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8.5743589743589741</v>
      </c>
      <c r="AI8" s="13">
        <f>IF('Données projet'!$A$62&gt;35,AI7+AH8-AQ7,IF(A8&lt;'Données projet'!$A$62,$AF$205^A8,IF(A8='Données projet'!$A$62,'Données projet'!$B$62,AI7+AH8-AQ7)))</f>
        <v>3.4435388704419219</v>
      </c>
      <c r="AJ8" s="13">
        <f>AI8*VLOOKUP('Données projet'!$B$10,Paramètres!$A$1:$I$89,3,0)*VLOOKUP('Données projet'!$B$10,Paramètres!$A$1:$I$89,5,0)</f>
        <v>1.9249382285770344</v>
      </c>
      <c r="AK8" s="13">
        <f t="shared" si="35"/>
        <v>0.8219828324466435</v>
      </c>
      <c r="AL8" s="20">
        <f t="shared" si="4"/>
        <v>4.7842208479495723</v>
      </c>
      <c r="AM8" s="59">
        <f t="shared" si="5"/>
        <v>298.11755418128291</v>
      </c>
      <c r="AN8" s="59">
        <f ca="1">AVERAGE(OFFSET($AM$3,0,0,'Données projet'!$E$10+1,1))-AVERAGE(OFFSET($H$3,0,0,'Données projet'!$E$10+1,1))</f>
        <v>253.62342381933348</v>
      </c>
      <c r="AO8" s="59">
        <f t="shared" si="36"/>
        <v>230.93438491775407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7.4312217194570129</v>
      </c>
      <c r="BD8" s="12">
        <f>IF('Données projet'!$A$88&gt;35,BD7+BC8-BL7,IF(A8&lt;'Données projet'!$A$88,$BA$205^A8,IF(A8='Données projet'!$A$88,'Données projet'!$B$88,BD7+BC8-BL7)))</f>
        <v>4.1504092632222056</v>
      </c>
      <c r="BE8" s="13">
        <f>BD8*VLOOKUP('Données projet'!$B$11,Paramètres!$A$1:$I$89,3,0)*VLOOKUP('Données projet'!$B$11,Paramètres!$A$1:$I$89,5,0)</f>
        <v>2.4819447394068792</v>
      </c>
      <c r="BF8" s="13">
        <f t="shared" si="37"/>
        <v>1.0289407593154982</v>
      </c>
      <c r="BG8" s="20">
        <f t="shared" si="7"/>
        <v>6.1147922436081394</v>
      </c>
      <c r="BH8" s="59">
        <f t="shared" si="8"/>
        <v>299.44812557694144</v>
      </c>
      <c r="BI8" s="59">
        <f ca="1">AVERAGE(OFFSET($BH$3,0,0,'Données projet'!$E$11+1,1))-AVERAGE(OFFSET($H$3,0,0,'Données projet'!$E$11+1,1))</f>
        <v>199.27781324660782</v>
      </c>
      <c r="BJ8" s="59">
        <f t="shared" si="38"/>
        <v>199.82499536488524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7.4312217194570129</v>
      </c>
      <c r="BY8" s="12">
        <f>IF('Données projet'!$A$114&gt;35,BY7+BX8-CG7,IF(A8&lt;'Données projet'!$A$114,$BV$205^A8,IF(A8='Données projet'!$A$114,'Données projet'!$B$114,BY7+BX8-CG7)))</f>
        <v>4.1504092632222056</v>
      </c>
      <c r="BZ8" s="13">
        <f>BY8*VLOOKUP('Données projet'!$B$12,Paramètres!$A$1:$I$89,3,0)*VLOOKUP('Données projet'!$B$12,Paramètres!$A$1:$I$89,5,0)</f>
        <v>2.4819447394068792</v>
      </c>
      <c r="CA8" s="13">
        <f t="shared" si="39"/>
        <v>1.0289407593154982</v>
      </c>
      <c r="CB8" s="20">
        <f t="shared" si="10"/>
        <v>6.1147922436081394</v>
      </c>
      <c r="CC8" s="59">
        <f t="shared" si="11"/>
        <v>299.44812557694144</v>
      </c>
      <c r="CD8" s="59">
        <f ca="1">AVERAGE(OFFSET($CC$3,0,0,'Données projet'!$E$12+1,1))-AVERAGE(OFFSET($H$3,0,0,'Données projet'!$E$12+1,1))</f>
        <v>199.27781323742636</v>
      </c>
      <c r="CE8" s="59">
        <f t="shared" si="40"/>
        <v>199.82499536063892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5.9083916083916082</v>
      </c>
      <c r="CT8" s="12">
        <f>IF('Données projet'!$A$140&gt;35,CT7+CS8-DB7,IF(A8&lt;'Données projet'!$A$140,$CQ$205^A8,IF(A8='Données projet'!$A$140,'Données projet'!$B$140,CT7+CS8-DB7)))</f>
        <v>3.0229432167410835</v>
      </c>
      <c r="CU8" s="17">
        <f>CT8*VLOOKUP('Données projet'!$B$13,Paramètres!$A$1:$I$89,3,0)*VLOOKUP('Données projet'!$B$13,Paramètres!$A$1:$I$89,5,0)</f>
        <v>1.807720043611168</v>
      </c>
      <c r="CV8" s="13">
        <f t="shared" si="41"/>
        <v>0.7775944813334934</v>
      </c>
      <c r="CW8" s="20">
        <f t="shared" si="13"/>
        <v>4.5027561309452855</v>
      </c>
      <c r="CX8" s="59">
        <f t="shared" si="14"/>
        <v>297.83608946427859</v>
      </c>
      <c r="CY8" s="59">
        <f ca="1">AVERAGE(OFFSET($CX$3,0,0,'Données projet'!$E$13+1,1))-AVERAGE(OFFSET($H$3,0,0,'Données projet'!$E$13+1,1))</f>
        <v>213.18424462765137</v>
      </c>
      <c r="CZ8" s="59">
        <f t="shared" si="42"/>
        <v>158.77848520346532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4.9084615384615384</v>
      </c>
      <c r="N9" s="13">
        <f>IF('Données projet'!$A$36&gt;35,N8+M9-V8,IF(A9&lt;'Données projet'!$A$36,$K$205^A9,IF(A9='Données projet'!$A$36,'Données projet'!$B$36,N8+M9-V8)))</f>
        <v>2.7140217853749289</v>
      </c>
      <c r="O9" s="13">
        <f>N9*VLOOKUP('Données projet'!$B$9,Paramètres!$A$1:$I$89,3,0)*VLOOKUP('Données projet'!$B$9,Paramètres!$A$1:$I$89,5,0)</f>
        <v>1.2701621955554667</v>
      </c>
      <c r="P9" s="13">
        <f t="shared" si="33"/>
        <v>0.56927490371064715</v>
      </c>
      <c r="Q9" s="20">
        <f t="shared" si="2"/>
        <v>3.203686281221815</v>
      </c>
      <c r="R9" s="59">
        <f t="shared" si="0"/>
        <v>296.53701961455511</v>
      </c>
      <c r="S9" s="59">
        <f ca="1">AVERAGE(OFFSET($R$3,0,0,'Données projet'!$E$9+1,1))-AVERAGE(OFFSET($H$3,0,0,'Données projet'!$E$9+1,1))</f>
        <v>181.79645720099597</v>
      </c>
      <c r="T9" s="59">
        <f t="shared" si="34"/>
        <v>120.20040029102233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8.5743589743589741</v>
      </c>
      <c r="AI9" s="13">
        <f>IF('Données projet'!$A$62&gt;35,AI8+AH9-AQ8,IF(A9&lt;'Données projet'!$A$62,$AF$205^A9,IF(A9='Données projet'!$A$62,'Données projet'!$B$62,AI8+AH9-AQ8)))</f>
        <v>4.4096689596458729</v>
      </c>
      <c r="AJ9" s="13">
        <f>AI9*VLOOKUP('Données projet'!$B$10,Paramètres!$A$1:$I$89,3,0)*VLOOKUP('Données projet'!$B$10,Paramètres!$A$1:$I$89,5,0)</f>
        <v>2.4650049484420431</v>
      </c>
      <c r="AK9" s="13">
        <f t="shared" si="35"/>
        <v>1.0227329990537903</v>
      </c>
      <c r="AL9" s="20">
        <f t="shared" si="4"/>
        <v>6.0744769252219095</v>
      </c>
      <c r="AM9" s="59">
        <f t="shared" si="5"/>
        <v>299.40781025855523</v>
      </c>
      <c r="AN9" s="59">
        <f ca="1">AVERAGE(OFFSET($AM$3,0,0,'Données projet'!$E$10+1,1))-AVERAGE(OFFSET($H$3,0,0,'Données projet'!$E$10+1,1))</f>
        <v>253.62342381933348</v>
      </c>
      <c r="AO9" s="59">
        <f t="shared" si="36"/>
        <v>230.93438491775407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7.4312217194570129</v>
      </c>
      <c r="BD9" s="12">
        <f>IF('Données projet'!$A$88&gt;35,BD8+BC9-BL8,IF(A9&lt;'Données projet'!$A$88,$BA$205^A9,IF(A9='Données projet'!$A$88,'Données projet'!$B$88,BD8+BC9-BL8)))</f>
        <v>5.5170778020474653</v>
      </c>
      <c r="BE9" s="13">
        <f>BD9*VLOOKUP('Données projet'!$B$11,Paramètres!$A$1:$I$89,3,0)*VLOOKUP('Données projet'!$B$11,Paramètres!$A$1:$I$89,5,0)</f>
        <v>3.2992125256243843</v>
      </c>
      <c r="BF9" s="13">
        <f t="shared" si="37"/>
        <v>1.3231814362474952</v>
      </c>
      <c r="BG9" s="20">
        <f t="shared" si="7"/>
        <v>8.0506694835935235</v>
      </c>
      <c r="BH9" s="59">
        <f t="shared" si="8"/>
        <v>301.38400281692685</v>
      </c>
      <c r="BI9" s="59">
        <f ca="1">AVERAGE(OFFSET($BH$3,0,0,'Données projet'!$E$11+1,1))-AVERAGE(OFFSET($H$3,0,0,'Données projet'!$E$11+1,1))</f>
        <v>199.27781324660782</v>
      </c>
      <c r="BJ9" s="59">
        <f t="shared" si="38"/>
        <v>199.82499536488524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7.4312217194570129</v>
      </c>
      <c r="BY9" s="12">
        <f>IF('Données projet'!$A$114&gt;35,BY8+BX9-CG8,IF(A9&lt;'Données projet'!$A$114,$BV$205^A9,IF(A9='Données projet'!$A$114,'Données projet'!$B$114,BY8+BX9-CG8)))</f>
        <v>5.5170778020474653</v>
      </c>
      <c r="BZ9" s="13">
        <f>BY9*VLOOKUP('Données projet'!$B$12,Paramètres!$A$1:$I$89,3,0)*VLOOKUP('Données projet'!$B$12,Paramètres!$A$1:$I$89,5,0)</f>
        <v>3.2992125256243843</v>
      </c>
      <c r="CA9" s="13">
        <f t="shared" si="39"/>
        <v>1.3231814362474952</v>
      </c>
      <c r="CB9" s="20">
        <f t="shared" si="10"/>
        <v>8.0506694835935235</v>
      </c>
      <c r="CC9" s="59">
        <f t="shared" si="11"/>
        <v>301.38400281692685</v>
      </c>
      <c r="CD9" s="59">
        <f ca="1">AVERAGE(OFFSET($CC$3,0,0,'Données projet'!$E$12+1,1))-AVERAGE(OFFSET($H$3,0,0,'Données projet'!$E$12+1,1))</f>
        <v>199.27781323742636</v>
      </c>
      <c r="CE9" s="59">
        <f t="shared" si="40"/>
        <v>199.82499536063892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5.9083916083916082</v>
      </c>
      <c r="CT9" s="12">
        <f>IF('Données projet'!$A$140&gt;35,CT8+CS9-DB8,IF(A9&lt;'Données projet'!$A$140,$CQ$205^A9,IF(A9='Données projet'!$A$140,'Données projet'!$B$140,CT8+CS9-DB8)))</f>
        <v>3.7715162851474426</v>
      </c>
      <c r="CU9" s="17">
        <f>CT9*VLOOKUP('Données projet'!$B$13,Paramètres!$A$1:$I$89,3,0)*VLOOKUP('Données projet'!$B$13,Paramètres!$A$1:$I$89,5,0)</f>
        <v>2.255366738518171</v>
      </c>
      <c r="CV9" s="13">
        <f t="shared" si="41"/>
        <v>0.9454852486634967</v>
      </c>
      <c r="CW9" s="20">
        <f t="shared" si="13"/>
        <v>5.5748172110080709</v>
      </c>
      <c r="CX9" s="59">
        <f t="shared" si="14"/>
        <v>298.90815054434137</v>
      </c>
      <c r="CY9" s="59">
        <f ca="1">AVERAGE(OFFSET($CX$3,0,0,'Données projet'!$E$13+1,1))-AVERAGE(OFFSET($H$3,0,0,'Données projet'!$E$13+1,1))</f>
        <v>213.18424462765137</v>
      </c>
      <c r="CZ9" s="59">
        <f t="shared" si="42"/>
        <v>158.77848520346532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4.9084615384615384</v>
      </c>
      <c r="N10" s="13">
        <f>IF('Données projet'!$A$36&gt;35,N9+M10-V9,IF(A10&lt;'Données projet'!$A$36,$K$205^A10,IF(A10='Données projet'!$A$36,'Données projet'!$B$36,N9+M10-V9)))</f>
        <v>3.2053998896536791</v>
      </c>
      <c r="O10" s="13">
        <f>N10*VLOOKUP('Données projet'!$B$9,Paramètres!$A$1:$I$89,3,0)*VLOOKUP('Données projet'!$B$9,Paramètres!$A$1:$I$89,5,0)</f>
        <v>1.5001271483579217</v>
      </c>
      <c r="P10" s="13">
        <f t="shared" si="33"/>
        <v>0.65944537721878049</v>
      </c>
      <c r="Q10" s="20">
        <f t="shared" si="2"/>
        <v>3.7612554820460891</v>
      </c>
      <c r="R10" s="59">
        <f t="shared" si="0"/>
        <v>297.09458881537938</v>
      </c>
      <c r="S10" s="59">
        <f ca="1">AVERAGE(OFFSET($R$3,0,0,'Données projet'!$E$9+1,1))-AVERAGE(OFFSET($H$3,0,0,'Données projet'!$E$9+1,1))</f>
        <v>181.79645720099597</v>
      </c>
      <c r="T10" s="59">
        <f t="shared" si="34"/>
        <v>120.20040029102233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8.5743589743589741</v>
      </c>
      <c r="AI10" s="13">
        <f>IF('Données projet'!$A$62&gt;35,AI9+AH10-AQ9,IF(A10&lt;'Données projet'!$A$62,$AF$205^A10,IF(A10='Données projet'!$A$62,'Données projet'!$B$62,AI9+AH10-AQ9)))</f>
        <v>5.6468595434117601</v>
      </c>
      <c r="AJ10" s="13">
        <f>AI10*VLOOKUP('Données projet'!$B$10,Paramètres!$A$1:$I$89,3,0)*VLOOKUP('Données projet'!$B$10,Paramètres!$A$1:$I$89,5,0)</f>
        <v>3.1565944847671736</v>
      </c>
      <c r="AK10" s="13">
        <f t="shared" si="35"/>
        <v>1.2725117193021875</v>
      </c>
      <c r="AL10" s="20">
        <f t="shared" si="4"/>
        <v>7.7140266387541381</v>
      </c>
      <c r="AM10" s="59">
        <f t="shared" si="5"/>
        <v>301.04735997208746</v>
      </c>
      <c r="AN10" s="59">
        <f ca="1">AVERAGE(OFFSET($AM$3,0,0,'Données projet'!$E$10+1,1))-AVERAGE(OFFSET($H$3,0,0,'Données projet'!$E$10+1,1))</f>
        <v>253.62342381933348</v>
      </c>
      <c r="AO10" s="59">
        <f t="shared" si="36"/>
        <v>230.93438491775407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7.4312217194570129</v>
      </c>
      <c r="BD10" s="12">
        <f>IF('Données projet'!$A$88&gt;35,BD9+BC10-BL9,IF(A10&lt;'Données projet'!$A$88,$BA$205^A10,IF(A10='Données projet'!$A$88,'Données projet'!$B$88,BD9+BC10-BL9)))</f>
        <v>7.3337701280605696</v>
      </c>
      <c r="BE10" s="13">
        <f>BD10*VLOOKUP('Données projet'!$B$11,Paramètres!$A$1:$I$89,3,0)*VLOOKUP('Données projet'!$B$11,Paramètres!$A$1:$I$89,5,0)</f>
        <v>4.3855945365802205</v>
      </c>
      <c r="BF10" s="13">
        <f t="shared" si="37"/>
        <v>1.7015645433219191</v>
      </c>
      <c r="BG10" s="20">
        <f t="shared" si="7"/>
        <v>10.601802064162893</v>
      </c>
      <c r="BH10" s="59">
        <f t="shared" si="8"/>
        <v>303.9351353974962</v>
      </c>
      <c r="BI10" s="59">
        <f ca="1">AVERAGE(OFFSET($BH$3,0,0,'Données projet'!$E$11+1,1))-AVERAGE(OFFSET($H$3,0,0,'Données projet'!$E$11+1,1))</f>
        <v>199.27781324660782</v>
      </c>
      <c r="BJ10" s="59">
        <f t="shared" si="38"/>
        <v>199.82499536488524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7.4312217194570129</v>
      </c>
      <c r="BY10" s="12">
        <f>IF('Données projet'!$A$114&gt;35,BY9+BX10-CG9,IF(A10&lt;'Données projet'!$A$114,$BV$205^A10,IF(A10='Données projet'!$A$114,'Données projet'!$B$114,BY9+BX10-CG9)))</f>
        <v>7.3337701280605696</v>
      </c>
      <c r="BZ10" s="13">
        <f>BY10*VLOOKUP('Données projet'!$B$12,Paramètres!$A$1:$I$89,3,0)*VLOOKUP('Données projet'!$B$12,Paramètres!$A$1:$I$89,5,0)</f>
        <v>4.3855945365802205</v>
      </c>
      <c r="CA10" s="13">
        <f t="shared" si="39"/>
        <v>1.7015645433219191</v>
      </c>
      <c r="CB10" s="20">
        <f t="shared" si="10"/>
        <v>10.601802064162893</v>
      </c>
      <c r="CC10" s="59">
        <f t="shared" si="11"/>
        <v>303.9351353974962</v>
      </c>
      <c r="CD10" s="59">
        <f ca="1">AVERAGE(OFFSET($CC$3,0,0,'Données projet'!$E$12+1,1))-AVERAGE(OFFSET($H$3,0,0,'Données projet'!$E$12+1,1))</f>
        <v>199.27781323742636</v>
      </c>
      <c r="CE10" s="59">
        <f t="shared" si="40"/>
        <v>199.82499536063892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5.9083916083916082</v>
      </c>
      <c r="CT10" s="12">
        <f>IF('Données projet'!$A$140&gt;35,CT9+CS10-DB9,IF(A10&lt;'Données projet'!$A$140,$CQ$205^A10,IF(A10='Données projet'!$A$140,'Données projet'!$B$140,CT9+CS10-DB9)))</f>
        <v>4.7054589085093914</v>
      </c>
      <c r="CU10" s="17">
        <f>CT10*VLOOKUP('Données projet'!$B$13,Paramètres!$A$1:$I$89,3,0)*VLOOKUP('Données projet'!$B$13,Paramètres!$A$1:$I$89,5,0)</f>
        <v>2.8138644272886166</v>
      </c>
      <c r="CV10" s="13">
        <f t="shared" si="41"/>
        <v>1.1496253855959169</v>
      </c>
      <c r="CW10" s="20">
        <f t="shared" si="13"/>
        <v>6.9030780907738958</v>
      </c>
      <c r="CX10" s="59">
        <f t="shared" si="14"/>
        <v>300.23641142410719</v>
      </c>
      <c r="CY10" s="59">
        <f ca="1">AVERAGE(OFFSET($CX$3,0,0,'Données projet'!$E$13+1,1))-AVERAGE(OFFSET($H$3,0,0,'Données projet'!$E$13+1,1))</f>
        <v>213.18424462765137</v>
      </c>
      <c r="CZ10" s="59">
        <f t="shared" si="42"/>
        <v>158.77848520346532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4.9084615384615384</v>
      </c>
      <c r="N11" s="13">
        <f>IF('Données projet'!$A$36&gt;35,N10+M11-V10,IF(A11&lt;'Données projet'!$A$36,$K$205^A11,IF(A11='Données projet'!$A$36,'Données projet'!$B$36,N10+M11-V10)))</f>
        <v>3.7857428072090569</v>
      </c>
      <c r="O11" s="13">
        <f>N11*VLOOKUP('Données projet'!$B$9,Paramètres!$A$1:$I$89,3,0)*VLOOKUP('Données projet'!$B$9,Paramètres!$A$1:$I$89,5,0)</f>
        <v>1.7717276337738388</v>
      </c>
      <c r="P11" s="13">
        <f t="shared" si="33"/>
        <v>0.76389843061877893</v>
      </c>
      <c r="Q11" s="20">
        <f t="shared" si="2"/>
        <v>4.4162153954838086</v>
      </c>
      <c r="R11" s="59">
        <f t="shared" si="0"/>
        <v>297.7495487288171</v>
      </c>
      <c r="S11" s="59">
        <f ca="1">AVERAGE(OFFSET($R$3,0,0,'Données projet'!$E$9+1,1))-AVERAGE(OFFSET($H$3,0,0,'Données projet'!$E$9+1,1))</f>
        <v>181.79645720099597</v>
      </c>
      <c r="T11" s="59">
        <f t="shared" si="34"/>
        <v>120.20040029102233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8.5743589743589741</v>
      </c>
      <c r="AI11" s="13">
        <f>IF('Données projet'!$A$62&gt;35,AI10+AH11-AQ10,IF(A11&lt;'Données projet'!$A$62,$AF$205^A11,IF(A11='Données projet'!$A$62,'Données projet'!$B$62,AI10+AH11-AQ10)))</f>
        <v>7.2311602060897604</v>
      </c>
      <c r="AJ11" s="13">
        <f>AI11*VLOOKUP('Données projet'!$B$10,Paramètres!$A$1:$I$89,3,0)*VLOOKUP('Données projet'!$B$10,Paramètres!$A$1:$I$89,5,0)</f>
        <v>4.0422185552041761</v>
      </c>
      <c r="AK11" s="13">
        <f t="shared" si="35"/>
        <v>1.5832930757681005</v>
      </c>
      <c r="AL11" s="20">
        <f t="shared" si="4"/>
        <v>9.7977660906100486</v>
      </c>
      <c r="AM11" s="59">
        <f t="shared" si="5"/>
        <v>303.13109942394334</v>
      </c>
      <c r="AN11" s="59">
        <f ca="1">AVERAGE(OFFSET($AM$3,0,0,'Données projet'!$E$10+1,1))-AVERAGE(OFFSET($H$3,0,0,'Données projet'!$E$10+1,1))</f>
        <v>253.62342381933348</v>
      </c>
      <c r="AO11" s="59">
        <f t="shared" si="36"/>
        <v>230.93438491775407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7.4312217194570129</v>
      </c>
      <c r="BD11" s="12">
        <f>IF('Données projet'!$A$88&gt;35,BD10+BC11-BL10,IF(A11&lt;'Données projet'!$A$88,$BA$205^A11,IF(A11='Données projet'!$A$88,'Données projet'!$B$88,BD10+BC11-BL10)))</f>
        <v>9.748672435120179</v>
      </c>
      <c r="BE11" s="13">
        <f>BD11*VLOOKUP('Données projet'!$B$11,Paramètres!$A$1:$I$89,3,0)*VLOOKUP('Données projet'!$B$11,Paramètres!$A$1:$I$89,5,0)</f>
        <v>5.8297061162018684</v>
      </c>
      <c r="BF11" s="13">
        <f t="shared" si="37"/>
        <v>2.1881518405377438</v>
      </c>
      <c r="BG11" s="20">
        <f t="shared" si="7"/>
        <v>13.96443594132149</v>
      </c>
      <c r="BH11" s="59">
        <f t="shared" si="8"/>
        <v>307.2977692746548</v>
      </c>
      <c r="BI11" s="59">
        <f ca="1">AVERAGE(OFFSET($BH$3,0,0,'Données projet'!$E$11+1,1))-AVERAGE(OFFSET($H$3,0,0,'Données projet'!$E$11+1,1))</f>
        <v>199.27781324660782</v>
      </c>
      <c r="BJ11" s="59">
        <f t="shared" si="38"/>
        <v>199.82499536488524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7.4312217194570129</v>
      </c>
      <c r="BY11" s="12">
        <f>IF('Données projet'!$A$114&gt;35,BY10+BX11-CG10,IF(A11&lt;'Données projet'!$A$114,$BV$205^A11,IF(A11='Données projet'!$A$114,'Données projet'!$B$114,BY10+BX11-CG10)))</f>
        <v>9.748672435120179</v>
      </c>
      <c r="BZ11" s="13">
        <f>BY11*VLOOKUP('Données projet'!$B$12,Paramètres!$A$1:$I$89,3,0)*VLOOKUP('Données projet'!$B$12,Paramètres!$A$1:$I$89,5,0)</f>
        <v>5.8297061162018684</v>
      </c>
      <c r="CA11" s="13">
        <f t="shared" si="39"/>
        <v>2.1881518405377438</v>
      </c>
      <c r="CB11" s="20">
        <f t="shared" si="10"/>
        <v>13.96443594132149</v>
      </c>
      <c r="CC11" s="59">
        <f t="shared" si="11"/>
        <v>307.2977692746548</v>
      </c>
      <c r="CD11" s="59">
        <f ca="1">AVERAGE(OFFSET($CC$3,0,0,'Données projet'!$E$12+1,1))-AVERAGE(OFFSET($H$3,0,0,'Données projet'!$E$12+1,1))</f>
        <v>199.27781323742636</v>
      </c>
      <c r="CE11" s="59">
        <f t="shared" si="40"/>
        <v>199.82499536063892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5.9083916083916082</v>
      </c>
      <c r="CT11" s="12">
        <f>IF('Données projet'!$A$140&gt;35,CT10+CS11-DB10,IF(A11&lt;'Données projet'!$A$140,$CQ$205^A11,IF(A11='Données projet'!$A$140,'Données projet'!$B$140,CT10+CS11-DB10)))</f>
        <v>5.8706742502650497</v>
      </c>
      <c r="CU11" s="17">
        <f>CT11*VLOOKUP('Données projet'!$B$13,Paramètres!$A$1:$I$89,3,0)*VLOOKUP('Données projet'!$B$13,Paramètres!$A$1:$I$89,5,0)</f>
        <v>3.5106632016584998</v>
      </c>
      <c r="CV11" s="13">
        <f t="shared" si="41"/>
        <v>1.3978415095050716</v>
      </c>
      <c r="CW11" s="20">
        <f t="shared" si="13"/>
        <v>8.5489790386098861</v>
      </c>
      <c r="CX11" s="59">
        <f t="shared" si="14"/>
        <v>301.88231237194321</v>
      </c>
      <c r="CY11" s="59">
        <f ca="1">AVERAGE(OFFSET($CX$3,0,0,'Données projet'!$E$13+1,1))-AVERAGE(OFFSET($H$3,0,0,'Données projet'!$E$13+1,1))</f>
        <v>213.18424462765137</v>
      </c>
      <c r="CZ11" s="59">
        <f t="shared" si="42"/>
        <v>158.77848520346532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4.9084615384615384</v>
      </c>
      <c r="N12" s="13">
        <f>IF('Données projet'!$A$36&gt;35,N11+M12-V11,IF(A12&lt;'Données projet'!$A$36,$K$205^A12,IF(A12='Données projet'!$A$36,'Données projet'!$B$36,N11+M12-V11)))</f>
        <v>4.4711577636834461</v>
      </c>
      <c r="O12" s="13">
        <f>N12*VLOOKUP('Données projet'!$B$9,Paramètres!$A$1:$I$89,3,0)*VLOOKUP('Données projet'!$B$9,Paramètres!$A$1:$I$89,5,0)</f>
        <v>2.0925018334038525</v>
      </c>
      <c r="P12" s="13">
        <f t="shared" si="33"/>
        <v>0.8848963575465858</v>
      </c>
      <c r="Q12" s="20">
        <f t="shared" si="2"/>
        <v>5.1856351825720131</v>
      </c>
      <c r="R12" s="59">
        <f t="shared" si="0"/>
        <v>298.51896851590533</v>
      </c>
      <c r="S12" s="59">
        <f ca="1">AVERAGE(OFFSET($R$3,0,0,'Données projet'!$E$9+1,1))-AVERAGE(OFFSET($H$3,0,0,'Données projet'!$E$9+1,1))</f>
        <v>181.79645720099597</v>
      </c>
      <c r="T12" s="59">
        <f t="shared" si="34"/>
        <v>120.20040029102233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8.5743589743589741</v>
      </c>
      <c r="AI12" s="13">
        <f>IF('Données projet'!$A$62&gt;35,AI11+AH12-AQ11,IF(A12&lt;'Données projet'!$A$62,$AF$205^A12,IF(A12='Données projet'!$A$62,'Données projet'!$B$62,AI11+AH12-AQ11)))</f>
        <v>9.2599572424539804</v>
      </c>
      <c r="AJ12" s="13">
        <f>AI12*VLOOKUP('Données projet'!$B$10,Paramètres!$A$1:$I$89,3,0)*VLOOKUP('Données projet'!$B$10,Paramètres!$A$1:$I$89,5,0)</f>
        <v>5.1763160985317747</v>
      </c>
      <c r="AK12" s="13">
        <f t="shared" si="35"/>
        <v>1.969975541875469</v>
      </c>
      <c r="AL12" s="20">
        <f t="shared" si="4"/>
        <v>12.446457940375948</v>
      </c>
      <c r="AM12" s="59">
        <f t="shared" si="5"/>
        <v>305.77979127370924</v>
      </c>
      <c r="AN12" s="59">
        <f ca="1">AVERAGE(OFFSET($AM$3,0,0,'Données projet'!$E$10+1,1))-AVERAGE(OFFSET($H$3,0,0,'Données projet'!$E$10+1,1))</f>
        <v>253.62342381933348</v>
      </c>
      <c r="AO12" s="59">
        <f t="shared" si="36"/>
        <v>230.93438491775407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7.4312217194570129</v>
      </c>
      <c r="BD12" s="12">
        <f>IF('Données projet'!$A$88&gt;35,BD11+BC12-BL11,IF(A12&lt;'Données projet'!$A$88,$BA$205^A12,IF(A12='Données projet'!$A$88,'Données projet'!$B$88,BD11+BC12-BL11)))</f>
        <v>12.958766444511483</v>
      </c>
      <c r="BE12" s="13">
        <f>BD12*VLOOKUP('Données projet'!$B$11,Paramètres!$A$1:$I$89,3,0)*VLOOKUP('Données projet'!$B$11,Paramètres!$A$1:$I$89,5,0)</f>
        <v>7.7493423338178671</v>
      </c>
      <c r="BF12" s="13">
        <f t="shared" si="37"/>
        <v>2.8138859005026107</v>
      </c>
      <c r="BG12" s="20">
        <f t="shared" si="7"/>
        <v>18.397622508108167</v>
      </c>
      <c r="BH12" s="59">
        <f t="shared" si="8"/>
        <v>311.73095584144147</v>
      </c>
      <c r="BI12" s="59">
        <f ca="1">AVERAGE(OFFSET($BH$3,0,0,'Données projet'!$E$11+1,1))-AVERAGE(OFFSET($H$3,0,0,'Données projet'!$E$11+1,1))</f>
        <v>199.27781324660782</v>
      </c>
      <c r="BJ12" s="59">
        <f t="shared" si="38"/>
        <v>199.82499536488524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7.4312217194570129</v>
      </c>
      <c r="BY12" s="12">
        <f>IF('Données projet'!$A$114&gt;35,BY11+BX12-CG11,IF(A12&lt;'Données projet'!$A$114,$BV$205^A12,IF(A12='Données projet'!$A$114,'Données projet'!$B$114,BY11+BX12-CG11)))</f>
        <v>12.958766444511483</v>
      </c>
      <c r="BZ12" s="13">
        <f>BY12*VLOOKUP('Données projet'!$B$12,Paramètres!$A$1:$I$89,3,0)*VLOOKUP('Données projet'!$B$12,Paramètres!$A$1:$I$89,5,0)</f>
        <v>7.7493423338178671</v>
      </c>
      <c r="CA12" s="13">
        <f t="shared" si="39"/>
        <v>2.8138859005026107</v>
      </c>
      <c r="CB12" s="20">
        <f t="shared" si="10"/>
        <v>18.397622508108167</v>
      </c>
      <c r="CC12" s="59">
        <f t="shared" si="11"/>
        <v>311.73095584144147</v>
      </c>
      <c r="CD12" s="59">
        <f ca="1">AVERAGE(OFFSET($CC$3,0,0,'Données projet'!$E$12+1,1))-AVERAGE(OFFSET($H$3,0,0,'Données projet'!$E$12+1,1))</f>
        <v>199.27781323742636</v>
      </c>
      <c r="CE12" s="59">
        <f t="shared" si="40"/>
        <v>199.82499536063892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5.9083916083916082</v>
      </c>
      <c r="CT12" s="12">
        <f>IF('Données projet'!$A$140&gt;35,CT11+CS12-DB11,IF(A12&lt;'Données projet'!$A$140,$CQ$205^A12,IF(A12='Données projet'!$A$140,'Données projet'!$B$140,CT11+CS12-DB11)))</f>
        <v>7.3244324991126044</v>
      </c>
      <c r="CU12" s="17">
        <f>CT12*VLOOKUP('Données projet'!$B$13,Paramètres!$A$1:$I$89,3,0)*VLOOKUP('Données projet'!$B$13,Paramètres!$A$1:$I$89,5,0)</f>
        <v>4.3800106344693379</v>
      </c>
      <c r="CV12" s="13">
        <f t="shared" si="41"/>
        <v>1.6996500861735646</v>
      </c>
      <c r="CW12" s="20">
        <f t="shared" si="13"/>
        <v>10.588742421786387</v>
      </c>
      <c r="CX12" s="59">
        <f t="shared" si="14"/>
        <v>303.92207575511969</v>
      </c>
      <c r="CY12" s="59">
        <f ca="1">AVERAGE(OFFSET($CX$3,0,0,'Données projet'!$E$13+1,1))-AVERAGE(OFFSET($H$3,0,0,'Données projet'!$E$13+1,1))</f>
        <v>213.18424462765137</v>
      </c>
      <c r="CZ12" s="59">
        <f t="shared" si="42"/>
        <v>158.77848520346532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4.9084615384615384</v>
      </c>
      <c r="N13" s="13">
        <f>IF('Données projet'!$A$36&gt;35,N12+M13-V12,IF(A13&lt;'Données projet'!$A$36,$K$205^A13,IF(A13='Données projet'!$A$36,'Données projet'!$B$36,N12+M13-V12)))</f>
        <v>5.2806682243912917</v>
      </c>
      <c r="O13" s="13">
        <f>N13*VLOOKUP('Données projet'!$B$9,Paramètres!$A$1:$I$89,3,0)*VLOOKUP('Données projet'!$B$9,Paramètres!$A$1:$I$89,5,0)</f>
        <v>2.4713527290151243</v>
      </c>
      <c r="P13" s="13">
        <f t="shared" si="33"/>
        <v>1.0250597883345953</v>
      </c>
      <c r="Q13" s="20">
        <f t="shared" si="2"/>
        <v>6.0895851343840945</v>
      </c>
      <c r="R13" s="59">
        <f t="shared" si="0"/>
        <v>299.42291846771741</v>
      </c>
      <c r="S13" s="59">
        <f ca="1">AVERAGE(OFFSET($R$3,0,0,'Données projet'!$E$9+1,1))-AVERAGE(OFFSET($H$3,0,0,'Données projet'!$E$9+1,1))</f>
        <v>181.79645720099597</v>
      </c>
      <c r="T13" s="59">
        <f t="shared" si="34"/>
        <v>120.20040029102233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8.5743589743589741</v>
      </c>
      <c r="AI13" s="13">
        <f>IF('Données projet'!$A$62&gt;35,AI12+AH13-AQ12,IF(A13&lt;'Données projet'!$A$62,$AF$205^A13,IF(A13='Données projet'!$A$62,'Données projet'!$B$62,AI12+AH13-AQ12)))</f>
        <v>11.857959952244427</v>
      </c>
      <c r="AJ13" s="13">
        <f>AI13*VLOOKUP('Données projet'!$B$10,Paramètres!$A$1:$I$89,3,0)*VLOOKUP('Données projet'!$B$10,Paramètres!$A$1:$I$89,5,0)</f>
        <v>6.6285996133046341</v>
      </c>
      <c r="AK13" s="13">
        <f t="shared" si="35"/>
        <v>2.4510961962647757</v>
      </c>
      <c r="AL13" s="20">
        <f t="shared" si="4"/>
        <v>15.813803535000055</v>
      </c>
      <c r="AM13" s="59">
        <f t="shared" si="5"/>
        <v>309.14713686833335</v>
      </c>
      <c r="AN13" s="59">
        <f ca="1">AVERAGE(OFFSET($AM$3,0,0,'Données projet'!$E$10+1,1))-AVERAGE(OFFSET($H$3,0,0,'Données projet'!$E$10+1,1))</f>
        <v>253.62342381933348</v>
      </c>
      <c r="AO13" s="59">
        <f t="shared" si="36"/>
        <v>230.93438491775407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7.4312217194570129</v>
      </c>
      <c r="BD13" s="12">
        <f>IF('Données projet'!$A$88&gt;35,BD12+BC13-BL12,IF(A13&lt;'Données projet'!$A$88,$BA$205^A13,IF(A13='Données projet'!$A$88,'Données projet'!$B$88,BD12+BC13-BL12)))</f>
        <v>17.225897052240693</v>
      </c>
      <c r="BE13" s="13">
        <f>BD13*VLOOKUP('Données projet'!$B$11,Paramètres!$A$1:$I$89,3,0)*VLOOKUP('Données projet'!$B$11,Paramètres!$A$1:$I$89,5,0)</f>
        <v>10.301086437239935</v>
      </c>
      <c r="BF13" s="13">
        <f t="shared" si="37"/>
        <v>3.6185577775542006</v>
      </c>
      <c r="BG13" s="20">
        <f t="shared" si="7"/>
        <v>24.243380340766453</v>
      </c>
      <c r="BH13" s="59">
        <f t="shared" si="8"/>
        <v>317.57671367409978</v>
      </c>
      <c r="BI13" s="59">
        <f ca="1">AVERAGE(OFFSET($BH$3,0,0,'Données projet'!$E$11+1,1))-AVERAGE(OFFSET($H$3,0,0,'Données projet'!$E$11+1,1))</f>
        <v>199.27781324660782</v>
      </c>
      <c r="BJ13" s="59">
        <f t="shared" si="38"/>
        <v>199.82499536488524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7.4312217194570129</v>
      </c>
      <c r="BY13" s="12">
        <f>IF('Données projet'!$A$114&gt;35,BY12+BX13-CG12,IF(A13&lt;'Données projet'!$A$114,$BV$205^A13,IF(A13='Données projet'!$A$114,'Données projet'!$B$114,BY12+BX13-CG12)))</f>
        <v>17.225897052240693</v>
      </c>
      <c r="BZ13" s="13">
        <f>BY13*VLOOKUP('Données projet'!$B$12,Paramètres!$A$1:$I$89,3,0)*VLOOKUP('Données projet'!$B$12,Paramètres!$A$1:$I$89,5,0)</f>
        <v>10.301086437239935</v>
      </c>
      <c r="CA13" s="13">
        <f t="shared" si="39"/>
        <v>3.6185577775542006</v>
      </c>
      <c r="CB13" s="20">
        <f t="shared" si="10"/>
        <v>24.243380340766453</v>
      </c>
      <c r="CC13" s="59">
        <f t="shared" si="11"/>
        <v>317.57671367409978</v>
      </c>
      <c r="CD13" s="59">
        <f ca="1">AVERAGE(OFFSET($CC$3,0,0,'Données projet'!$E$12+1,1))-AVERAGE(OFFSET($H$3,0,0,'Données projet'!$E$12+1,1))</f>
        <v>199.27781323742636</v>
      </c>
      <c r="CE13" s="59">
        <f t="shared" si="40"/>
        <v>199.82499536063892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5.9083916083916082</v>
      </c>
      <c r="CT13" s="12">
        <f>IF('Données projet'!$A$140&gt;35,CT12+CS13-DB12,IF(A13&lt;'Données projet'!$A$140,$CQ$205^A13,IF(A13='Données projet'!$A$140,'Données projet'!$B$140,CT12+CS13-DB12)))</f>
        <v>9.1381856916409276</v>
      </c>
      <c r="CU13" s="17">
        <f>CT13*VLOOKUP('Données projet'!$B$13,Paramètres!$A$1:$I$89,3,0)*VLOOKUP('Données projet'!$B$13,Paramètres!$A$1:$I$89,5,0)</f>
        <v>5.4646350436012749</v>
      </c>
      <c r="CV13" s="13">
        <f t="shared" si="41"/>
        <v>2.0666222857072225</v>
      </c>
      <c r="CW13" s="20">
        <f t="shared" si="13"/>
        <v>13.116939848545632</v>
      </c>
      <c r="CX13" s="59">
        <f t="shared" si="14"/>
        <v>306.45027318187897</v>
      </c>
      <c r="CY13" s="59">
        <f ca="1">AVERAGE(OFFSET($CX$3,0,0,'Données projet'!$E$13+1,1))-AVERAGE(OFFSET($H$3,0,0,'Données projet'!$E$13+1,1))</f>
        <v>213.18424462765137</v>
      </c>
      <c r="CZ13" s="59">
        <f t="shared" si="42"/>
        <v>158.77848520346532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4.9084615384615384</v>
      </c>
      <c r="N14" s="13">
        <f>IF('Données projet'!$A$36&gt;35,N13+M14-V13,IF(A14&lt;'Données projet'!$A$36,$K$205^A14,IF(A14='Données projet'!$A$36,'Données projet'!$B$36,N13+M14-V13)))</f>
        <v>6.2367418843040729</v>
      </c>
      <c r="O14" s="13">
        <f>N14*VLOOKUP('Données projet'!$B$9,Paramètres!$A$1:$I$89,3,0)*VLOOKUP('Données projet'!$B$9,Paramètres!$A$1:$I$89,5,0)</f>
        <v>2.9187952018543064</v>
      </c>
      <c r="P14" s="13">
        <f t="shared" si="33"/>
        <v>1.1874244488629264</v>
      </c>
      <c r="Q14" s="20">
        <f t="shared" si="2"/>
        <v>7.1516658916658464</v>
      </c>
      <c r="R14" s="59">
        <f t="shared" si="0"/>
        <v>300.48499922499917</v>
      </c>
      <c r="S14" s="59">
        <f ca="1">AVERAGE(OFFSET($R$3,0,0,'Données projet'!$E$9+1,1))-AVERAGE(OFFSET($H$3,0,0,'Données projet'!$E$9+1,1))</f>
        <v>181.79645720099597</v>
      </c>
      <c r="T14" s="59">
        <f t="shared" si="34"/>
        <v>120.20040029102233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8.5743589743589741</v>
      </c>
      <c r="AI14" s="13">
        <f>IF('Données projet'!$A$62&gt;35,AI13+AH14-AQ13,IF(A14&lt;'Données projet'!$A$62,$AF$205^A14,IF(A14='Données projet'!$A$62,'Données projet'!$B$62,AI13+AH14-AQ13)))</f>
        <v>15.184866468321752</v>
      </c>
      <c r="AJ14" s="13">
        <f>AI14*VLOOKUP('Données projet'!$B$10,Paramètres!$A$1:$I$89,3,0)*VLOOKUP('Données projet'!$B$10,Paramètres!$A$1:$I$89,5,0)</f>
        <v>8.4883403557918609</v>
      </c>
      <c r="AK14" s="13">
        <f t="shared" si="35"/>
        <v>3.0497193673907232</v>
      </c>
      <c r="AL14" s="20">
        <f t="shared" si="4"/>
        <v>20.095454017876332</v>
      </c>
      <c r="AM14" s="59">
        <f t="shared" si="5"/>
        <v>313.42878735120962</v>
      </c>
      <c r="AN14" s="59">
        <f ca="1">AVERAGE(OFFSET($AM$3,0,0,'Données projet'!$E$10+1,1))-AVERAGE(OFFSET($H$3,0,0,'Données projet'!$E$10+1,1))</f>
        <v>253.62342381933348</v>
      </c>
      <c r="AO14" s="59">
        <f t="shared" si="36"/>
        <v>230.93438491775407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7.4312217194570129</v>
      </c>
      <c r="BD14" s="12">
        <f>IF('Données projet'!$A$88&gt;35,BD13+BC14-BL13,IF(A14&lt;'Données projet'!$A$88,$BA$205^A14,IF(A14='Données projet'!$A$88,'Données projet'!$B$88,BD13+BC14-BL13)))</f>
        <v>22.89813081553541</v>
      </c>
      <c r="BE14" s="13">
        <f>BD14*VLOOKUP('Données projet'!$B$11,Paramètres!$A$1:$I$89,3,0)*VLOOKUP('Données projet'!$B$11,Paramètres!$A$1:$I$89,5,0)</f>
        <v>13.693082227690176</v>
      </c>
      <c r="BF14" s="13">
        <f t="shared" si="37"/>
        <v>4.6533373606794726</v>
      </c>
      <c r="BG14" s="20">
        <f t="shared" si="7"/>
        <v>31.953347449743802</v>
      </c>
      <c r="BH14" s="59">
        <f t="shared" si="8"/>
        <v>325.28668078307714</v>
      </c>
      <c r="BI14" s="59">
        <f ca="1">AVERAGE(OFFSET($BH$3,0,0,'Données projet'!$E$11+1,1))-AVERAGE(OFFSET($H$3,0,0,'Données projet'!$E$11+1,1))</f>
        <v>199.27781324660782</v>
      </c>
      <c r="BJ14" s="59">
        <f t="shared" si="38"/>
        <v>199.82499536488524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7.4312217194570129</v>
      </c>
      <c r="BY14" s="12">
        <f>IF('Données projet'!$A$114&gt;35,BY13+BX14-CG13,IF(A14&lt;'Données projet'!$A$114,$BV$205^A14,IF(A14='Données projet'!$A$114,'Données projet'!$B$114,BY13+BX14-CG13)))</f>
        <v>22.89813081553541</v>
      </c>
      <c r="BZ14" s="13">
        <f>BY14*VLOOKUP('Données projet'!$B$12,Paramètres!$A$1:$I$89,3,0)*VLOOKUP('Données projet'!$B$12,Paramètres!$A$1:$I$89,5,0)</f>
        <v>13.693082227690176</v>
      </c>
      <c r="CA14" s="13">
        <f t="shared" si="39"/>
        <v>4.6533373606794726</v>
      </c>
      <c r="CB14" s="20">
        <f t="shared" si="10"/>
        <v>31.953347449743802</v>
      </c>
      <c r="CC14" s="59">
        <f t="shared" si="11"/>
        <v>325.28668078307714</v>
      </c>
      <c r="CD14" s="59">
        <f ca="1">AVERAGE(OFFSET($CC$3,0,0,'Données projet'!$E$12+1,1))-AVERAGE(OFFSET($H$3,0,0,'Données projet'!$E$12+1,1))</f>
        <v>199.27781323742636</v>
      </c>
      <c r="CE14" s="59">
        <f t="shared" si="40"/>
        <v>199.82499536063892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5.9083916083916082</v>
      </c>
      <c r="CT14" s="12">
        <f>IF('Données projet'!$A$140&gt;35,CT13+CS14-DB13,IF(A14&lt;'Données projet'!$A$140,$CQ$205^A14,IF(A14='Données projet'!$A$140,'Données projet'!$B$140,CT13+CS14-DB13)))</f>
        <v>11.401079571014991</v>
      </c>
      <c r="CU14" s="17">
        <f>CT14*VLOOKUP('Données projet'!$B$13,Paramètres!$A$1:$I$89,3,0)*VLOOKUP('Données projet'!$B$13,Paramètres!$A$1:$I$89,5,0)</f>
        <v>6.8178455834669647</v>
      </c>
      <c r="CV14" s="13">
        <f t="shared" si="41"/>
        <v>2.5128276146515063</v>
      </c>
      <c r="CW14" s="20">
        <f t="shared" si="13"/>
        <v>16.250922486723002</v>
      </c>
      <c r="CX14" s="59">
        <f t="shared" si="14"/>
        <v>309.58425582005634</v>
      </c>
      <c r="CY14" s="59">
        <f ca="1">AVERAGE(OFFSET($CX$3,0,0,'Données projet'!$E$13+1,1))-AVERAGE(OFFSET($H$3,0,0,'Données projet'!$E$13+1,1))</f>
        <v>213.18424462765137</v>
      </c>
      <c r="CZ14" s="59">
        <f t="shared" si="42"/>
        <v>158.77848520346532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4.9084615384615384</v>
      </c>
      <c r="N15" s="13">
        <f>IF('Données projet'!$A$36&gt;35,N14+M15-V14,IF(A15&lt;'Données projet'!$A$36,$K$205^A15,IF(A15='Données projet'!$A$36,'Données projet'!$B$36,N14+M15-V14)))</f>
        <v>7.3659142514897171</v>
      </c>
      <c r="O15" s="13">
        <f>N15*VLOOKUP('Données projet'!$B$9,Paramètres!$A$1:$I$89,3,0)*VLOOKUP('Données projet'!$B$9,Paramètres!$A$1:$I$89,5,0)</f>
        <v>3.447247869697188</v>
      </c>
      <c r="P15" s="13">
        <f t="shared" si="33"/>
        <v>1.3755069097464061</v>
      </c>
      <c r="Q15" s="20">
        <f t="shared" si="2"/>
        <v>8.3996312408642595</v>
      </c>
      <c r="R15" s="59">
        <f t="shared" si="0"/>
        <v>301.73296457419758</v>
      </c>
      <c r="S15" s="59">
        <f ca="1">AVERAGE(OFFSET($R$3,0,0,'Données projet'!$E$9+1,1))-AVERAGE(OFFSET($H$3,0,0,'Données projet'!$E$9+1,1))</f>
        <v>181.79645720099597</v>
      </c>
      <c r="T15" s="59">
        <f t="shared" si="34"/>
        <v>120.20040029102233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8.5743589743589741</v>
      </c>
      <c r="AI15" s="13">
        <f>IF('Données projet'!$A$62&gt;35,AI14+AH15-AQ14,IF(A15&lt;'Données projet'!$A$62,$AF$205^A15,IF(A15='Données projet'!$A$62,'Données projet'!$B$62,AI14+AH15-AQ14)))</f>
        <v>19.445180333664318</v>
      </c>
      <c r="AJ15" s="13">
        <f>AI15*VLOOKUP('Données projet'!$B$10,Paramètres!$A$1:$I$89,3,0)*VLOOKUP('Données projet'!$B$10,Paramètres!$A$1:$I$89,5,0)</f>
        <v>10.869855806518354</v>
      </c>
      <c r="AK15" s="13">
        <f t="shared" si="35"/>
        <v>3.7945423088704313</v>
      </c>
      <c r="AL15" s="20">
        <f t="shared" si="4"/>
        <v>25.540493384302135</v>
      </c>
      <c r="AM15" s="59">
        <f t="shared" si="5"/>
        <v>318.87382671763544</v>
      </c>
      <c r="AN15" s="59">
        <f ca="1">AVERAGE(OFFSET($AM$3,0,0,'Données projet'!$E$10+1,1))-AVERAGE(OFFSET($H$3,0,0,'Données projet'!$E$10+1,1))</f>
        <v>253.62342381933348</v>
      </c>
      <c r="AO15" s="59">
        <f t="shared" si="36"/>
        <v>230.93438491775407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7.4312217194570129</v>
      </c>
      <c r="BD15" s="12">
        <f>IF('Données projet'!$A$88&gt;35,BD14+BC15-BL14,IF(A15&lt;'Données projet'!$A$88,$BA$205^A15,IF(A15='Données projet'!$A$88,'Données projet'!$B$88,BD14+BC15-BL14)))</f>
        <v>30.438147473844893</v>
      </c>
      <c r="BE15" s="13">
        <f>BD15*VLOOKUP('Données projet'!$B$11,Paramètres!$A$1:$I$89,3,0)*VLOOKUP('Données projet'!$B$11,Paramètres!$A$1:$I$89,5,0)</f>
        <v>18.202012189359248</v>
      </c>
      <c r="BF15" s="13">
        <f t="shared" si="37"/>
        <v>5.984027317903192</v>
      </c>
      <c r="BG15" s="20">
        <f t="shared" si="7"/>
        <v>42.124018808482084</v>
      </c>
      <c r="BH15" s="59">
        <f t="shared" si="8"/>
        <v>335.45735214181542</v>
      </c>
      <c r="BI15" s="59">
        <f ca="1">AVERAGE(OFFSET($BH$3,0,0,'Données projet'!$E$11+1,1))-AVERAGE(OFFSET($H$3,0,0,'Données projet'!$E$11+1,1))</f>
        <v>199.27781324660782</v>
      </c>
      <c r="BJ15" s="59">
        <f t="shared" si="38"/>
        <v>199.82499536488524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7.4312217194570129</v>
      </c>
      <c r="BY15" s="12">
        <f>IF('Données projet'!$A$114&gt;35,BY14+BX15-CG14,IF(A15&lt;'Données projet'!$A$114,$BV$205^A15,IF(A15='Données projet'!$A$114,'Données projet'!$B$114,BY14+BX15-CG14)))</f>
        <v>30.438147473844893</v>
      </c>
      <c r="BZ15" s="13">
        <f>BY15*VLOOKUP('Données projet'!$B$12,Paramètres!$A$1:$I$89,3,0)*VLOOKUP('Données projet'!$B$12,Paramètres!$A$1:$I$89,5,0)</f>
        <v>18.202012189359248</v>
      </c>
      <c r="CA15" s="13">
        <f t="shared" si="39"/>
        <v>5.984027317903192</v>
      </c>
      <c r="CB15" s="20">
        <f t="shared" si="10"/>
        <v>42.124018808482084</v>
      </c>
      <c r="CC15" s="59">
        <f t="shared" si="11"/>
        <v>335.45735214181542</v>
      </c>
      <c r="CD15" s="59">
        <f ca="1">AVERAGE(OFFSET($CC$3,0,0,'Données projet'!$E$12+1,1))-AVERAGE(OFFSET($H$3,0,0,'Données projet'!$E$12+1,1))</f>
        <v>199.27781323742636</v>
      </c>
      <c r="CE15" s="59">
        <f t="shared" si="40"/>
        <v>199.82499536063892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5.9083916083916082</v>
      </c>
      <c r="CT15" s="12">
        <f>IF('Données projet'!$A$140&gt;35,CT14+CS15-DB14,IF(A15&lt;'Données projet'!$A$140,$CQ$205^A15,IF(A15='Données projet'!$A$140,'Données projet'!$B$140,CT14+CS15-DB14)))</f>
        <v>14.224335089132365</v>
      </c>
      <c r="CU15" s="17">
        <f>CT15*VLOOKUP('Données projet'!$B$13,Paramètres!$A$1:$I$89,3,0)*VLOOKUP('Données projet'!$B$13,Paramètres!$A$1:$I$89,5,0)</f>
        <v>8.5061523833011545</v>
      </c>
      <c r="CV15" s="13">
        <f t="shared" si="41"/>
        <v>3.0553733329137835</v>
      </c>
      <c r="CW15" s="20">
        <f t="shared" si="13"/>
        <v>20.136323955741016</v>
      </c>
      <c r="CX15" s="59">
        <f t="shared" si="14"/>
        <v>313.46965728907435</v>
      </c>
      <c r="CY15" s="59">
        <f ca="1">AVERAGE(OFFSET($CX$3,0,0,'Données projet'!$E$13+1,1))-AVERAGE(OFFSET($H$3,0,0,'Données projet'!$E$13+1,1))</f>
        <v>213.18424462765137</v>
      </c>
      <c r="CZ15" s="59">
        <f t="shared" si="42"/>
        <v>158.77848520346532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4.9084615384615384</v>
      </c>
      <c r="N16" s="13">
        <f>IF('Données projet'!$A$36&gt;35,N15+M16-V15,IF(A16&lt;'Données projet'!$A$36,$K$205^A16,IF(A16='Données projet'!$A$36,'Données projet'!$B$36,N15+M16-V15)))</f>
        <v>8.6995251313584792</v>
      </c>
      <c r="O16" s="13">
        <f>N16*VLOOKUP('Données projet'!$B$9,Paramètres!$A$1:$I$89,3,0)*VLOOKUP('Données projet'!$B$9,Paramètres!$A$1:$I$89,5,0)</f>
        <v>4.0713777614757687</v>
      </c>
      <c r="P16" s="13">
        <f t="shared" si="33"/>
        <v>1.5933807498842545</v>
      </c>
      <c r="Q16" s="20">
        <f t="shared" si="2"/>
        <v>9.8661210739520406</v>
      </c>
      <c r="R16" s="59">
        <f t="shared" si="0"/>
        <v>303.19945440728537</v>
      </c>
      <c r="S16" s="59">
        <f ca="1">AVERAGE(OFFSET($R$3,0,0,'Données projet'!$E$9+1,1))-AVERAGE(OFFSET($H$3,0,0,'Données projet'!$E$9+1,1))</f>
        <v>181.79645720099597</v>
      </c>
      <c r="T16" s="59">
        <f t="shared" si="34"/>
        <v>120.20040029102233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8.5743589743589741</v>
      </c>
      <c r="AI16" s="13">
        <f>IF('Données projet'!$A$62&gt;35,AI15+AH16-AQ15,IF(A16&lt;'Données projet'!$A$62,$AF$205^A16,IF(A16='Données projet'!$A$62,'Données projet'!$B$62,AI15+AH16-AQ15)))</f>
        <v>24.900781248062909</v>
      </c>
      <c r="AJ16" s="13">
        <f>AI16*VLOOKUP('Données projet'!$B$10,Paramètres!$A$1:$I$89,3,0)*VLOOKUP('Données projet'!$B$10,Paramètres!$A$1:$I$89,5,0)</f>
        <v>13.919536717667166</v>
      </c>
      <c r="AK16" s="13">
        <f t="shared" si="35"/>
        <v>4.7212709102893111</v>
      </c>
      <c r="AL16" s="20">
        <f t="shared" si="4"/>
        <v>32.466073285357531</v>
      </c>
      <c r="AM16" s="59">
        <f t="shared" si="5"/>
        <v>325.79940661869085</v>
      </c>
      <c r="AN16" s="59">
        <f ca="1">AVERAGE(OFFSET($AM$3,0,0,'Données projet'!$E$10+1,1))-AVERAGE(OFFSET($H$3,0,0,'Données projet'!$E$10+1,1))</f>
        <v>253.62342381933348</v>
      </c>
      <c r="AO16" s="59">
        <f t="shared" si="36"/>
        <v>230.93438491775407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7.4312217194570129</v>
      </c>
      <c r="BD16" s="12">
        <f>IF('Données projet'!$A$88&gt;35,BD15+BC16-BL15,IF(A16&lt;'Données projet'!$A$88,$BA$205^A16,IF(A16='Données projet'!$A$88,'Données projet'!$B$88,BD15+BC16-BL15)))</f>
        <v>40.460980378841768</v>
      </c>
      <c r="BE16" s="13">
        <f>BD16*VLOOKUP('Données projet'!$B$11,Paramètres!$A$1:$I$89,3,0)*VLOOKUP('Données projet'!$B$11,Paramètres!$A$1:$I$89,5,0)</f>
        <v>24.195666266547377</v>
      </c>
      <c r="BF16" s="13">
        <f t="shared" si="37"/>
        <v>7.6952475537219458</v>
      </c>
      <c r="BG16" s="20">
        <f t="shared" si="7"/>
        <v>55.543341570302402</v>
      </c>
      <c r="BH16" s="59">
        <f t="shared" si="8"/>
        <v>348.87667490363572</v>
      </c>
      <c r="BI16" s="59">
        <f ca="1">AVERAGE(OFFSET($BH$3,0,0,'Données projet'!$E$11+1,1))-AVERAGE(OFFSET($H$3,0,0,'Données projet'!$E$11+1,1))</f>
        <v>199.27781324660782</v>
      </c>
      <c r="BJ16" s="59">
        <f t="shared" si="38"/>
        <v>199.82499536488524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7.4312217194570129</v>
      </c>
      <c r="BY16" s="12">
        <f>IF('Données projet'!$A$114&gt;35,BY15+BX16-CG15,IF(A16&lt;'Données projet'!$A$114,$BV$205^A16,IF(A16='Données projet'!$A$114,'Données projet'!$B$114,BY15+BX16-CG15)))</f>
        <v>40.460980378841768</v>
      </c>
      <c r="BZ16" s="13">
        <f>BY16*VLOOKUP('Données projet'!$B$12,Paramètres!$A$1:$I$89,3,0)*VLOOKUP('Données projet'!$B$12,Paramètres!$A$1:$I$89,5,0)</f>
        <v>24.195666266547377</v>
      </c>
      <c r="CA16" s="13">
        <f t="shared" si="39"/>
        <v>7.6952475537219458</v>
      </c>
      <c r="CB16" s="20">
        <f t="shared" si="10"/>
        <v>55.543341570302402</v>
      </c>
      <c r="CC16" s="59">
        <f t="shared" si="11"/>
        <v>348.87667490363572</v>
      </c>
      <c r="CD16" s="59">
        <f ca="1">AVERAGE(OFFSET($CC$3,0,0,'Données projet'!$E$12+1,1))-AVERAGE(OFFSET($H$3,0,0,'Données projet'!$E$12+1,1))</f>
        <v>199.27781323742636</v>
      </c>
      <c r="CE16" s="59">
        <f t="shared" si="40"/>
        <v>199.82499536063892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5.9083916083916082</v>
      </c>
      <c r="CT16" s="12">
        <f>IF('Données projet'!$A$140&gt;35,CT15+CS16-DB15,IF(A16&lt;'Données projet'!$A$140,$CQ$205^A16,IF(A16='Données projet'!$A$140,'Données projet'!$B$140,CT15+CS16-DB15)))</f>
        <v>17.746714902535278</v>
      </c>
      <c r="CU16" s="17">
        <f>CT16*VLOOKUP('Données projet'!$B$13,Paramètres!$A$1:$I$89,3,0)*VLOOKUP('Données projet'!$B$13,Paramètres!$A$1:$I$89,5,0)</f>
        <v>10.612535511716098</v>
      </c>
      <c r="CV16" s="13">
        <f t="shared" si="41"/>
        <v>3.7150603364311414</v>
      </c>
      <c r="CW16" s="20">
        <f t="shared" si="13"/>
        <v>24.953896102189773</v>
      </c>
      <c r="CX16" s="59">
        <f t="shared" si="14"/>
        <v>318.2872294355231</v>
      </c>
      <c r="CY16" s="59">
        <f ca="1">AVERAGE(OFFSET($CX$3,0,0,'Données projet'!$E$13+1,1))-AVERAGE(OFFSET($H$3,0,0,'Données projet'!$E$13+1,1))</f>
        <v>213.18424462765137</v>
      </c>
      <c r="CZ16" s="59">
        <f t="shared" si="42"/>
        <v>158.77848520346532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4.9084615384615384</v>
      </c>
      <c r="N17" s="13">
        <f>IF('Données projet'!$A$36&gt;35,N16+M17-V16,IF(A17&lt;'Données projet'!$A$36,$K$205^A17,IF(A17='Données projet'!$A$36,'Données projet'!$B$36,N16+M17-V16)))</f>
        <v>10.27458845259182</v>
      </c>
      <c r="O17" s="13">
        <f>N17*VLOOKUP('Données projet'!$B$9,Paramètres!$A$1:$I$89,3,0)*VLOOKUP('Données projet'!$B$9,Paramètres!$A$1:$I$89,5,0)</f>
        <v>4.8085073958129714</v>
      </c>
      <c r="P17" s="13">
        <f t="shared" si="33"/>
        <v>1.8457647839586531</v>
      </c>
      <c r="Q17" s="20">
        <f t="shared" si="2"/>
        <v>11.589524046435578</v>
      </c>
      <c r="R17" s="59">
        <f t="shared" si="0"/>
        <v>304.92285737976891</v>
      </c>
      <c r="S17" s="59">
        <f ca="1">AVERAGE(OFFSET($R$3,0,0,'Données projet'!$E$9+1,1))-AVERAGE(OFFSET($H$3,0,0,'Données projet'!$E$9+1,1))</f>
        <v>181.79645720099597</v>
      </c>
      <c r="T17" s="59">
        <f t="shared" si="34"/>
        <v>120.20040029102233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8.5743589743589741</v>
      </c>
      <c r="AI17" s="13">
        <f>IF('Données projet'!$A$62&gt;35,AI16+AH17-AQ16,IF(A17&lt;'Données projet'!$A$62,$AF$205^A17,IF(A17='Données projet'!$A$62,'Données projet'!$B$62,AI16+AH17-AQ16)))</f>
        <v>31.88702270302047</v>
      </c>
      <c r="AJ17" s="13">
        <f>AI17*VLOOKUP('Données projet'!$B$10,Paramètres!$A$1:$I$89,3,0)*VLOOKUP('Données projet'!$B$10,Paramètres!$A$1:$I$89,5,0)</f>
        <v>17.824845690988443</v>
      </c>
      <c r="AK17" s="13">
        <f t="shared" si="35"/>
        <v>5.8743313933372665</v>
      </c>
      <c r="AL17" s="20">
        <f t="shared" si="4"/>
        <v>41.27606675520061</v>
      </c>
      <c r="AM17" s="59">
        <f t="shared" si="5"/>
        <v>334.6094000885339</v>
      </c>
      <c r="AN17" s="59">
        <f ca="1">AVERAGE(OFFSET($AM$3,0,0,'Données projet'!$E$10+1,1))-AVERAGE(OFFSET($H$3,0,0,'Données projet'!$E$10+1,1))</f>
        <v>253.62342381933348</v>
      </c>
      <c r="AO17" s="59">
        <f t="shared" si="36"/>
        <v>230.93438491775407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7.4312217194570129</v>
      </c>
      <c r="BD17" s="12">
        <f>IF('Données projet'!$A$88&gt;35,BD16+BC17-BL16,IF(A17&lt;'Données projet'!$A$88,$BA$205^A17,IF(A17='Données projet'!$A$88,'Données projet'!$B$88,BD16+BC17-BL16)))</f>
        <v>53.784184291233551</v>
      </c>
      <c r="BE17" s="13">
        <f>BD17*VLOOKUP('Données projet'!$B$11,Paramètres!$A$1:$I$89,3,0)*VLOOKUP('Données projet'!$B$11,Paramètres!$A$1:$I$89,5,0)</f>
        <v>32.162942206157666</v>
      </c>
      <c r="BF17" s="13">
        <f t="shared" si="37"/>
        <v>9.8958162734145461</v>
      </c>
      <c r="BG17" s="20">
        <f t="shared" si="7"/>
        <v>73.252337685254929</v>
      </c>
      <c r="BH17" s="59">
        <f t="shared" si="8"/>
        <v>366.58567101858824</v>
      </c>
      <c r="BI17" s="59">
        <f ca="1">AVERAGE(OFFSET($BH$3,0,0,'Données projet'!$E$11+1,1))-AVERAGE(OFFSET($H$3,0,0,'Données projet'!$E$11+1,1))</f>
        <v>199.27781324660782</v>
      </c>
      <c r="BJ17" s="59">
        <f t="shared" si="38"/>
        <v>199.82499536488524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7.4312217194570129</v>
      </c>
      <c r="BY17" s="12">
        <f>IF('Données projet'!$A$114&gt;35,BY16+BX17-CG16,IF(A17&lt;'Données projet'!$A$114,$BV$205^A17,IF(A17='Données projet'!$A$114,'Données projet'!$B$114,BY16+BX17-CG16)))</f>
        <v>53.784184291233551</v>
      </c>
      <c r="BZ17" s="13">
        <f>BY17*VLOOKUP('Données projet'!$B$12,Paramètres!$A$1:$I$89,3,0)*VLOOKUP('Données projet'!$B$12,Paramètres!$A$1:$I$89,5,0)</f>
        <v>32.162942206157666</v>
      </c>
      <c r="CA17" s="13">
        <f t="shared" si="39"/>
        <v>9.8958162734145461</v>
      </c>
      <c r="CB17" s="20">
        <f t="shared" si="10"/>
        <v>73.252337685254929</v>
      </c>
      <c r="CC17" s="59">
        <f t="shared" si="11"/>
        <v>366.58567101858824</v>
      </c>
      <c r="CD17" s="59">
        <f ca="1">AVERAGE(OFFSET($CC$3,0,0,'Données projet'!$E$12+1,1))-AVERAGE(OFFSET($H$3,0,0,'Données projet'!$E$12+1,1))</f>
        <v>199.27781323742636</v>
      </c>
      <c r="CE17" s="59">
        <f t="shared" si="40"/>
        <v>199.82499536063892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5.9083916083916082</v>
      </c>
      <c r="CT17" s="12">
        <f>IF('Données projet'!$A$140&gt;35,CT16+CS17-DB16,IF(A17&lt;'Données projet'!$A$140,$CQ$205^A17,IF(A17='Données projet'!$A$140,'Données projet'!$B$140,CT16+CS17-DB16)))</f>
        <v>22.141343539670387</v>
      </c>
      <c r="CU17" s="17">
        <f>CT17*VLOOKUP('Données projet'!$B$13,Paramètres!$A$1:$I$89,3,0)*VLOOKUP('Données projet'!$B$13,Paramètres!$A$1:$I$89,5,0)</f>
        <v>13.240523436722894</v>
      </c>
      <c r="CV17" s="13">
        <f t="shared" si="41"/>
        <v>4.5171806517541881</v>
      </c>
      <c r="CW17" s="20">
        <f t="shared" si="13"/>
        <v>30.928001287430916</v>
      </c>
      <c r="CX17" s="59">
        <f t="shared" si="14"/>
        <v>324.26133462076422</v>
      </c>
      <c r="CY17" s="59">
        <f ca="1">AVERAGE(OFFSET($CX$3,0,0,'Données projet'!$E$13+1,1))-AVERAGE(OFFSET($H$3,0,0,'Données projet'!$E$13+1,1))</f>
        <v>213.18424462765137</v>
      </c>
      <c r="CZ17" s="59">
        <f t="shared" si="42"/>
        <v>158.77848520346532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4.9084615384615384</v>
      </c>
      <c r="N18" s="13">
        <f>IF('Données projet'!$A$36&gt;35,N17+M18-V17,IF(A18&lt;'Données projet'!$A$36,$K$205^A18,IF(A18='Données projet'!$A$36,'Données projet'!$B$36,N17+M18-V17)))</f>
        <v>12.134819576485119</v>
      </c>
      <c r="O18" s="13">
        <f>N18*VLOOKUP('Données projet'!$B$9,Paramètres!$A$1:$I$89,3,0)*VLOOKUP('Données projet'!$B$9,Paramètres!$A$1:$I$89,5,0)</f>
        <v>5.6790955617950356</v>
      </c>
      <c r="P18" s="13">
        <f t="shared" si="33"/>
        <v>2.1381252647550886</v>
      </c>
      <c r="Q18" s="20">
        <f t="shared" si="2"/>
        <v>13.614992939574798</v>
      </c>
      <c r="R18" s="59">
        <f t="shared" si="0"/>
        <v>306.9483262729081</v>
      </c>
      <c r="S18" s="59">
        <f ca="1">AVERAGE(OFFSET($R$3,0,0,'Données projet'!$E$9+1,1))-AVERAGE(OFFSET($H$3,0,0,'Données projet'!$E$9+1,1))</f>
        <v>181.79645720099597</v>
      </c>
      <c r="T18" s="59">
        <f t="shared" si="34"/>
        <v>120.20040029102233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8.5743589743589741</v>
      </c>
      <c r="AI18" s="13">
        <f>IF('Données projet'!$A$62&gt;35,AI17+AH18-AQ17,IF(A18&lt;'Données projet'!$A$62,$AF$205^A18,IF(A18='Données projet'!$A$62,'Données projet'!$B$62,AI17+AH18-AQ17)))</f>
        <v>40.833346019697316</v>
      </c>
      <c r="AJ18" s="13">
        <f>AI18*VLOOKUP('Données projet'!$B$10,Paramètres!$A$1:$I$89,3,0)*VLOOKUP('Données projet'!$B$10,Paramètres!$A$1:$I$89,5,0)</f>
        <v>22.825840425010803</v>
      </c>
      <c r="AK18" s="13">
        <f t="shared" si="35"/>
        <v>7.3090000498686072</v>
      </c>
      <c r="AL18" s="20">
        <f t="shared" si="4"/>
        <v>52.484847160414972</v>
      </c>
      <c r="AM18" s="59">
        <f t="shared" si="5"/>
        <v>345.81818049374829</v>
      </c>
      <c r="AN18" s="59">
        <f ca="1">AVERAGE(OFFSET($AM$3,0,0,'Données projet'!$E$10+1,1))-AVERAGE(OFFSET($H$3,0,0,'Données projet'!$E$10+1,1))</f>
        <v>253.62342381933348</v>
      </c>
      <c r="AO18" s="59">
        <f t="shared" si="36"/>
        <v>230.93438491775407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7.4312217194570129</v>
      </c>
      <c r="BD18" s="12">
        <f>IF('Données projet'!$A$88&gt;35,BD17+BC18-BL17,IF(A18&lt;'Données projet'!$A$88,$BA$205^A18,IF(A18='Données projet'!$A$88,'Données projet'!$B$88,BD17+BC18-BL17)))</f>
        <v>71.494522692931866</v>
      </c>
      <c r="BE18" s="13">
        <f>BD18*VLOOKUP('Données projet'!$B$11,Paramètres!$A$1:$I$89,3,0)*VLOOKUP('Données projet'!$B$11,Paramètres!$A$1:$I$89,5,0)</f>
        <v>42.753724570373258</v>
      </c>
      <c r="BF18" s="13">
        <f t="shared" si="37"/>
        <v>12.725669841487028</v>
      </c>
      <c r="BG18" s="20">
        <f t="shared" si="7"/>
        <v>96.626611933989992</v>
      </c>
      <c r="BH18" s="59">
        <f t="shared" si="8"/>
        <v>389.95994526732329</v>
      </c>
      <c r="BI18" s="59">
        <f ca="1">AVERAGE(OFFSET($BH$3,0,0,'Données projet'!$E$11+1,1))-AVERAGE(OFFSET($H$3,0,0,'Données projet'!$E$11+1,1))</f>
        <v>199.27781324660782</v>
      </c>
      <c r="BJ18" s="59">
        <f t="shared" si="38"/>
        <v>199.82499536488524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7.4312217194570129</v>
      </c>
      <c r="BY18" s="12">
        <f>IF('Données projet'!$A$114&gt;35,BY17+BX18-CG17,IF(A18&lt;'Données projet'!$A$114,$BV$205^A18,IF(A18='Données projet'!$A$114,'Données projet'!$B$114,BY17+BX18-CG17)))</f>
        <v>71.494522692931866</v>
      </c>
      <c r="BZ18" s="13">
        <f>BY18*VLOOKUP('Données projet'!$B$12,Paramètres!$A$1:$I$89,3,0)*VLOOKUP('Données projet'!$B$12,Paramètres!$A$1:$I$89,5,0)</f>
        <v>42.753724570373258</v>
      </c>
      <c r="CA18" s="13">
        <f t="shared" si="39"/>
        <v>12.725669841487028</v>
      </c>
      <c r="CB18" s="20">
        <f t="shared" si="10"/>
        <v>96.626611933989992</v>
      </c>
      <c r="CC18" s="59">
        <f t="shared" si="11"/>
        <v>389.95994526732329</v>
      </c>
      <c r="CD18" s="59">
        <f ca="1">AVERAGE(OFFSET($CC$3,0,0,'Données projet'!$E$12+1,1))-AVERAGE(OFFSET($H$3,0,0,'Données projet'!$E$12+1,1))</f>
        <v>199.27781323742636</v>
      </c>
      <c r="CE18" s="59">
        <f t="shared" si="40"/>
        <v>199.82499536063892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5.9083916083916082</v>
      </c>
      <c r="CT18" s="12">
        <f>IF('Données projet'!$A$140&gt;35,CT17+CS18-DB17,IF(A18&lt;'Données projet'!$A$140,$CQ$205^A18,IF(A18='Données projet'!$A$140,'Données projet'!$B$140,CT17+CS18-DB17)))</f>
        <v>27.62421644986637</v>
      </c>
      <c r="CU18" s="17">
        <f>CT18*VLOOKUP('Données projet'!$B$13,Paramètres!$A$1:$I$89,3,0)*VLOOKUP('Données projet'!$B$13,Paramètres!$A$1:$I$89,5,0)</f>
        <v>16.519281437020091</v>
      </c>
      <c r="CV18" s="13">
        <f t="shared" si="41"/>
        <v>5.4924871180381194</v>
      </c>
      <c r="CW18" s="20">
        <f t="shared" si="13"/>
        <v>38.337163566726382</v>
      </c>
      <c r="CX18" s="59">
        <f t="shared" si="14"/>
        <v>331.67049690005967</v>
      </c>
      <c r="CY18" s="59">
        <f ca="1">AVERAGE(OFFSET($CX$3,0,0,'Données projet'!$E$13+1,1))-AVERAGE(OFFSET($H$3,0,0,'Données projet'!$E$13+1,1))</f>
        <v>213.18424462765137</v>
      </c>
      <c r="CZ18" s="59">
        <f t="shared" si="42"/>
        <v>158.77848520346532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4.9084615384615384</v>
      </c>
      <c r="N19" s="13">
        <f>IF('Données projet'!$A$36&gt;35,N18+M19-V18,IF(A19&lt;'Données projet'!$A$36,$K$205^A19,IF(A19='Données projet'!$A$36,'Données projet'!$B$36,N18+M19-V18)))</f>
        <v>14.331848602335111</v>
      </c>
      <c r="O19" s="13">
        <f>N19*VLOOKUP('Données projet'!$B$9,Paramètres!$A$1:$I$89,3,0)*VLOOKUP('Données projet'!$B$9,Paramètres!$A$1:$I$89,5,0)</f>
        <v>6.7073051458928319</v>
      </c>
      <c r="P19" s="13">
        <f t="shared" si="33"/>
        <v>2.4767942738506736</v>
      </c>
      <c r="Q19" s="20">
        <f t="shared" si="2"/>
        <v>15.995639822719939</v>
      </c>
      <c r="R19" s="59">
        <f t="shared" si="0"/>
        <v>309.32897315605328</v>
      </c>
      <c r="S19" s="59">
        <f ca="1">AVERAGE(OFFSET($R$3,0,0,'Données projet'!$E$9+1,1))-AVERAGE(OFFSET($H$3,0,0,'Données projet'!$E$9+1,1))</f>
        <v>181.79645720099597</v>
      </c>
      <c r="T19" s="59">
        <f t="shared" si="34"/>
        <v>120.20040029102233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8.5743589743589741</v>
      </c>
      <c r="AI19" s="13">
        <f>IF('Données projet'!$A$62&gt;35,AI18+AH19-AQ18,IF(A19&lt;'Données projet'!$A$62,$AF$205^A19,IF(A19='Données projet'!$A$62,'Données projet'!$B$62,AI18+AH19-AQ18)))</f>
        <v>52.289677926136108</v>
      </c>
      <c r="AJ19" s="13">
        <f>AI19*VLOOKUP('Données projet'!$B$10,Paramètres!$A$1:$I$89,3,0)*VLOOKUP('Données projet'!$B$10,Paramètres!$A$1:$I$89,5,0)</f>
        <v>29.229929960710084</v>
      </c>
      <c r="AK19" s="13">
        <f t="shared" si="35"/>
        <v>9.0940531188911979</v>
      </c>
      <c r="AL19" s="20">
        <f t="shared" si="4"/>
        <v>66.747603863638901</v>
      </c>
      <c r="AM19" s="59">
        <f t="shared" si="5"/>
        <v>360.08093719697223</v>
      </c>
      <c r="AN19" s="59">
        <f ca="1">AVERAGE(OFFSET($AM$3,0,0,'Données projet'!$E$10+1,1))-AVERAGE(OFFSET($H$3,0,0,'Données projet'!$E$10+1,1))</f>
        <v>253.62342381933348</v>
      </c>
      <c r="AO19" s="59">
        <f t="shared" si="36"/>
        <v>230.93438491775407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7.4312217194570129</v>
      </c>
      <c r="BD19" s="12">
        <f>IF('Données projet'!$A$88&gt;35,BD18+BC19-BL18,IF(A19&lt;'Données projet'!$A$88,$BA$205^A19,IF(A19='Données projet'!$A$88,'Données projet'!$B$88,BD18+BC19-BL18)))</f>
        <v>95.036614247271999</v>
      </c>
      <c r="BE19" s="13">
        <f>BD19*VLOOKUP('Données projet'!$B$11,Paramètres!$A$1:$I$89,3,0)*VLOOKUP('Données projet'!$B$11,Paramètres!$A$1:$I$89,5,0)</f>
        <v>56.831895319868664</v>
      </c>
      <c r="BF19" s="13">
        <f t="shared" si="37"/>
        <v>16.364761474967661</v>
      </c>
      <c r="BG19" s="20">
        <f t="shared" si="7"/>
        <v>127.4841772510066</v>
      </c>
      <c r="BH19" s="59">
        <f t="shared" si="8"/>
        <v>420.81751058433991</v>
      </c>
      <c r="BI19" s="59">
        <f ca="1">AVERAGE(OFFSET($BH$3,0,0,'Données projet'!$E$11+1,1))-AVERAGE(OFFSET($H$3,0,0,'Données projet'!$E$11+1,1))</f>
        <v>199.27781324660782</v>
      </c>
      <c r="BJ19" s="59">
        <f t="shared" si="38"/>
        <v>199.82499536488524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7.4312217194570129</v>
      </c>
      <c r="BY19" s="12">
        <f>IF('Données projet'!$A$114&gt;35,BY18+BX19-CG18,IF(A19&lt;'Données projet'!$A$114,$BV$205^A19,IF(A19='Données projet'!$A$114,'Données projet'!$B$114,BY18+BX19-CG18)))</f>
        <v>95.036614247271999</v>
      </c>
      <c r="BZ19" s="13">
        <f>BY19*VLOOKUP('Données projet'!$B$12,Paramètres!$A$1:$I$89,3,0)*VLOOKUP('Données projet'!$B$12,Paramètres!$A$1:$I$89,5,0)</f>
        <v>56.831895319868664</v>
      </c>
      <c r="CA19" s="13">
        <f t="shared" si="39"/>
        <v>16.364761474967661</v>
      </c>
      <c r="CB19" s="20">
        <f t="shared" si="10"/>
        <v>127.4841772510066</v>
      </c>
      <c r="CC19" s="59">
        <f t="shared" si="11"/>
        <v>420.81751058433991</v>
      </c>
      <c r="CD19" s="59">
        <f ca="1">AVERAGE(OFFSET($CC$3,0,0,'Données projet'!$E$12+1,1))-AVERAGE(OFFSET($H$3,0,0,'Données projet'!$E$12+1,1))</f>
        <v>199.27781323742636</v>
      </c>
      <c r="CE19" s="59">
        <f t="shared" si="40"/>
        <v>199.82499536063892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5.9083916083916082</v>
      </c>
      <c r="CT19" s="12">
        <f>IF('Données projet'!$A$140&gt;35,CT18+CS19-DB18,IF(A19&lt;'Données projet'!$A$140,$CQ$205^A19,IF(A19='Données projet'!$A$140,'Données projet'!$B$140,CT18+CS19-DB18)))</f>
        <v>34.464816152725106</v>
      </c>
      <c r="CU19" s="17">
        <f>CT19*VLOOKUP('Données projet'!$B$13,Paramètres!$A$1:$I$89,3,0)*VLOOKUP('Données projet'!$B$13,Paramètres!$A$1:$I$89,5,0)</f>
        <v>20.609960059329616</v>
      </c>
      <c r="CV19" s="13">
        <f t="shared" si="41"/>
        <v>6.6783724334999919</v>
      </c>
      <c r="CW19" s="20">
        <f t="shared" si="13"/>
        <v>47.527179091678228</v>
      </c>
      <c r="CX19" s="59">
        <f t="shared" si="14"/>
        <v>340.86051242501156</v>
      </c>
      <c r="CY19" s="59">
        <f ca="1">AVERAGE(OFFSET($CX$3,0,0,'Données projet'!$E$13+1,1))-AVERAGE(OFFSET($H$3,0,0,'Données projet'!$E$13+1,1))</f>
        <v>213.18424462765137</v>
      </c>
      <c r="CZ19" s="59">
        <f t="shared" si="42"/>
        <v>158.77848520346532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4.9084615384615384</v>
      </c>
      <c r="N20" s="13">
        <f>IF('Données projet'!$A$36&gt;35,N19+M20-V19,IF(A20&lt;'Données projet'!$A$36,$K$205^A20,IF(A20='Données projet'!$A$36,'Données projet'!$B$36,N19+M20-V19)))</f>
        <v>16.926653343761537</v>
      </c>
      <c r="O20" s="13">
        <f>N20*VLOOKUP('Données projet'!$B$9,Paramètres!$A$1:$I$89,3,0)*VLOOKUP('Données projet'!$B$9,Paramètres!$A$1:$I$89,5,0)</f>
        <v>7.9216737648803992</v>
      </c>
      <c r="P20" s="13">
        <f t="shared" si="33"/>
        <v>2.8691068648319642</v>
      </c>
      <c r="Q20" s="20">
        <f t="shared" si="2"/>
        <v>18.793942930082366</v>
      </c>
      <c r="R20" s="59">
        <f t="shared" si="0"/>
        <v>312.12727626341569</v>
      </c>
      <c r="S20" s="59">
        <f ca="1">AVERAGE(OFFSET($R$3,0,0,'Données projet'!$E$9+1,1))-AVERAGE(OFFSET($H$3,0,0,'Données projet'!$E$9+1,1))</f>
        <v>181.79645720099597</v>
      </c>
      <c r="T20" s="59">
        <f t="shared" si="34"/>
        <v>120.20040029102233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8.5743589743589741</v>
      </c>
      <c r="AI20" s="13">
        <f>IF('Données projet'!$A$62&gt;35,AI19+AH20-AQ19,IF(A20&lt;'Données projet'!$A$62,$AF$205^A20,IF(A20='Données projet'!$A$62,'Données projet'!$B$62,AI19+AH20-AQ19)))</f>
        <v>66.960234321725892</v>
      </c>
      <c r="AJ20" s="13">
        <f>AI20*VLOOKUP('Données projet'!$B$10,Paramètres!$A$1:$I$89,3,0)*VLOOKUP('Données projet'!$B$10,Paramètres!$A$1:$I$89,5,0)</f>
        <v>37.430770985844774</v>
      </c>
      <c r="AK20" s="13">
        <f t="shared" si="35"/>
        <v>11.315063834306788</v>
      </c>
      <c r="AL20" s="20">
        <f t="shared" si="4"/>
        <v>84.898995645097301</v>
      </c>
      <c r="AM20" s="59">
        <f t="shared" si="5"/>
        <v>378.23232897843059</v>
      </c>
      <c r="AN20" s="59">
        <f ca="1">AVERAGE(OFFSET($AM$3,0,0,'Données projet'!$E$10+1,1))-AVERAGE(OFFSET($H$3,0,0,'Données projet'!$E$10+1,1))</f>
        <v>253.62342381933348</v>
      </c>
      <c r="AO20" s="59">
        <f t="shared" si="36"/>
        <v>230.93438491775407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>
        <f>VLOOKUP(A20,'Données projet'!$A$87:$I$107,2,0)</f>
        <v>126.33076923076922</v>
      </c>
      <c r="BB20" s="12">
        <f>VLOOKUP(A20,'Données projet'!$A$87:$I$107,9,0)</f>
        <v>7.4312217194570129</v>
      </c>
      <c r="BC20" s="12">
        <f t="array" ref="BC20">INDEX(BB:BB,MIN(IF(ISNUMBER(BB20:BB216),ROW(BB20:BB216),"")))</f>
        <v>7.4312217194570129</v>
      </c>
      <c r="BD20" s="12">
        <f>IF('Données projet'!$A$88&gt;35,BD19+BC20-BL19,IF(A20&lt;'Données projet'!$A$88,$BA$205^A20,IF(A20='Données projet'!$A$88,'Données projet'!$B$88,BD19+BC20-BL19)))</f>
        <v>126.33076923076922</v>
      </c>
      <c r="BE20" s="13">
        <f>BD20*VLOOKUP('Données projet'!$B$11,Paramètres!$A$1:$I$89,3,0)*VLOOKUP('Données projet'!$B$11,Paramètres!$A$1:$I$89,5,0)</f>
        <v>75.5458</v>
      </c>
      <c r="BF20" s="13">
        <f t="shared" si="37"/>
        <v>21.044504648353485</v>
      </c>
      <c r="BG20" s="20">
        <f t="shared" si="7"/>
        <v>168.22811392921565</v>
      </c>
      <c r="BH20" s="59">
        <f t="shared" si="8"/>
        <v>461.561447262549</v>
      </c>
      <c r="BI20" s="59">
        <f ca="1">AVERAGE(OFFSET($BH$3,0,0,'Données projet'!$E$11+1,1))-AVERAGE(OFFSET($H$3,0,0,'Données projet'!$E$11+1,1))</f>
        <v>199.27781324660782</v>
      </c>
      <c r="BJ20" s="59">
        <f t="shared" si="38"/>
        <v>199.82499536488524</v>
      </c>
      <c r="BK20" s="15">
        <f>IF(ISNA(VLOOKUP(A20,'Données projet'!$A$87:$I$107,3,0)),0,VLOOKUP(A20,'Données projet'!$A$87:$I$107,3,0))</f>
        <v>1</v>
      </c>
      <c r="BL20" s="15">
        <f>IF(ISNA(VLOOKUP(A20,'Données projet'!$A$87:$I$107,4,0)),0,VLOOKUP(A20,'Données projet'!$A$87:$I$107,4,0))</f>
        <v>42.084615384615383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0.25200000000000006</v>
      </c>
      <c r="BO20" s="16">
        <f>IF(ISNA(VLOOKUP(A20,'Données projet'!$A$87:$I$107,7,0)),0%,VLOOKUP(A20,'Données projet'!$A$87:$I$107,7,0))</f>
        <v>0.44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8.3799241086489591</v>
      </c>
      <c r="BR20" s="21">
        <f>EXP(-LN(2)/2)*BR19+(1-EXP(-LN(2)/2))/(LN(2)/2)*BL20*BO20*VLOOKUP('Données projet'!$B$11,Paramètres!$A$1:$I$89,3,0)*0.475*44/12</f>
        <v>12.537552429129006</v>
      </c>
      <c r="BS20" s="22">
        <f t="shared" si="9"/>
        <v>20.917476537777965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>
        <f>VLOOKUP(A20,'Données projet'!$A$113:$I$133,2,0)</f>
        <v>126.33076923076922</v>
      </c>
      <c r="BW20" s="12">
        <f>VLOOKUP(A20,'Données projet'!$A$113:$I$133,9,0)</f>
        <v>7.4312217194570129</v>
      </c>
      <c r="BX20" s="12">
        <f t="array" ref="BX20">INDEX(BW:BW,MIN(IF(ISNUMBER(BW20:BW216),ROW(BW20:BW216),"")))</f>
        <v>7.4312217194570129</v>
      </c>
      <c r="BY20" s="12">
        <f>IF('Données projet'!$A$114&gt;35,BY19+BX20-CG19,IF(A20&lt;'Données projet'!$A$114,$BV$205^A20,IF(A20='Données projet'!$A$114,'Données projet'!$B$114,BY19+BX20-CG19)))</f>
        <v>126.33076923076922</v>
      </c>
      <c r="BZ20" s="13">
        <f>BY20*VLOOKUP('Données projet'!$B$12,Paramètres!$A$1:$I$89,3,0)*VLOOKUP('Données projet'!$B$12,Paramètres!$A$1:$I$89,5,0)</f>
        <v>75.5458</v>
      </c>
      <c r="CA20" s="13">
        <f t="shared" si="39"/>
        <v>21.044504648353485</v>
      </c>
      <c r="CB20" s="20">
        <f t="shared" si="10"/>
        <v>168.22811392921565</v>
      </c>
      <c r="CC20" s="59">
        <f t="shared" si="11"/>
        <v>461.561447262549</v>
      </c>
      <c r="CD20" s="59">
        <f ca="1">AVERAGE(OFFSET($CC$3,0,0,'Données projet'!$E$12+1,1))-AVERAGE(OFFSET($H$3,0,0,'Données projet'!$E$12+1,1))</f>
        <v>199.27781323742636</v>
      </c>
      <c r="CE20" s="59">
        <f t="shared" si="40"/>
        <v>199.82499536063892</v>
      </c>
      <c r="CF20" s="15">
        <f>IF(ISNA(VLOOKUP(A20,'Données projet'!$A$113:$I$133,3,0)),0,VLOOKUP(A20,'Données projet'!$A$113:$I$133,3,0))</f>
        <v>1</v>
      </c>
      <c r="CG20" s="15">
        <f>IF(ISNA(VLOOKUP(A20,'Données projet'!$A$113:$I$133,4,0)),0,VLOOKUP(A20,'Données projet'!$A$113:$I$133,4,0))</f>
        <v>42.084615384615383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0.25200000000000006</v>
      </c>
      <c r="CJ20" s="16">
        <f>IF(ISNA(VLOOKUP(A20,'Données projet'!$A$113:$I$133,7,0)),0%,VLOOKUP(A20,'Données projet'!$A$113:$I$133,7,0))</f>
        <v>0.44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8.3799241086489591</v>
      </c>
      <c r="CM20" s="21">
        <f>EXP(-LN(2)/2)*CM19+(1-EXP(-LN(2)/2))/(LN(2)/2)*CG20*CJ20*VLOOKUP('Données projet'!$B$12,Paramètres!$A$1:$I$89,3,0)*0.475*44/12</f>
        <v>12.537552429129006</v>
      </c>
      <c r="CN20" s="22">
        <f t="shared" si="12"/>
        <v>20.917476537777965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5.9083916083916082</v>
      </c>
      <c r="CT20" s="12">
        <f>IF('Données projet'!$A$140&gt;35,CT19+CS20-DB19,IF(A20&lt;'Données projet'!$A$140,$CQ$205^A20,IF(A20='Données projet'!$A$140,'Données projet'!$B$140,CT19+CS20-DB19)))</f>
        <v>42.999357270344852</v>
      </c>
      <c r="CU20" s="17">
        <f>CT20*VLOOKUP('Données projet'!$B$13,Paramètres!$A$1:$I$89,3,0)*VLOOKUP('Données projet'!$B$13,Paramètres!$A$1:$I$89,5,0)</f>
        <v>25.71361564766622</v>
      </c>
      <c r="CV20" s="13">
        <f t="shared" si="41"/>
        <v>8.1203027703164814</v>
      </c>
      <c r="CW20" s="20">
        <f t="shared" si="13"/>
        <v>58.927407911319868</v>
      </c>
      <c r="CX20" s="59">
        <f t="shared" si="14"/>
        <v>352.26074124465316</v>
      </c>
      <c r="CY20" s="59">
        <f ca="1">AVERAGE(OFFSET($CX$3,0,0,'Données projet'!$E$13+1,1))-AVERAGE(OFFSET($H$3,0,0,'Données projet'!$E$13+1,1))</f>
        <v>213.18424462765137</v>
      </c>
      <c r="CZ20" s="59">
        <f t="shared" si="42"/>
        <v>158.77848520346532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4.9084615384615384</v>
      </c>
      <c r="N21" s="13">
        <f>IF('Données projet'!$A$36&gt;35,N20+M21-V20,IF(A21&lt;'Données projet'!$A$36,$K$205^A21,IF(A21='Données projet'!$A$36,'Données projet'!$B$36,N20+M21-V20)))</f>
        <v>19.991251747746755</v>
      </c>
      <c r="O21" s="13">
        <f>N21*VLOOKUP('Données projet'!$B$9,Paramètres!$A$1:$I$89,3,0)*VLOOKUP('Données projet'!$B$9,Paramètres!$A$1:$I$89,5,0)</f>
        <v>9.3559058179454802</v>
      </c>
      <c r="P21" s="13">
        <f t="shared" si="33"/>
        <v>3.3235599293549551</v>
      </c>
      <c r="Q21" s="20">
        <f t="shared" si="2"/>
        <v>22.083402843214927</v>
      </c>
      <c r="R21" s="59">
        <f t="shared" si="0"/>
        <v>315.41673617654823</v>
      </c>
      <c r="S21" s="59">
        <f ca="1">AVERAGE(OFFSET($R$3,0,0,'Données projet'!$E$9+1,1))-AVERAGE(OFFSET($H$3,0,0,'Données projet'!$E$9+1,1))</f>
        <v>181.79645720099597</v>
      </c>
      <c r="T21" s="59">
        <f t="shared" si="34"/>
        <v>120.20040029102233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8.5743589743589741</v>
      </c>
      <c r="AI21" s="13">
        <f>IF('Données projet'!$A$62&gt;35,AI20+AH21-AQ20,IF(A21&lt;'Données projet'!$A$62,$AF$205^A21,IF(A21='Données projet'!$A$62,'Données projet'!$B$62,AI20+AH21-AQ20)))</f>
        <v>85.746808132075927</v>
      </c>
      <c r="AJ21" s="13">
        <f>AI21*VLOOKUP('Données projet'!$B$10,Paramètres!$A$1:$I$89,3,0)*VLOOKUP('Données projet'!$B$10,Paramètres!$A$1:$I$89,5,0)</f>
        <v>47.932465745830442</v>
      </c>
      <c r="AK21" s="13">
        <f t="shared" si="35"/>
        <v>14.078504699788656</v>
      </c>
      <c r="AL21" s="20">
        <f t="shared" si="4"/>
        <v>108.00244019278658</v>
      </c>
      <c r="AM21" s="59">
        <f t="shared" si="5"/>
        <v>401.33577352611991</v>
      </c>
      <c r="AN21" s="59">
        <f ca="1">AVERAGE(OFFSET($AM$3,0,0,'Données projet'!$E$10+1,1))-AVERAGE(OFFSET($H$3,0,0,'Données projet'!$E$10+1,1))</f>
        <v>253.62342381933348</v>
      </c>
      <c r="AO21" s="59">
        <f t="shared" si="36"/>
        <v>230.93438491775407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14.926923076923075</v>
      </c>
      <c r="BD21" s="12">
        <f>IF('Données projet'!$A$88&gt;35,BD20+BC21-BL20,IF(A21&lt;'Données projet'!$A$88,$BA$205^A21,IF(A21='Données projet'!$A$88,'Données projet'!$B$88,BD20+BC21-BL20)))</f>
        <v>99.173076923076934</v>
      </c>
      <c r="BE21" s="13">
        <f>BD21*VLOOKUP('Données projet'!$B$11,Paramètres!$A$1:$I$89,3,0)*VLOOKUP('Données projet'!$B$11,Paramètres!$A$1:$I$89,5,0)</f>
        <v>59.305500000000016</v>
      </c>
      <c r="BF21" s="13">
        <f t="shared" si="37"/>
        <v>16.992558820122873</v>
      </c>
      <c r="BG21" s="20">
        <f t="shared" si="7"/>
        <v>132.88578577838067</v>
      </c>
      <c r="BH21" s="59">
        <f t="shared" si="8"/>
        <v>426.21911911171401</v>
      </c>
      <c r="BI21" s="59">
        <f ca="1">AVERAGE(OFFSET($BH$3,0,0,'Données projet'!$E$11+1,1))-AVERAGE(OFFSET($H$3,0,0,'Données projet'!$E$11+1,1))</f>
        <v>199.27781324660782</v>
      </c>
      <c r="BJ21" s="59">
        <f t="shared" si="38"/>
        <v>199.82499536488524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8.1507746432168968</v>
      </c>
      <c r="BR21" s="21">
        <f>EXP(-LN(2)/2)*BR20+(1-EXP(-LN(2)/2))/(LN(2)/2)*BL21*BO21*VLOOKUP('Données projet'!$B$11,Paramètres!$A$1:$I$89,3,0)*0.475*44/12</f>
        <v>8.8653883421189921</v>
      </c>
      <c r="BS21" s="22">
        <f t="shared" si="9"/>
        <v>17.016162985335889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14.926923076923075</v>
      </c>
      <c r="BY21" s="12">
        <f>IF('Données projet'!$A$114&gt;35,BY20+BX21-CG20,IF(A21&lt;'Données projet'!$A$114,$BV$205^A21,IF(A21='Données projet'!$A$114,'Données projet'!$B$114,BY20+BX21-CG20)))</f>
        <v>99.173076923076934</v>
      </c>
      <c r="BZ21" s="13">
        <f>BY21*VLOOKUP('Données projet'!$B$12,Paramètres!$A$1:$I$89,3,0)*VLOOKUP('Données projet'!$B$12,Paramètres!$A$1:$I$89,5,0)</f>
        <v>59.305500000000016</v>
      </c>
      <c r="CA21" s="13">
        <f t="shared" si="39"/>
        <v>16.992558820122873</v>
      </c>
      <c r="CB21" s="20">
        <f t="shared" si="10"/>
        <v>132.88578577838067</v>
      </c>
      <c r="CC21" s="59">
        <f t="shared" si="11"/>
        <v>426.21911911171401</v>
      </c>
      <c r="CD21" s="59">
        <f ca="1">AVERAGE(OFFSET($CC$3,0,0,'Données projet'!$E$12+1,1))-AVERAGE(OFFSET($H$3,0,0,'Données projet'!$E$12+1,1))</f>
        <v>199.27781323742636</v>
      </c>
      <c r="CE21" s="59">
        <f t="shared" si="40"/>
        <v>199.82499536063892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8.1507746432168968</v>
      </c>
      <c r="CM21" s="21">
        <f>EXP(-LN(2)/2)*CM20+(1-EXP(-LN(2)/2))/(LN(2)/2)*CG21*CJ21*VLOOKUP('Données projet'!$B$12,Paramètres!$A$1:$I$89,3,0)*0.475*44/12</f>
        <v>8.8653883421189921</v>
      </c>
      <c r="CN21" s="22">
        <f t="shared" si="12"/>
        <v>17.016162985335889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5.9083916083916082</v>
      </c>
      <c r="CT21" s="12">
        <f>IF('Données projet'!$A$140&gt;35,CT20+CS21-DB20,IF(A21&lt;'Données projet'!$A$140,$CQ$205^A21,IF(A21='Données projet'!$A$140,'Données projet'!$B$140,CT20+CS21-DB20)))</f>
        <v>53.64731143405691</v>
      </c>
      <c r="CU21" s="17">
        <f>CT21*VLOOKUP('Données projet'!$B$13,Paramètres!$A$1:$I$89,3,0)*VLOOKUP('Données projet'!$B$13,Paramètres!$A$1:$I$89,5,0)</f>
        <v>32.081092237566033</v>
      </c>
      <c r="CV21" s="13">
        <f t="shared" si="41"/>
        <v>9.8735609219464049</v>
      </c>
      <c r="CW21" s="20">
        <f t="shared" si="13"/>
        <v>73.071020919484155</v>
      </c>
      <c r="CX21" s="59">
        <f t="shared" si="14"/>
        <v>366.40435425281748</v>
      </c>
      <c r="CY21" s="59">
        <f ca="1">AVERAGE(OFFSET($CX$3,0,0,'Données projet'!$E$13+1,1))-AVERAGE(OFFSET($H$3,0,0,'Données projet'!$E$13+1,1))</f>
        <v>213.18424462765137</v>
      </c>
      <c r="CZ21" s="59">
        <f t="shared" si="42"/>
        <v>158.77848520346532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4.9084615384615384</v>
      </c>
      <c r="N22" s="13">
        <f>IF('Données projet'!$A$36&gt;35,N21+M22-V21,IF(A22&lt;'Données projet'!$A$36,$K$205^A22,IF(A22='Données projet'!$A$36,'Données projet'!$B$36,N21+M22-V21)))</f>
        <v>23.610700728923604</v>
      </c>
      <c r="O22" s="13">
        <f>N22*VLOOKUP('Données projet'!$B$9,Paramètres!$A$1:$I$89,3,0)*VLOOKUP('Données projet'!$B$9,Paramètres!$A$1:$I$89,5,0)</f>
        <v>11.049807941136248</v>
      </c>
      <c r="P22" s="13">
        <f t="shared" si="33"/>
        <v>3.8499962268435248</v>
      </c>
      <c r="Q22" s="20">
        <f t="shared" si="2"/>
        <v>25.950492259231435</v>
      </c>
      <c r="R22" s="59">
        <f t="shared" si="0"/>
        <v>319.28382559256477</v>
      </c>
      <c r="S22" s="59">
        <f ca="1">AVERAGE(OFFSET($R$3,0,0,'Données projet'!$E$9+1,1))-AVERAGE(OFFSET($H$3,0,0,'Données projet'!$E$9+1,1))</f>
        <v>181.79645720099597</v>
      </c>
      <c r="T22" s="59">
        <f t="shared" si="34"/>
        <v>120.20040029102233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8.5743589743589741</v>
      </c>
      <c r="AI22" s="13">
        <f>IF('Données projet'!$A$62&gt;35,AI21+AH22-AQ21,IF(A22&lt;'Données projet'!$A$62,$AF$205^A22,IF(A22='Données projet'!$A$62,'Données projet'!$B$62,AI21+AH22-AQ21)))</f>
        <v>109.80420214051502</v>
      </c>
      <c r="AJ22" s="13">
        <f>AI22*VLOOKUP('Données projet'!$B$10,Paramètres!$A$1:$I$89,3,0)*VLOOKUP('Données projet'!$B$10,Paramètres!$A$1:$I$89,5,0)</f>
        <v>61.380548996547894</v>
      </c>
      <c r="AK22" s="13">
        <f t="shared" si="35"/>
        <v>17.516851648775006</v>
      </c>
      <c r="AL22" s="20">
        <f t="shared" si="4"/>
        <v>137.41297279060404</v>
      </c>
      <c r="AM22" s="59">
        <f t="shared" si="5"/>
        <v>430.74630612393736</v>
      </c>
      <c r="AN22" s="59">
        <f ca="1">AVERAGE(OFFSET($AM$3,0,0,'Données projet'!$E$10+1,1))-AVERAGE(OFFSET($H$3,0,0,'Données projet'!$E$10+1,1))</f>
        <v>253.62342381933348</v>
      </c>
      <c r="AO22" s="59">
        <f t="shared" si="36"/>
        <v>230.93438491775407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14.926923076923075</v>
      </c>
      <c r="BD22" s="12">
        <f>IF('Données projet'!$A$88&gt;35,BD21+BC22-BL21,IF(A22&lt;'Données projet'!$A$88,$BA$205^A22,IF(A22='Données projet'!$A$88,'Données projet'!$B$88,BD21+BC22-BL21)))</f>
        <v>114.10000000000001</v>
      </c>
      <c r="BE22" s="13">
        <f>BD22*VLOOKUP('Données projet'!$B$11,Paramètres!$A$1:$I$89,3,0)*VLOOKUP('Données projet'!$B$11,Paramètres!$A$1:$I$89,5,0)</f>
        <v>68.231800000000007</v>
      </c>
      <c r="BF22" s="13">
        <f t="shared" si="37"/>
        <v>19.233699497264624</v>
      </c>
      <c r="BG22" s="20">
        <f t="shared" si="7"/>
        <v>152.3357449577359</v>
      </c>
      <c r="BH22" s="59">
        <f t="shared" si="8"/>
        <v>445.66907829106924</v>
      </c>
      <c r="BI22" s="59">
        <f ca="1">AVERAGE(OFFSET($BH$3,0,0,'Données projet'!$E$11+1,1))-AVERAGE(OFFSET($H$3,0,0,'Données projet'!$E$11+1,1))</f>
        <v>199.27781324660782</v>
      </c>
      <c r="BJ22" s="59">
        <f t="shared" si="38"/>
        <v>199.82499536488524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7.9278912819675211</v>
      </c>
      <c r="BR22" s="21">
        <f>EXP(-LN(2)/2)*BR21+(1-EXP(-LN(2)/2))/(LN(2)/2)*BL22*BO22*VLOOKUP('Données projet'!$B$11,Paramètres!$A$1:$I$89,3,0)*0.475*44/12</f>
        <v>6.2687762145645038</v>
      </c>
      <c r="BS22" s="22">
        <f t="shared" si="9"/>
        <v>14.196667496532026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14.926923076923075</v>
      </c>
      <c r="BY22" s="12">
        <f>IF('Données projet'!$A$114&gt;35,BY21+BX22-CG21,IF(A22&lt;'Données projet'!$A$114,$BV$205^A22,IF(A22='Données projet'!$A$114,'Données projet'!$B$114,BY21+BX22-CG21)))</f>
        <v>114.10000000000001</v>
      </c>
      <c r="BZ22" s="13">
        <f>BY22*VLOOKUP('Données projet'!$B$12,Paramètres!$A$1:$I$89,3,0)*VLOOKUP('Données projet'!$B$12,Paramètres!$A$1:$I$89,5,0)</f>
        <v>68.231800000000007</v>
      </c>
      <c r="CA22" s="13">
        <f t="shared" si="39"/>
        <v>19.233699497264624</v>
      </c>
      <c r="CB22" s="20">
        <f t="shared" si="10"/>
        <v>152.3357449577359</v>
      </c>
      <c r="CC22" s="59">
        <f t="shared" si="11"/>
        <v>445.66907829106924</v>
      </c>
      <c r="CD22" s="59">
        <f ca="1">AVERAGE(OFFSET($CC$3,0,0,'Données projet'!$E$12+1,1))-AVERAGE(OFFSET($H$3,0,0,'Données projet'!$E$12+1,1))</f>
        <v>199.27781323742636</v>
      </c>
      <c r="CE22" s="59">
        <f t="shared" si="40"/>
        <v>199.82499536063892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7.9278912819675211</v>
      </c>
      <c r="CM22" s="21">
        <f>EXP(-LN(2)/2)*CM21+(1-EXP(-LN(2)/2))/(LN(2)/2)*CG22*CJ22*VLOOKUP('Données projet'!$B$12,Paramètres!$A$1:$I$89,3,0)*0.475*44/12</f>
        <v>6.2687762145645038</v>
      </c>
      <c r="CN22" s="22">
        <f t="shared" si="12"/>
        <v>14.196667496532026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5.9083916083916082</v>
      </c>
      <c r="CT22" s="12">
        <f>IF('Données projet'!$A$140&gt;35,CT21+CS22-DB21,IF(A22&lt;'Données projet'!$A$140,$CQ$205^A22,IF(A22='Données projet'!$A$140,'Données projet'!$B$140,CT21+CS22-DB21)))</f>
        <v>66.932024262780615</v>
      </c>
      <c r="CU22" s="17">
        <f>CT22*VLOOKUP('Données projet'!$B$13,Paramètres!$A$1:$I$89,3,0)*VLOOKUP('Données projet'!$B$13,Paramètres!$A$1:$I$89,5,0)</f>
        <v>40.025350509142811</v>
      </c>
      <c r="CV22" s="13">
        <f t="shared" si="41"/>
        <v>12.005365814160106</v>
      </c>
      <c r="CW22" s="20">
        <f t="shared" si="13"/>
        <v>90.620164263085925</v>
      </c>
      <c r="CX22" s="59">
        <f t="shared" si="14"/>
        <v>383.95349759641925</v>
      </c>
      <c r="CY22" s="59">
        <f ca="1">AVERAGE(OFFSET($CX$3,0,0,'Données projet'!$E$13+1,1))-AVERAGE(OFFSET($H$3,0,0,'Données projet'!$E$13+1,1))</f>
        <v>213.18424462765137</v>
      </c>
      <c r="CZ22" s="59">
        <f t="shared" si="42"/>
        <v>158.77848520346532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4.9084615384615384</v>
      </c>
      <c r="N23" s="13">
        <f>IF('Données projet'!$A$36&gt;35,N22+M23-V22,IF(A23&lt;'Données projet'!$A$36,$K$205^A23,IF(A23='Données projet'!$A$36,'Données projet'!$B$36,N22+M23-V22)))</f>
        <v>27.885456896095882</v>
      </c>
      <c r="O23" s="13">
        <f>N23*VLOOKUP('Données projet'!$B$9,Paramètres!$A$1:$I$89,3,0)*VLOOKUP('Données projet'!$B$9,Paramètres!$A$1:$I$89,5,0)</f>
        <v>13.050393827372874</v>
      </c>
      <c r="P23" s="13">
        <f t="shared" si="33"/>
        <v>4.459817563628576</v>
      </c>
      <c r="Q23" s="20">
        <f t="shared" si="2"/>
        <v>30.49695150599419</v>
      </c>
      <c r="R23" s="59">
        <f t="shared" si="0"/>
        <v>323.83028483932753</v>
      </c>
      <c r="S23" s="59">
        <f ca="1">AVERAGE(OFFSET($R$3,0,0,'Données projet'!$E$9+1,1))-AVERAGE(OFFSET($H$3,0,0,'Données projet'!$E$9+1,1))</f>
        <v>181.79645720099597</v>
      </c>
      <c r="T23" s="59">
        <f t="shared" si="34"/>
        <v>120.20040029102233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8.5743589743589741</v>
      </c>
      <c r="AI23" s="13">
        <f>IF('Données projet'!$A$62&gt;35,AI22+AH23-AQ22,IF(A23&lt;'Données projet'!$A$62,$AF$205^A23,IF(A23='Données projet'!$A$62,'Données projet'!$B$62,AI22+AH23-AQ22)))</f>
        <v>140.61121422903264</v>
      </c>
      <c r="AJ23" s="13">
        <f>AI23*VLOOKUP('Données projet'!$B$10,Paramètres!$A$1:$I$89,3,0)*VLOOKUP('Données projet'!$B$10,Paramètres!$A$1:$I$89,5,0)</f>
        <v>78.601668754029248</v>
      </c>
      <c r="AK23" s="13">
        <f t="shared" si="35"/>
        <v>21.794934776688162</v>
      </c>
      <c r="AL23" s="20">
        <f t="shared" si="4"/>
        <v>174.8574178159995</v>
      </c>
      <c r="AM23" s="59">
        <f t="shared" si="5"/>
        <v>468.19075114933281</v>
      </c>
      <c r="AN23" s="59">
        <f ca="1">AVERAGE(OFFSET($AM$3,0,0,'Données projet'!$E$10+1,1))-AVERAGE(OFFSET($H$3,0,0,'Données projet'!$E$10+1,1))</f>
        <v>253.62342381933348</v>
      </c>
      <c r="AO23" s="59">
        <f t="shared" si="36"/>
        <v>230.93438491775407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14.926923076923075</v>
      </c>
      <c r="BD23" s="12">
        <f>IF('Données projet'!$A$88&gt;35,BD22+BC23-BL22,IF(A23&lt;'Données projet'!$A$88,$BA$205^A23,IF(A23='Données projet'!$A$88,'Données projet'!$B$88,BD22+BC23-BL22)))</f>
        <v>129.02692307692308</v>
      </c>
      <c r="BE23" s="13">
        <f>BD23*VLOOKUP('Données projet'!$B$11,Paramètres!$A$1:$I$89,3,0)*VLOOKUP('Données projet'!$B$11,Paramètres!$A$1:$I$89,5,0)</f>
        <v>77.158100000000005</v>
      </c>
      <c r="BF23" s="13">
        <f t="shared" si="37"/>
        <v>21.440868838738705</v>
      </c>
      <c r="BG23" s="20">
        <f t="shared" si="7"/>
        <v>171.72653739413659</v>
      </c>
      <c r="BH23" s="59">
        <f t="shared" si="8"/>
        <v>465.0598707274699</v>
      </c>
      <c r="BI23" s="59">
        <f ca="1">AVERAGE(OFFSET($BH$3,0,0,'Données projet'!$E$11+1,1))-AVERAGE(OFFSET($H$3,0,0,'Données projet'!$E$11+1,1))</f>
        <v>199.27781324660782</v>
      </c>
      <c r="BJ23" s="59">
        <f t="shared" si="38"/>
        <v>199.82499536488524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7.7111026779524359</v>
      </c>
      <c r="BR23" s="21">
        <f>EXP(-LN(2)/2)*BR22+(1-EXP(-LN(2)/2))/(LN(2)/2)*BL23*BO23*VLOOKUP('Données projet'!$B$11,Paramètres!$A$1:$I$89,3,0)*0.475*44/12</f>
        <v>4.4326941710594969</v>
      </c>
      <c r="BS23" s="22">
        <f t="shared" si="9"/>
        <v>12.143796849011933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14.926923076923075</v>
      </c>
      <c r="BY23" s="12">
        <f>IF('Données projet'!$A$114&gt;35,BY22+BX23-CG22,IF(A23&lt;'Données projet'!$A$114,$BV$205^A23,IF(A23='Données projet'!$A$114,'Données projet'!$B$114,BY22+BX23-CG22)))</f>
        <v>129.02692307692308</v>
      </c>
      <c r="BZ23" s="13">
        <f>BY23*VLOOKUP('Données projet'!$B$12,Paramètres!$A$1:$I$89,3,0)*VLOOKUP('Données projet'!$B$12,Paramètres!$A$1:$I$89,5,0)</f>
        <v>77.158100000000005</v>
      </c>
      <c r="CA23" s="13">
        <f t="shared" si="39"/>
        <v>21.440868838738705</v>
      </c>
      <c r="CB23" s="20">
        <f t="shared" si="10"/>
        <v>171.72653739413659</v>
      </c>
      <c r="CC23" s="59">
        <f t="shared" si="11"/>
        <v>465.0598707274699</v>
      </c>
      <c r="CD23" s="59">
        <f ca="1">AVERAGE(OFFSET($CC$3,0,0,'Données projet'!$E$12+1,1))-AVERAGE(OFFSET($H$3,0,0,'Données projet'!$E$12+1,1))</f>
        <v>199.27781323742636</v>
      </c>
      <c r="CE23" s="59">
        <f t="shared" si="40"/>
        <v>199.82499536063892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7.7111026779524359</v>
      </c>
      <c r="CM23" s="21">
        <f>EXP(-LN(2)/2)*CM22+(1-EXP(-LN(2)/2))/(LN(2)/2)*CG23*CJ23*VLOOKUP('Données projet'!$B$12,Paramètres!$A$1:$I$89,3,0)*0.475*44/12</f>
        <v>4.4326941710594969</v>
      </c>
      <c r="CN23" s="22">
        <f t="shared" si="12"/>
        <v>12.143796849011933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5.9083916083916082</v>
      </c>
      <c r="CT23" s="12">
        <f>IF('Données projet'!$A$140&gt;35,CT22+CS23-DB22,IF(A23&lt;'Données projet'!$A$140,$CQ$205^A23,IF(A23='Données projet'!$A$140,'Données projet'!$B$140,CT22+CS23-DB22)))</f>
        <v>83.506437734910989</v>
      </c>
      <c r="CU23" s="17">
        <f>CT23*VLOOKUP('Données projet'!$B$13,Paramètres!$A$1:$I$89,3,0)*VLOOKUP('Données projet'!$B$13,Paramètres!$A$1:$I$89,5,0)</f>
        <v>49.936849765476779</v>
      </c>
      <c r="CV23" s="13">
        <f t="shared" si="41"/>
        <v>14.597449640629918</v>
      </c>
      <c r="CW23" s="20">
        <f t="shared" si="13"/>
        <v>112.39723813230249</v>
      </c>
      <c r="CX23" s="59">
        <f t="shared" si="14"/>
        <v>405.73057146563582</v>
      </c>
      <c r="CY23" s="59">
        <f ca="1">AVERAGE(OFFSET($CX$3,0,0,'Données projet'!$E$13+1,1))-AVERAGE(OFFSET($H$3,0,0,'Données projet'!$E$13+1,1))</f>
        <v>213.18424462765137</v>
      </c>
      <c r="CZ23" s="59">
        <f t="shared" si="42"/>
        <v>158.77848520346532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4.9084615384615384</v>
      </c>
      <c r="N24" s="13">
        <f>IF('Données projet'!$A$36&gt;35,N23+M24-V23,IF(A24&lt;'Données projet'!$A$36,$K$205^A24,IF(A24='Données projet'!$A$36,'Données projet'!$B$36,N23+M24-V23)))</f>
        <v>32.934164692174789</v>
      </c>
      <c r="O24" s="13">
        <f>N24*VLOOKUP('Données projet'!$B$9,Paramètres!$A$1:$I$89,3,0)*VLOOKUP('Données projet'!$B$9,Paramètres!$A$1:$I$89,5,0)</f>
        <v>15.413189075937803</v>
      </c>
      <c r="P24" s="13">
        <f t="shared" si="33"/>
        <v>5.166231738662507</v>
      </c>
      <c r="Q24" s="20">
        <f t="shared" si="2"/>
        <v>35.842491252095542</v>
      </c>
      <c r="R24" s="59">
        <f t="shared" si="0"/>
        <v>329.17582458542887</v>
      </c>
      <c r="S24" s="59">
        <f ca="1">AVERAGE(OFFSET($R$3,0,0,'Données projet'!$E$9+1,1))-AVERAGE(OFFSET($H$3,0,0,'Données projet'!$E$9+1,1))</f>
        <v>181.79645720099597</v>
      </c>
      <c r="T24" s="59">
        <f t="shared" si="34"/>
        <v>120.20040029102233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>
        <f>VLOOKUP(A24,'Données projet'!$A$61:$I$81,2,0)</f>
        <v>180.06153846153845</v>
      </c>
      <c r="AG24" s="12">
        <f>VLOOKUP(A24,'Données projet'!$A$61:$I$81,9,0)</f>
        <v>8.5743589743589741</v>
      </c>
      <c r="AH24" s="12">
        <f t="array" ref="AH24">INDEX(AG:AG,MIN(IF(ISNUMBER(AG24:AG220),ROW(AG24:AG220),"")))</f>
        <v>8.5743589743589741</v>
      </c>
      <c r="AI24" s="13">
        <f>IF('Données projet'!$A$62&gt;35,AI23+AH24-AQ23,IF(A24&lt;'Données projet'!$A$62,$AF$205^A24,IF(A24='Données projet'!$A$62,'Données projet'!$B$62,AI23+AH24-AQ23)))</f>
        <v>180.06153846153845</v>
      </c>
      <c r="AJ24" s="13">
        <f>AI24*VLOOKUP('Données projet'!$B$10,Paramètres!$A$1:$I$89,3,0)*VLOOKUP('Données projet'!$B$10,Paramètres!$A$1:$I$89,5,0)</f>
        <v>100.65439999999998</v>
      </c>
      <c r="AK24" s="13">
        <f t="shared" si="35"/>
        <v>27.117840091618859</v>
      </c>
      <c r="AL24" s="20">
        <f t="shared" si="4"/>
        <v>222.53665149290282</v>
      </c>
      <c r="AM24" s="59">
        <f t="shared" si="5"/>
        <v>515.86998482623608</v>
      </c>
      <c r="AN24" s="59">
        <f ca="1">AVERAGE(OFFSET($AM$3,0,0,'Données projet'!$E$10+1,1))-AVERAGE(OFFSET($H$3,0,0,'Données projet'!$E$10+1,1))</f>
        <v>253.62342381933348</v>
      </c>
      <c r="AO24" s="59">
        <f t="shared" si="36"/>
        <v>230.93438491775407</v>
      </c>
      <c r="AP24" s="15">
        <f>IF(ISNA(VLOOKUP(A24,'Données projet'!$A$61:$I$81,3,0)),0,VLOOKUP(A24,'Données projet'!$A$61:$I$81,3,0))</f>
        <v>1</v>
      </c>
      <c r="AQ24" s="15">
        <f>IF(ISNA(VLOOKUP(A24,'Données projet'!$A$61:$I$81,4,0)),0,VLOOKUP(A24,'Données projet'!$A$61:$I$81,4,0))</f>
        <v>61.169230769230765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0.30800000000000005</v>
      </c>
      <c r="AT24" s="16">
        <f>IF(ISNA(VLOOKUP(A24,'Données projet'!$A$61:$I$81,7,0)),0%,VLOOKUP(A24,'Données projet'!$A$61:$I$81,7,0))</f>
        <v>0.44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13.915875728661929</v>
      </c>
      <c r="AW24" s="21">
        <f>EXP(-LN(2)/2)*AW23+(1-EXP(-LN(2)/2))/(LN(2)/2)*AQ24*AT24*VLOOKUP('Données projet'!$B$10,Paramètres!$A$1:$I$89,3,0)*0.475*44/12</f>
        <v>17.034643247028416</v>
      </c>
      <c r="AX24" s="21">
        <f t="shared" si="6"/>
        <v>30.950518975690343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14.926923076923075</v>
      </c>
      <c r="BD24" s="12">
        <f>IF('Données projet'!$A$88&gt;35,BD23+BC24-BL23,IF(A24&lt;'Données projet'!$A$88,$BA$205^A24,IF(A24='Données projet'!$A$88,'Données projet'!$B$88,BD23+BC24-BL23)))</f>
        <v>143.95384615384614</v>
      </c>
      <c r="BE24" s="13">
        <f>BD24*VLOOKUP('Données projet'!$B$11,Paramètres!$A$1:$I$89,3,0)*VLOOKUP('Données projet'!$B$11,Paramètres!$A$1:$I$89,5,0)</f>
        <v>86.084400000000002</v>
      </c>
      <c r="BF24" s="13">
        <f t="shared" si="37"/>
        <v>23.618445758177199</v>
      </c>
      <c r="BG24" s="20">
        <f t="shared" si="7"/>
        <v>191.06578969549196</v>
      </c>
      <c r="BH24" s="59">
        <f t="shared" si="8"/>
        <v>484.39912302882527</v>
      </c>
      <c r="BI24" s="59">
        <f ca="1">AVERAGE(OFFSET($BH$3,0,0,'Données projet'!$E$11+1,1))-AVERAGE(OFFSET($H$3,0,0,'Données projet'!$E$11+1,1))</f>
        <v>199.27781324660782</v>
      </c>
      <c r="BJ24" s="59">
        <f t="shared" si="38"/>
        <v>199.82499536488524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7.5002421697145607</v>
      </c>
      <c r="BR24" s="21">
        <f>EXP(-LN(2)/2)*BR23+(1-EXP(-LN(2)/2))/(LN(2)/2)*BL24*BO24*VLOOKUP('Données projet'!$B$11,Paramètres!$A$1:$I$89,3,0)*0.475*44/12</f>
        <v>3.1343881072822524</v>
      </c>
      <c r="BS24" s="22">
        <f t="shared" si="9"/>
        <v>10.634630276996813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14.926923076923075</v>
      </c>
      <c r="BY24" s="12">
        <f>IF('Données projet'!$A$114&gt;35,BY23+BX24-CG23,IF(A24&lt;'Données projet'!$A$114,$BV$205^A24,IF(A24='Données projet'!$A$114,'Données projet'!$B$114,BY23+BX24-CG23)))</f>
        <v>143.95384615384614</v>
      </c>
      <c r="BZ24" s="13">
        <f>BY24*VLOOKUP('Données projet'!$B$12,Paramètres!$A$1:$I$89,3,0)*VLOOKUP('Données projet'!$B$12,Paramètres!$A$1:$I$89,5,0)</f>
        <v>86.084400000000002</v>
      </c>
      <c r="CA24" s="13">
        <f t="shared" si="39"/>
        <v>23.618445758177199</v>
      </c>
      <c r="CB24" s="20">
        <f t="shared" si="10"/>
        <v>191.06578969549196</v>
      </c>
      <c r="CC24" s="59">
        <f t="shared" si="11"/>
        <v>484.39912302882527</v>
      </c>
      <c r="CD24" s="59">
        <f ca="1">AVERAGE(OFFSET($CC$3,0,0,'Données projet'!$E$12+1,1))-AVERAGE(OFFSET($H$3,0,0,'Données projet'!$E$12+1,1))</f>
        <v>199.27781323742636</v>
      </c>
      <c r="CE24" s="59">
        <f t="shared" si="40"/>
        <v>199.82499536063892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7.5002421697145607</v>
      </c>
      <c r="CM24" s="21">
        <f>EXP(-LN(2)/2)*CM23+(1-EXP(-LN(2)/2))/(LN(2)/2)*CG24*CJ24*VLOOKUP('Données projet'!$B$12,Paramètres!$A$1:$I$89,3,0)*0.475*44/12</f>
        <v>3.1343881072822524</v>
      </c>
      <c r="CN24" s="22">
        <f t="shared" si="12"/>
        <v>10.634630276996813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5.9083916083916082</v>
      </c>
      <c r="CT24" s="12">
        <f>IF('Données projet'!$A$140&gt;35,CT23+CS24-DB23,IF(A24&lt;'Données projet'!$A$140,$CQ$205^A24,IF(A24='Données projet'!$A$140,'Données projet'!$B$140,CT23+CS24-DB23)))</f>
        <v>104.18518220510889</v>
      </c>
      <c r="CU24" s="17">
        <f>CT24*VLOOKUP('Données projet'!$B$13,Paramètres!$A$1:$I$89,3,0)*VLOOKUP('Données projet'!$B$13,Paramètres!$A$1:$I$89,5,0)</f>
        <v>62.302738958655119</v>
      </c>
      <c r="CV24" s="13">
        <f t="shared" si="41"/>
        <v>17.749191429002199</v>
      </c>
      <c r="CW24" s="20">
        <f t="shared" si="13"/>
        <v>139.42377875850318</v>
      </c>
      <c r="CX24" s="59">
        <f t="shared" si="14"/>
        <v>432.75711209183646</v>
      </c>
      <c r="CY24" s="59">
        <f ca="1">AVERAGE(OFFSET($CX$3,0,0,'Données projet'!$E$13+1,1))-AVERAGE(OFFSET($H$3,0,0,'Données projet'!$E$13+1,1))</f>
        <v>213.18424462765137</v>
      </c>
      <c r="CZ24" s="59">
        <f t="shared" si="42"/>
        <v>158.77848520346532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4.9084615384615384</v>
      </c>
      <c r="N25" s="13">
        <f>IF('Données projet'!$A$36&gt;35,N24+M25-V24,IF(A25&lt;'Données projet'!$A$36,$K$205^A25,IF(A25='Données projet'!$A$36,'Données projet'!$B$36,N24+M25-V24)))</f>
        <v>38.896949331432715</v>
      </c>
      <c r="O25" s="13">
        <f>N25*VLOOKUP('Données projet'!$B$9,Paramètres!$A$1:$I$89,3,0)*VLOOKUP('Données projet'!$B$9,Paramètres!$A$1:$I$89,5,0)</f>
        <v>18.20377228711051</v>
      </c>
      <c r="P25" s="13">
        <f t="shared" si="33"/>
        <v>5.9845386042761088</v>
      </c>
      <c r="Q25" s="20">
        <f t="shared" si="2"/>
        <v>42.127974802498365</v>
      </c>
      <c r="R25" s="59">
        <f t="shared" si="0"/>
        <v>335.4613081358317</v>
      </c>
      <c r="S25" s="59">
        <f ca="1">AVERAGE(OFFSET($R$3,0,0,'Données projet'!$E$9+1,1))-AVERAGE(OFFSET($H$3,0,0,'Données projet'!$E$9+1,1))</f>
        <v>181.79645720099597</v>
      </c>
      <c r="T25" s="59">
        <f t="shared" si="34"/>
        <v>120.20040029102233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16.687912087912089</v>
      </c>
      <c r="AI25" s="13">
        <f>IF('Données projet'!$A$62&gt;35,AI24+AH25-AQ24,IF(A25&lt;'Données projet'!$A$62,$AF$205^A25,IF(A25='Données projet'!$A$62,'Données projet'!$B$62,AI24+AH25-AQ24)))</f>
        <v>135.58021978021975</v>
      </c>
      <c r="AJ25" s="13">
        <f>AI25*VLOOKUP('Données projet'!$B$10,Paramètres!$A$1:$I$89,3,0)*VLOOKUP('Données projet'!$B$10,Paramètres!$A$1:$I$89,5,0)</f>
        <v>75.789342857142842</v>
      </c>
      <c r="AK25" s="13">
        <f t="shared" si="35"/>
        <v>21.104439314832938</v>
      </c>
      <c r="AL25" s="20">
        <f t="shared" si="4"/>
        <v>168.75667061619112</v>
      </c>
      <c r="AM25" s="59">
        <f t="shared" si="5"/>
        <v>462.09000394952443</v>
      </c>
      <c r="AN25" s="59">
        <f ca="1">AVERAGE(OFFSET($AM$3,0,0,'Données projet'!$E$10+1,1))-AVERAGE(OFFSET($H$3,0,0,'Données projet'!$E$10+1,1))</f>
        <v>253.62342381933348</v>
      </c>
      <c r="AO25" s="59">
        <f t="shared" si="36"/>
        <v>230.93438491775407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13.535345375057569</v>
      </c>
      <c r="AW25" s="21">
        <f>EXP(-LN(2)/2)*AW24+(1-EXP(-LN(2)/2))/(LN(2)/2)*AQ25*AT25*VLOOKUP('Données projet'!$B$10,Paramètres!$A$1:$I$89,3,0)*0.475*44/12</f>
        <v>12.045311755067422</v>
      </c>
      <c r="AX25" s="21">
        <f t="shared" si="6"/>
        <v>25.58065713012499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14.926923076923075</v>
      </c>
      <c r="BD25" s="12">
        <f>IF('Données projet'!$A$88&gt;35,BD24+BC25-BL24,IF(A25&lt;'Données projet'!$A$88,$BA$205^A25,IF(A25='Données projet'!$A$88,'Données projet'!$B$88,BD24+BC25-BL24)))</f>
        <v>158.8807692307692</v>
      </c>
      <c r="BE25" s="13">
        <f>BD25*VLOOKUP('Données projet'!$B$11,Paramètres!$A$1:$I$89,3,0)*VLOOKUP('Données projet'!$B$11,Paramètres!$A$1:$I$89,5,0)</f>
        <v>95.0107</v>
      </c>
      <c r="BF25" s="13">
        <f t="shared" si="37"/>
        <v>25.769848277327686</v>
      </c>
      <c r="BG25" s="20">
        <f t="shared" si="7"/>
        <v>210.3594549163457</v>
      </c>
      <c r="BH25" s="59">
        <f t="shared" si="8"/>
        <v>503.69278824967898</v>
      </c>
      <c r="BI25" s="59">
        <f ca="1">AVERAGE(OFFSET($BH$3,0,0,'Données projet'!$E$11+1,1))-AVERAGE(OFFSET($H$3,0,0,'Données projet'!$E$11+1,1))</f>
        <v>199.27781324660782</v>
      </c>
      <c r="BJ25" s="59">
        <f t="shared" si="38"/>
        <v>199.82499536488524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7.2951476531631227</v>
      </c>
      <c r="BR25" s="21">
        <f>EXP(-LN(2)/2)*BR24+(1-EXP(-LN(2)/2))/(LN(2)/2)*BL25*BO25*VLOOKUP('Données projet'!$B$11,Paramètres!$A$1:$I$89,3,0)*0.475*44/12</f>
        <v>2.2163470855297485</v>
      </c>
      <c r="BS25" s="22">
        <f t="shared" si="9"/>
        <v>9.5114947386928712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14.926923076923075</v>
      </c>
      <c r="BY25" s="12">
        <f>IF('Données projet'!$A$114&gt;35,BY24+BX25-CG24,IF(A25&lt;'Données projet'!$A$114,$BV$205^A25,IF(A25='Données projet'!$A$114,'Données projet'!$B$114,BY24+BX25-CG24)))</f>
        <v>158.8807692307692</v>
      </c>
      <c r="BZ25" s="13">
        <f>BY25*VLOOKUP('Données projet'!$B$12,Paramètres!$A$1:$I$89,3,0)*VLOOKUP('Données projet'!$B$12,Paramètres!$A$1:$I$89,5,0)</f>
        <v>95.0107</v>
      </c>
      <c r="CA25" s="13">
        <f t="shared" si="39"/>
        <v>25.769848277327686</v>
      </c>
      <c r="CB25" s="20">
        <f t="shared" si="10"/>
        <v>210.3594549163457</v>
      </c>
      <c r="CC25" s="59">
        <f t="shared" si="11"/>
        <v>503.69278824967898</v>
      </c>
      <c r="CD25" s="59">
        <f ca="1">AVERAGE(OFFSET($CC$3,0,0,'Données projet'!$E$12+1,1))-AVERAGE(OFFSET($H$3,0,0,'Données projet'!$E$12+1,1))</f>
        <v>199.27781323742636</v>
      </c>
      <c r="CE25" s="59">
        <f t="shared" si="40"/>
        <v>199.82499536063892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7.2951476531631227</v>
      </c>
      <c r="CM25" s="21">
        <f>EXP(-LN(2)/2)*CM24+(1-EXP(-LN(2)/2))/(LN(2)/2)*CG25*CJ25*VLOOKUP('Données projet'!$B$12,Paramètres!$A$1:$I$89,3,0)*0.475*44/12</f>
        <v>2.2163470855297485</v>
      </c>
      <c r="CN25" s="22">
        <f t="shared" si="12"/>
        <v>9.5114947386928712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>
        <f>VLOOKUP(A25,'Données projet'!$A$139:$I$159,2,0)</f>
        <v>129.98461538461538</v>
      </c>
      <c r="CR25" s="12">
        <f>VLOOKUP(A25,'Données projet'!$A$139:$I$159,9,0)</f>
        <v>5.9083916083916082</v>
      </c>
      <c r="CS25" s="12">
        <f t="array" ref="CS25">INDEX(CR:CR,MIN(IF(ISNUMBER(CR25:CR221),ROW(CR25:CR221),"")))</f>
        <v>5.9083916083916082</v>
      </c>
      <c r="CT25" s="12">
        <f>IF('Données projet'!$A$140&gt;35,CT24+CS25-DB24,IF(A25&lt;'Données projet'!$A$140,$CQ$205^A25,IF(A25='Données projet'!$A$140,'Données projet'!$B$140,CT24+CS25-DB24)))</f>
        <v>129.98461538461538</v>
      </c>
      <c r="CU25" s="17">
        <f>CT25*VLOOKUP('Données projet'!$B$13,Paramètres!$A$1:$I$89,3,0)*VLOOKUP('Données projet'!$B$13,Paramètres!$A$1:$I$89,5,0)</f>
        <v>77.730800000000002</v>
      </c>
      <c r="CV25" s="13">
        <f t="shared" si="41"/>
        <v>21.581427176601697</v>
      </c>
      <c r="CW25" s="20">
        <f t="shared" si="13"/>
        <v>172.96879566591463</v>
      </c>
      <c r="CX25" s="59">
        <f t="shared" si="14"/>
        <v>466.30212899924794</v>
      </c>
      <c r="CY25" s="59">
        <f ca="1">AVERAGE(OFFSET($CX$3,0,0,'Données projet'!$E$13+1,1))-AVERAGE(OFFSET($H$3,0,0,'Données projet'!$E$13+1,1))</f>
        <v>213.18424462765137</v>
      </c>
      <c r="CZ25" s="59">
        <f t="shared" si="42"/>
        <v>158.77848520346532</v>
      </c>
      <c r="DA25" s="15">
        <f>IF(ISNA(VLOOKUP(A25,'Données projet'!$A$139:$I$159,3,0)),0,VLOOKUP(A25,'Données projet'!$A$139:$I$159,3,0))</f>
        <v>1</v>
      </c>
      <c r="DB25" s="15">
        <f>IF(ISNA(VLOOKUP(A25,'Données projet'!$A$139:$I$159,4,0)),0,VLOOKUP(A25,'Données projet'!$A$139:$I$159,4,0))</f>
        <v>52.746153846153838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0.25200000000000006</v>
      </c>
      <c r="DE25" s="16">
        <f>IF(ISNA(VLOOKUP(A25,'Données projet'!$A$139:$I$159,7,0)),0%,VLOOKUP(A25,'Données projet'!$A$139:$I$159,7,0))</f>
        <v>0.44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10.502858638823966</v>
      </c>
      <c r="DH25" s="21">
        <f>EXP(-LN(2)/2)*DH24+(1-EXP(-LN(2)/2))/(LN(2)/2)*DB25*DE25*VLOOKUP('Données projet'!$B$13,Paramètres!$A$1:$I$89,3,0)*0.475*44/12</f>
        <v>15.713762933017286</v>
      </c>
      <c r="DI25" s="22">
        <f t="shared" si="15"/>
        <v>26.216621571841252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4.9084615384615384</v>
      </c>
      <c r="N26" s="13">
        <f>IF('Données projet'!$A$36&gt;35,N25+M26-V25,IF(A26&lt;'Données projet'!$A$36,$K$205^A26,IF(A26='Données projet'!$A$36,'Données projet'!$B$36,N25+M26-V25)))</f>
        <v>45.939305928458197</v>
      </c>
      <c r="O26" s="13">
        <f>N26*VLOOKUP('Données projet'!$B$9,Paramètres!$A$1:$I$89,3,0)*VLOOKUP('Données projet'!$B$9,Paramètres!$A$1:$I$89,5,0)</f>
        <v>21.499595174518436</v>
      </c>
      <c r="P26" s="13">
        <f t="shared" si="33"/>
        <v>6.9324614376170377</v>
      </c>
      <c r="Q26" s="20">
        <f t="shared" si="2"/>
        <v>49.51916526613595</v>
      </c>
      <c r="R26" s="59">
        <f t="shared" si="0"/>
        <v>342.85249859946924</v>
      </c>
      <c r="S26" s="59">
        <f ca="1">AVERAGE(OFFSET($R$3,0,0,'Données projet'!$E$9+1,1))-AVERAGE(OFFSET($H$3,0,0,'Données projet'!$E$9+1,1))</f>
        <v>181.79645720099597</v>
      </c>
      <c r="T26" s="59">
        <f t="shared" si="34"/>
        <v>120.20040029102233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16.687912087912089</v>
      </c>
      <c r="AI26" s="13">
        <f>IF('Données projet'!$A$62&gt;35,AI25+AH26-AQ25,IF(A26&lt;'Données projet'!$A$62,$AF$205^A26,IF(A26='Données projet'!$A$62,'Données projet'!$B$62,AI25+AH26-AQ25)))</f>
        <v>152.26813186813183</v>
      </c>
      <c r="AJ26" s="13">
        <f>AI26*VLOOKUP('Données projet'!$B$10,Paramètres!$A$1:$I$89,3,0)*VLOOKUP('Données projet'!$B$10,Paramètres!$A$1:$I$89,5,0)</f>
        <v>85.117885714285705</v>
      </c>
      <c r="AK26" s="13">
        <f t="shared" si="35"/>
        <v>23.383981996566973</v>
      </c>
      <c r="AL26" s="20">
        <f t="shared" si="4"/>
        <v>188.97408626306841</v>
      </c>
      <c r="AM26" s="59">
        <f t="shared" si="5"/>
        <v>482.3074195964017</v>
      </c>
      <c r="AN26" s="59">
        <f ca="1">AVERAGE(OFFSET($AM$3,0,0,'Données projet'!$E$10+1,1))-AVERAGE(OFFSET($H$3,0,0,'Données projet'!$E$10+1,1))</f>
        <v>253.62342381933348</v>
      </c>
      <c r="AO26" s="59">
        <f t="shared" si="36"/>
        <v>230.93438491775407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13.165220643983741</v>
      </c>
      <c r="AW26" s="21">
        <f>EXP(-LN(2)/2)*AW25+(1-EXP(-LN(2)/2))/(LN(2)/2)*AQ26*AT26*VLOOKUP('Données projet'!$B$10,Paramètres!$A$1:$I$89,3,0)*0.475*44/12</f>
        <v>8.5173216235142082</v>
      </c>
      <c r="AX26" s="21">
        <f t="shared" si="6"/>
        <v>21.682542267497951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>
        <f>VLOOKUP(A26,'Données projet'!$A$87:$I$107,2,0)</f>
        <v>173.80769230769229</v>
      </c>
      <c r="BB26" s="12">
        <f>VLOOKUP(A26,'Données projet'!$A$87:$I$107,9,0)</f>
        <v>14.926923076923075</v>
      </c>
      <c r="BC26" s="12">
        <f t="array" ref="BC26">INDEX(BB:BB,MIN(IF(ISNUMBER(BB26:BB222),ROW(BB26:BB222),"")))</f>
        <v>14.926923076923075</v>
      </c>
      <c r="BD26" s="12">
        <f>IF('Données projet'!$A$88&gt;35,BD25+BC26-BL25,IF(A26&lt;'Données projet'!$A$88,$BA$205^A26,IF(A26='Données projet'!$A$88,'Données projet'!$B$88,BD25+BC26-BL25)))</f>
        <v>173.80769230769226</v>
      </c>
      <c r="BE26" s="13">
        <f>BD26*VLOOKUP('Données projet'!$B$11,Paramètres!$A$1:$I$89,3,0)*VLOOKUP('Données projet'!$B$11,Paramètres!$A$1:$I$89,5,0)</f>
        <v>103.93699999999998</v>
      </c>
      <c r="BF26" s="13">
        <f t="shared" si="37"/>
        <v>27.897815230264825</v>
      </c>
      <c r="BG26" s="20">
        <f t="shared" si="7"/>
        <v>229.61230319271121</v>
      </c>
      <c r="BH26" s="59">
        <f t="shared" si="8"/>
        <v>522.9456365260445</v>
      </c>
      <c r="BI26" s="59">
        <f ca="1">AVERAGE(OFFSET($BH$3,0,0,'Données projet'!$E$11+1,1))-AVERAGE(OFFSET($H$3,0,0,'Données projet'!$E$11+1,1))</f>
        <v>199.27781324660782</v>
      </c>
      <c r="BJ26" s="59">
        <f t="shared" si="38"/>
        <v>199.82499536488524</v>
      </c>
      <c r="BK26" s="15">
        <f>IF(ISNA(VLOOKUP(A26,'Données projet'!$A$87:$I$107,3,0)),0,VLOOKUP(A26,'Données projet'!$A$87:$I$107,3,0))</f>
        <v>2</v>
      </c>
      <c r="BL26" s="15">
        <f>IF(ISNA(VLOOKUP(A26,'Données projet'!$A$87:$I$107,4,0)),0,VLOOKUP(A26,'Données projet'!$A$87:$I$107,4,0))</f>
        <v>54.099999999999994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0.25200000000000006</v>
      </c>
      <c r="BO26" s="16">
        <f>IF(ISNA(VLOOKUP(A26,'Données projet'!$A$87:$I$107,7,0)),0%,VLOOKUP(A26,'Données projet'!$A$87:$I$107,7,0))</f>
        <v>0.44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17.868099083734933</v>
      </c>
      <c r="BR26" s="21">
        <f>EXP(-LN(2)/2)*BR25+(1-EXP(-LN(2)/2))/(LN(2)/2)*BL26*BO26*VLOOKUP('Données projet'!$B$11,Paramètres!$A$1:$I$89,3,0)*0.475*44/12</f>
        <v>17.684285304612487</v>
      </c>
      <c r="BS26" s="22">
        <f t="shared" si="9"/>
        <v>35.55238438834742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>
        <f>VLOOKUP(A26,'Données projet'!$A$113:$I$133,2,0)</f>
        <v>173.80769230769229</v>
      </c>
      <c r="BW26" s="12">
        <f>VLOOKUP(A26,'Données projet'!$A$113:$I$133,9,0)</f>
        <v>14.926923076923075</v>
      </c>
      <c r="BX26" s="12">
        <f t="array" ref="BX26">INDEX(BW:BW,MIN(IF(ISNUMBER(BW26:BW222),ROW(BW26:BW222),"")))</f>
        <v>14.926923076923075</v>
      </c>
      <c r="BY26" s="12">
        <f>IF('Données projet'!$A$114&gt;35,BY25+BX26-CG25,IF(A26&lt;'Données projet'!$A$114,$BV$205^A26,IF(A26='Données projet'!$A$114,'Données projet'!$B$114,BY25+BX26-CG25)))</f>
        <v>173.80769230769226</v>
      </c>
      <c r="BZ26" s="13">
        <f>BY26*VLOOKUP('Données projet'!$B$12,Paramètres!$A$1:$I$89,3,0)*VLOOKUP('Données projet'!$B$12,Paramètres!$A$1:$I$89,5,0)</f>
        <v>103.93699999999998</v>
      </c>
      <c r="CA26" s="13">
        <f t="shared" si="39"/>
        <v>27.897815230264825</v>
      </c>
      <c r="CB26" s="20">
        <f t="shared" si="10"/>
        <v>229.61230319271121</v>
      </c>
      <c r="CC26" s="59">
        <f t="shared" si="11"/>
        <v>522.9456365260445</v>
      </c>
      <c r="CD26" s="59">
        <f ca="1">AVERAGE(OFFSET($CC$3,0,0,'Données projet'!$E$12+1,1))-AVERAGE(OFFSET($H$3,0,0,'Données projet'!$E$12+1,1))</f>
        <v>199.27781323742636</v>
      </c>
      <c r="CE26" s="59">
        <f t="shared" si="40"/>
        <v>199.82499536063892</v>
      </c>
      <c r="CF26" s="15">
        <f>IF(ISNA(VLOOKUP(A26,'Données projet'!$A$113:$I$133,3,0)),0,VLOOKUP(A26,'Données projet'!$A$113:$I$133,3,0))</f>
        <v>2</v>
      </c>
      <c r="CG26" s="15">
        <f>IF(ISNA(VLOOKUP(A26,'Données projet'!$A$113:$I$133,4,0)),0,VLOOKUP(A26,'Données projet'!$A$113:$I$133,4,0))</f>
        <v>54.099999999999994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0.25200000000000006</v>
      </c>
      <c r="CJ26" s="16">
        <f>IF(ISNA(VLOOKUP(A26,'Données projet'!$A$113:$I$133,7,0)),0%,VLOOKUP(A26,'Données projet'!$A$113:$I$133,7,0))</f>
        <v>0.44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17.868099083734933</v>
      </c>
      <c r="CM26" s="21">
        <f>EXP(-LN(2)/2)*CM25+(1-EXP(-LN(2)/2))/(LN(2)/2)*CG26*CJ26*VLOOKUP('Données projet'!$B$12,Paramètres!$A$1:$I$89,3,0)*0.475*44/12</f>
        <v>17.684285304612487</v>
      </c>
      <c r="CN26" s="22">
        <f t="shared" si="12"/>
        <v>35.55238438834742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12.695384615384615</v>
      </c>
      <c r="CT26" s="12">
        <f>IF('Données projet'!$A$140&gt;35,CT25+CS26-DB25,IF(A26&lt;'Données projet'!$A$140,$CQ$205^A26,IF(A26='Données projet'!$A$140,'Données projet'!$B$140,CT25+CS26-DB25)))</f>
        <v>89.933846153846162</v>
      </c>
      <c r="CU26" s="17">
        <f>CT26*VLOOKUP('Données projet'!$B$13,Paramètres!$A$1:$I$89,3,0)*VLOOKUP('Données projet'!$B$13,Paramètres!$A$1:$I$89,5,0)</f>
        <v>53.780440000000013</v>
      </c>
      <c r="CV26" s="13">
        <f t="shared" si="41"/>
        <v>15.5858948320701</v>
      </c>
      <c r="CW26" s="20">
        <f t="shared" si="13"/>
        <v>120.81303316585546</v>
      </c>
      <c r="CX26" s="59">
        <f t="shared" si="14"/>
        <v>414.14636649918879</v>
      </c>
      <c r="CY26" s="59">
        <f ca="1">AVERAGE(OFFSET($CX$3,0,0,'Données projet'!$E$13+1,1))-AVERAGE(OFFSET($H$3,0,0,'Données projet'!$E$13+1,1))</f>
        <v>213.18424462765137</v>
      </c>
      <c r="CZ26" s="59">
        <f t="shared" si="42"/>
        <v>158.77848520346532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10.215657417023994</v>
      </c>
      <c r="DH26" s="21">
        <f>EXP(-LN(2)/2)*DH25+(1-EXP(-LN(2)/2))/(LN(2)/2)*DB26*DE26*VLOOKUP('Données projet'!$B$13,Paramètres!$A$1:$I$89,3,0)*0.475*44/12</f>
        <v>11.111308327894335</v>
      </c>
      <c r="DI26" s="22">
        <f t="shared" si="15"/>
        <v>21.326965744918329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4.9084615384615384</v>
      </c>
      <c r="N27" s="13">
        <f>IF('Données projet'!$A$36&gt;35,N26+M27-V26,IF(A27&lt;'Données projet'!$A$36,$K$205^A27,IF(A27='Données projet'!$A$36,'Données projet'!$B$36,N26+M27-V26)))</f>
        <v>54.256692760299323</v>
      </c>
      <c r="O27" s="13">
        <f>N27*VLOOKUP('Données projet'!$B$9,Paramètres!$A$1:$I$89,3,0)*VLOOKUP('Données projet'!$B$9,Paramètres!$A$1:$I$89,5,0)</f>
        <v>25.392132211820083</v>
      </c>
      <c r="P27" s="13">
        <f t="shared" si="33"/>
        <v>8.0305307997692346</v>
      </c>
      <c r="Q27" s="20">
        <f t="shared" si="2"/>
        <v>58.211138078518069</v>
      </c>
      <c r="R27" s="59">
        <f t="shared" si="0"/>
        <v>351.54447141185136</v>
      </c>
      <c r="S27" s="59">
        <f ca="1">AVERAGE(OFFSET($R$3,0,0,'Données projet'!$E$9+1,1))-AVERAGE(OFFSET($H$3,0,0,'Données projet'!$E$9+1,1))</f>
        <v>181.79645720099597</v>
      </c>
      <c r="T27" s="59">
        <f t="shared" si="34"/>
        <v>120.20040029102233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16.687912087912089</v>
      </c>
      <c r="AI27" s="13">
        <f>IF('Données projet'!$A$62&gt;35,AI26+AH27-AQ26,IF(A27&lt;'Données projet'!$A$62,$AF$205^A27,IF(A27='Données projet'!$A$62,'Données projet'!$B$62,AI26+AH27-AQ26)))</f>
        <v>168.95604395604391</v>
      </c>
      <c r="AJ27" s="13">
        <f>AI27*VLOOKUP('Données projet'!$B$10,Paramètres!$A$1:$I$89,3,0)*VLOOKUP('Données projet'!$B$10,Paramètres!$A$1:$I$89,5,0)</f>
        <v>94.446428571428541</v>
      </c>
      <c r="AK27" s="13">
        <f t="shared" si="35"/>
        <v>25.63456829651156</v>
      </c>
      <c r="AL27" s="20">
        <f t="shared" si="4"/>
        <v>209.14106954499564</v>
      </c>
      <c r="AM27" s="59">
        <f t="shared" si="5"/>
        <v>502.47440287832899</v>
      </c>
      <c r="AN27" s="59">
        <f ca="1">AVERAGE(OFFSET($AM$3,0,0,'Données projet'!$E$10+1,1))-AVERAGE(OFFSET($H$3,0,0,'Données projet'!$E$10+1,1))</f>
        <v>253.62342381933348</v>
      </c>
      <c r="AO27" s="59">
        <f t="shared" si="36"/>
        <v>230.93438491775407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12.805216993145141</v>
      </c>
      <c r="AW27" s="21">
        <f>EXP(-LN(2)/2)*AW26+(1-EXP(-LN(2)/2))/(LN(2)/2)*AQ27*AT27*VLOOKUP('Données projet'!$B$10,Paramètres!$A$1:$I$89,3,0)*0.475*44/12</f>
        <v>6.0226558775337109</v>
      </c>
      <c r="AX27" s="21">
        <f t="shared" si="6"/>
        <v>18.827872870678853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15.073076923076925</v>
      </c>
      <c r="BD27" s="12">
        <f>IF('Données projet'!$A$88&gt;35,BD26+BC27-BL26,IF(A27&lt;'Données projet'!$A$88,$BA$205^A27,IF(A27='Données projet'!$A$88,'Données projet'!$B$88,BD26+BC27-BL26)))</f>
        <v>134.78076923076921</v>
      </c>
      <c r="BE27" s="13">
        <f>BD27*VLOOKUP('Données projet'!$B$11,Paramètres!$A$1:$I$89,3,0)*VLOOKUP('Données projet'!$B$11,Paramètres!$A$1:$I$89,5,0)</f>
        <v>80.598899999999986</v>
      </c>
      <c r="BF27" s="13">
        <f t="shared" si="37"/>
        <v>22.283554667877272</v>
      </c>
      <c r="BG27" s="20">
        <f t="shared" si="7"/>
        <v>179.18694187988618</v>
      </c>
      <c r="BH27" s="59">
        <f t="shared" si="8"/>
        <v>472.52027521321952</v>
      </c>
      <c r="BI27" s="59">
        <f ca="1">AVERAGE(OFFSET($BH$3,0,0,'Données projet'!$E$11+1,1))-AVERAGE(OFFSET($H$3,0,0,'Données projet'!$E$11+1,1))</f>
        <v>199.27781324660782</v>
      </c>
      <c r="BJ27" s="59">
        <f t="shared" si="38"/>
        <v>199.82499536488524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17.379494974647709</v>
      </c>
      <c r="BR27" s="21">
        <f>EXP(-LN(2)/2)*BR26+(1-EXP(-LN(2)/2))/(LN(2)/2)*BL27*BO27*VLOOKUP('Données projet'!$B$11,Paramètres!$A$1:$I$89,3,0)*0.475*44/12</f>
        <v>12.5046780593291</v>
      </c>
      <c r="BS27" s="22">
        <f t="shared" si="9"/>
        <v>29.884173033976808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15.073076923076925</v>
      </c>
      <c r="BY27" s="12">
        <f>IF('Données projet'!$A$114&gt;35,BY26+BX27-CG26,IF(A27&lt;'Données projet'!$A$114,$BV$205^A27,IF(A27='Données projet'!$A$114,'Données projet'!$B$114,BY26+BX27-CG26)))</f>
        <v>134.78076923076921</v>
      </c>
      <c r="BZ27" s="13">
        <f>BY27*VLOOKUP('Données projet'!$B$12,Paramètres!$A$1:$I$89,3,0)*VLOOKUP('Données projet'!$B$12,Paramètres!$A$1:$I$89,5,0)</f>
        <v>80.598899999999986</v>
      </c>
      <c r="CA27" s="13">
        <f t="shared" si="39"/>
        <v>22.283554667877272</v>
      </c>
      <c r="CB27" s="20">
        <f t="shared" si="10"/>
        <v>179.18694187988618</v>
      </c>
      <c r="CC27" s="59">
        <f t="shared" si="11"/>
        <v>472.52027521321952</v>
      </c>
      <c r="CD27" s="59">
        <f ca="1">AVERAGE(OFFSET($CC$3,0,0,'Données projet'!$E$12+1,1))-AVERAGE(OFFSET($H$3,0,0,'Données projet'!$E$12+1,1))</f>
        <v>199.27781323742636</v>
      </c>
      <c r="CE27" s="59">
        <f t="shared" si="40"/>
        <v>199.82499536063892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17.379494974647709</v>
      </c>
      <c r="CM27" s="21">
        <f>EXP(-LN(2)/2)*CM26+(1-EXP(-LN(2)/2))/(LN(2)/2)*CG27*CJ27*VLOOKUP('Données projet'!$B$12,Paramètres!$A$1:$I$89,3,0)*0.475*44/12</f>
        <v>12.5046780593291</v>
      </c>
      <c r="CN27" s="22">
        <f t="shared" si="12"/>
        <v>29.884173033976808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12.695384615384615</v>
      </c>
      <c r="CT27" s="12">
        <f>IF('Données projet'!$A$140&gt;35,CT26+CS27-DB26,IF(A27&lt;'Données projet'!$A$140,$CQ$205^A27,IF(A27='Données projet'!$A$140,'Données projet'!$B$140,CT26+CS27-DB26)))</f>
        <v>102.62923076923077</v>
      </c>
      <c r="CU27" s="17">
        <f>CT27*VLOOKUP('Données projet'!$B$13,Paramètres!$A$1:$I$89,3,0)*VLOOKUP('Données projet'!$B$13,Paramètres!$A$1:$I$89,5,0)</f>
        <v>61.372280000000011</v>
      </c>
      <c r="CV27" s="13">
        <f t="shared" si="41"/>
        <v>17.514766499235456</v>
      </c>
      <c r="CW27" s="20">
        <f t="shared" si="13"/>
        <v>137.39493931950179</v>
      </c>
      <c r="CX27" s="59">
        <f t="shared" si="14"/>
        <v>430.72827265283513</v>
      </c>
      <c r="CY27" s="59">
        <f ca="1">AVERAGE(OFFSET($CX$3,0,0,'Données projet'!$E$13+1,1))-AVERAGE(OFFSET($H$3,0,0,'Données projet'!$E$13+1,1))</f>
        <v>213.18424462765137</v>
      </c>
      <c r="CZ27" s="59">
        <f t="shared" si="42"/>
        <v>158.77848520346532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9.9363097277373971</v>
      </c>
      <c r="DH27" s="21">
        <f>EXP(-LN(2)/2)*DH26+(1-EXP(-LN(2)/2))/(LN(2)/2)*DB27*DE27*VLOOKUP('Données projet'!$B$13,Paramètres!$A$1:$I$89,3,0)*0.475*44/12</f>
        <v>7.8568814665086437</v>
      </c>
      <c r="DI27" s="22">
        <f t="shared" si="15"/>
        <v>17.793191194246042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4.9084615384615384</v>
      </c>
      <c r="N28" s="13">
        <f>IF('Données projet'!$A$36&gt;35,N27+M28-V27,IF(A28&lt;'Données projet'!$A$36,$K$205^A28,IF(A28='Données projet'!$A$36,'Données projet'!$B$36,N27+M28-V27)))</f>
        <v>64.079956146266369</v>
      </c>
      <c r="O28" s="13">
        <f>N28*VLOOKUP('Données projet'!$B$9,Paramètres!$A$1:$I$89,3,0)*VLOOKUP('Données projet'!$B$9,Paramètres!$A$1:$I$89,5,0)</f>
        <v>29.98941947645266</v>
      </c>
      <c r="P28" s="13">
        <f t="shared" si="33"/>
        <v>9.3025291963556676</v>
      </c>
      <c r="Q28" s="20">
        <f t="shared" si="2"/>
        <v>68.433477271807831</v>
      </c>
      <c r="R28" s="59">
        <f t="shared" si="0"/>
        <v>361.76681060514113</v>
      </c>
      <c r="S28" s="59">
        <f ca="1">AVERAGE(OFFSET($R$3,0,0,'Données projet'!$E$9+1,1))-AVERAGE(OFFSET($H$3,0,0,'Données projet'!$E$9+1,1))</f>
        <v>181.79645720099597</v>
      </c>
      <c r="T28" s="59">
        <f t="shared" si="34"/>
        <v>120.20040029102233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16.687912087912089</v>
      </c>
      <c r="AI28" s="13">
        <f>IF('Données projet'!$A$62&gt;35,AI27+AH28-AQ27,IF(A28&lt;'Données projet'!$A$62,$AF$205^A28,IF(A28='Données projet'!$A$62,'Données projet'!$B$62,AI27+AH28-AQ27)))</f>
        <v>185.643956043956</v>
      </c>
      <c r="AJ28" s="13">
        <f>AI28*VLOOKUP('Données projet'!$B$10,Paramètres!$A$1:$I$89,3,0)*VLOOKUP('Données projet'!$B$10,Paramètres!$A$1:$I$89,5,0)</f>
        <v>103.7749714285714</v>
      </c>
      <c r="AK28" s="13">
        <f t="shared" si="35"/>
        <v>27.859383782043167</v>
      </c>
      <c r="AL28" s="20">
        <f t="shared" si="4"/>
        <v>229.26316865848699</v>
      </c>
      <c r="AM28" s="59">
        <f t="shared" si="5"/>
        <v>522.59650199182033</v>
      </c>
      <c r="AN28" s="59">
        <f ca="1">AVERAGE(OFFSET($AM$3,0,0,'Données projet'!$E$10+1,1))-AVERAGE(OFFSET($H$3,0,0,'Données projet'!$E$10+1,1))</f>
        <v>253.62342381933348</v>
      </c>
      <c r="AO28" s="59">
        <f t="shared" si="36"/>
        <v>230.93438491775407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12.455057661070493</v>
      </c>
      <c r="AW28" s="21">
        <f>EXP(-LN(2)/2)*AW27+(1-EXP(-LN(2)/2))/(LN(2)/2)*AQ28*AT28*VLOOKUP('Données projet'!$B$10,Paramètres!$A$1:$I$89,3,0)*0.475*44/12</f>
        <v>4.2586608117571041</v>
      </c>
      <c r="AX28" s="21">
        <f t="shared" si="6"/>
        <v>16.713718472827598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15.073076923076925</v>
      </c>
      <c r="BD28" s="12">
        <f>IF('Données projet'!$A$88&gt;35,BD27+BC28-BL27,IF(A28&lt;'Données projet'!$A$88,$BA$205^A28,IF(A28='Données projet'!$A$88,'Données projet'!$B$88,BD27+BC28-BL27)))</f>
        <v>149.85384615384612</v>
      </c>
      <c r="BE28" s="13">
        <f>BD28*VLOOKUP('Données projet'!$B$11,Paramètres!$A$1:$I$89,3,0)*VLOOKUP('Données projet'!$B$11,Paramètres!$A$1:$I$89,5,0)</f>
        <v>89.6126</v>
      </c>
      <c r="BF28" s="13">
        <f t="shared" si="37"/>
        <v>24.471769998555317</v>
      </c>
      <c r="BG28" s="20">
        <f t="shared" si="7"/>
        <v>198.69694441415049</v>
      </c>
      <c r="BH28" s="59">
        <f t="shared" si="8"/>
        <v>492.03027774748381</v>
      </c>
      <c r="BI28" s="59">
        <f ca="1">AVERAGE(OFFSET($BH$3,0,0,'Données projet'!$E$11+1,1))-AVERAGE(OFFSET($H$3,0,0,'Données projet'!$E$11+1,1))</f>
        <v>199.27781324660782</v>
      </c>
      <c r="BJ28" s="59">
        <f t="shared" si="38"/>
        <v>199.82499536488524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16.90425177061805</v>
      </c>
      <c r="BR28" s="21">
        <f>EXP(-LN(2)/2)*BR27+(1-EXP(-LN(2)/2))/(LN(2)/2)*BL28*BO28*VLOOKUP('Données projet'!$B$11,Paramètres!$A$1:$I$89,3,0)*0.475*44/12</f>
        <v>8.8421426523062436</v>
      </c>
      <c r="BS28" s="22">
        <f t="shared" si="9"/>
        <v>25.746394422924293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15.073076923076925</v>
      </c>
      <c r="BY28" s="12">
        <f>IF('Données projet'!$A$114&gt;35,BY27+BX28-CG27,IF(A28&lt;'Données projet'!$A$114,$BV$205^A28,IF(A28='Données projet'!$A$114,'Données projet'!$B$114,BY27+BX28-CG27)))</f>
        <v>149.85384615384612</v>
      </c>
      <c r="BZ28" s="13">
        <f>BY28*VLOOKUP('Données projet'!$B$12,Paramètres!$A$1:$I$89,3,0)*VLOOKUP('Données projet'!$B$12,Paramètres!$A$1:$I$89,5,0)</f>
        <v>89.6126</v>
      </c>
      <c r="CA28" s="13">
        <f t="shared" si="39"/>
        <v>24.471769998555317</v>
      </c>
      <c r="CB28" s="20">
        <f t="shared" si="10"/>
        <v>198.69694441415049</v>
      </c>
      <c r="CC28" s="59">
        <f t="shared" si="11"/>
        <v>492.03027774748381</v>
      </c>
      <c r="CD28" s="59">
        <f ca="1">AVERAGE(OFFSET($CC$3,0,0,'Données projet'!$E$12+1,1))-AVERAGE(OFFSET($H$3,0,0,'Données projet'!$E$12+1,1))</f>
        <v>199.27781323742636</v>
      </c>
      <c r="CE28" s="59">
        <f t="shared" si="40"/>
        <v>199.82499536063892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16.90425177061805</v>
      </c>
      <c r="CM28" s="21">
        <f>EXP(-LN(2)/2)*CM27+(1-EXP(-LN(2)/2))/(LN(2)/2)*CG28*CJ28*VLOOKUP('Données projet'!$B$12,Paramètres!$A$1:$I$89,3,0)*0.475*44/12</f>
        <v>8.8421426523062436</v>
      </c>
      <c r="CN28" s="22">
        <f t="shared" si="12"/>
        <v>25.746394422924293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12.695384615384615</v>
      </c>
      <c r="CT28" s="12">
        <f>IF('Données projet'!$A$140&gt;35,CT27+CS28-DB27,IF(A28&lt;'Données projet'!$A$140,$CQ$205^A28,IF(A28='Données projet'!$A$140,'Données projet'!$B$140,CT27+CS28-DB27)))</f>
        <v>115.32461538461538</v>
      </c>
      <c r="CU28" s="17">
        <f>CT28*VLOOKUP('Données projet'!$B$13,Paramètres!$A$1:$I$89,3,0)*VLOOKUP('Données projet'!$B$13,Paramètres!$A$1:$I$89,5,0)</f>
        <v>68.964120000000008</v>
      </c>
      <c r="CV28" s="13">
        <f t="shared" si="41"/>
        <v>19.415989273317052</v>
      </c>
      <c r="CW28" s="20">
        <f t="shared" si="13"/>
        <v>153.92869031769388</v>
      </c>
      <c r="CX28" s="59">
        <f t="shared" si="14"/>
        <v>447.26202365102722</v>
      </c>
      <c r="CY28" s="59">
        <f ca="1">AVERAGE(OFFSET($CX$3,0,0,'Données projet'!$E$13+1,1))-AVERAGE(OFFSET($H$3,0,0,'Données projet'!$E$13+1,1))</f>
        <v>213.18424462765137</v>
      </c>
      <c r="CZ28" s="59">
        <f t="shared" si="42"/>
        <v>158.77848520346532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9.6646008157045991</v>
      </c>
      <c r="DH28" s="21">
        <f>EXP(-LN(2)/2)*DH27+(1-EXP(-LN(2)/2))/(LN(2)/2)*DB28*DE28*VLOOKUP('Données projet'!$B$13,Paramètres!$A$1:$I$89,3,0)*0.475*44/12</f>
        <v>5.5556541639471684</v>
      </c>
      <c r="DI28" s="22">
        <f t="shared" si="15"/>
        <v>15.220254979651767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4.9084615384615384</v>
      </c>
      <c r="N29" s="13">
        <f>IF('Données projet'!$A$36&gt;35,N28+M29-V28,IF(A29&lt;'Données projet'!$A$36,$K$205^A29,IF(A29='Données projet'!$A$36,'Données projet'!$B$36,N28+M29-V28)))</f>
        <v>75.681737511137769</v>
      </c>
      <c r="O29" s="13">
        <f>N29*VLOOKUP('Données projet'!$B$9,Paramètres!$A$1:$I$89,3,0)*VLOOKUP('Données projet'!$B$9,Paramètres!$A$1:$I$89,5,0)</f>
        <v>35.419053155212474</v>
      </c>
      <c r="P29" s="13">
        <f t="shared" si="33"/>
        <v>10.776006170294048</v>
      </c>
      <c r="Q29" s="20">
        <f t="shared" si="2"/>
        <v>80.456394991923858</v>
      </c>
      <c r="R29" s="59">
        <f t="shared" si="0"/>
        <v>373.78972832525716</v>
      </c>
      <c r="S29" s="59">
        <f ca="1">AVERAGE(OFFSET($R$3,0,0,'Données projet'!$E$9+1,1))-AVERAGE(OFFSET($H$3,0,0,'Données projet'!$E$9+1,1))</f>
        <v>181.79645720099597</v>
      </c>
      <c r="T29" s="59">
        <f t="shared" si="34"/>
        <v>120.20040029102233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16.687912087912089</v>
      </c>
      <c r="AI29" s="13">
        <f>IF('Données projet'!$A$62&gt;35,AI28+AH29-AQ28,IF(A29&lt;'Données projet'!$A$62,$AF$205^A29,IF(A29='Données projet'!$A$62,'Données projet'!$B$62,AI28+AH29-AQ28)))</f>
        <v>202.33186813186808</v>
      </c>
      <c r="AJ29" s="13">
        <f>AI29*VLOOKUP('Données projet'!$B$10,Paramètres!$A$1:$I$89,3,0)*VLOOKUP('Données projet'!$B$10,Paramètres!$A$1:$I$89,5,0)</f>
        <v>113.10351428571425</v>
      </c>
      <c r="AK29" s="13">
        <f t="shared" si="35"/>
        <v>30.061008485627202</v>
      </c>
      <c r="AL29" s="20">
        <f t="shared" si="4"/>
        <v>249.34487716008638</v>
      </c>
      <c r="AM29" s="59">
        <f t="shared" si="5"/>
        <v>542.67821049341967</v>
      </c>
      <c r="AN29" s="59">
        <f ca="1">AVERAGE(OFFSET($AM$3,0,0,'Données projet'!$E$10+1,1))-AVERAGE(OFFSET($H$3,0,0,'Données projet'!$E$10+1,1))</f>
        <v>253.62342381933348</v>
      </c>
      <c r="AO29" s="59">
        <f t="shared" si="36"/>
        <v>230.93438491775407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12.114473454345504</v>
      </c>
      <c r="AW29" s="21">
        <f>EXP(-LN(2)/2)*AW28+(1-EXP(-LN(2)/2))/(LN(2)/2)*AQ29*AT29*VLOOKUP('Données projet'!$B$10,Paramètres!$A$1:$I$89,3,0)*0.475*44/12</f>
        <v>3.0113279387668554</v>
      </c>
      <c r="AX29" s="21">
        <f t="shared" si="6"/>
        <v>15.12580139311236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15.073076923076925</v>
      </c>
      <c r="BD29" s="12">
        <f>IF('Données projet'!$A$88&gt;35,BD28+BC29-BL28,IF(A29&lt;'Données projet'!$A$88,$BA$205^A29,IF(A29='Données projet'!$A$88,'Données projet'!$B$88,BD28+BC29-BL28)))</f>
        <v>164.92692307692306</v>
      </c>
      <c r="BE29" s="13">
        <f>BD29*VLOOKUP('Données projet'!$B$11,Paramètres!$A$1:$I$89,3,0)*VLOOKUP('Données projet'!$B$11,Paramètres!$A$1:$I$89,5,0)</f>
        <v>98.626300000000001</v>
      </c>
      <c r="BF29" s="13">
        <f t="shared" si="37"/>
        <v>26.634469472597342</v>
      </c>
      <c r="BG29" s="20">
        <f t="shared" si="7"/>
        <v>218.16250683144037</v>
      </c>
      <c r="BH29" s="59">
        <f t="shared" si="8"/>
        <v>511.49584016477365</v>
      </c>
      <c r="BI29" s="59">
        <f ca="1">AVERAGE(OFFSET($BH$3,0,0,'Données projet'!$E$11+1,1))-AVERAGE(OFFSET($H$3,0,0,'Données projet'!$E$11+1,1))</f>
        <v>199.27781324660782</v>
      </c>
      <c r="BJ29" s="59">
        <f t="shared" si="38"/>
        <v>199.82499536488524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16.442004116994532</v>
      </c>
      <c r="BR29" s="21">
        <f>EXP(-LN(2)/2)*BR28+(1-EXP(-LN(2)/2))/(LN(2)/2)*BL29*BO29*VLOOKUP('Données projet'!$B$11,Paramètres!$A$1:$I$89,3,0)*0.475*44/12</f>
        <v>6.25233902966455</v>
      </c>
      <c r="BS29" s="22">
        <f t="shared" si="9"/>
        <v>22.694343146659083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15.073076923076925</v>
      </c>
      <c r="BY29" s="12">
        <f>IF('Données projet'!$A$114&gt;35,BY28+BX29-CG28,IF(A29&lt;'Données projet'!$A$114,$BV$205^A29,IF(A29='Données projet'!$A$114,'Données projet'!$B$114,BY28+BX29-CG28)))</f>
        <v>164.92692307692306</v>
      </c>
      <c r="BZ29" s="13">
        <f>BY29*VLOOKUP('Données projet'!$B$12,Paramètres!$A$1:$I$89,3,0)*VLOOKUP('Données projet'!$B$12,Paramètres!$A$1:$I$89,5,0)</f>
        <v>98.626300000000001</v>
      </c>
      <c r="CA29" s="13">
        <f t="shared" si="39"/>
        <v>26.634469472597342</v>
      </c>
      <c r="CB29" s="20">
        <f t="shared" si="10"/>
        <v>218.16250683144037</v>
      </c>
      <c r="CC29" s="59">
        <f t="shared" si="11"/>
        <v>511.49584016477365</v>
      </c>
      <c r="CD29" s="59">
        <f ca="1">AVERAGE(OFFSET($CC$3,0,0,'Données projet'!$E$12+1,1))-AVERAGE(OFFSET($H$3,0,0,'Données projet'!$E$12+1,1))</f>
        <v>199.27781323742636</v>
      </c>
      <c r="CE29" s="59">
        <f t="shared" si="40"/>
        <v>199.82499536063892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16.442004116994532</v>
      </c>
      <c r="CM29" s="21">
        <f>EXP(-LN(2)/2)*CM28+(1-EXP(-LN(2)/2))/(LN(2)/2)*CG29*CJ29*VLOOKUP('Données projet'!$B$12,Paramètres!$A$1:$I$89,3,0)*0.475*44/12</f>
        <v>6.25233902966455</v>
      </c>
      <c r="CN29" s="22">
        <f t="shared" si="12"/>
        <v>22.694343146659083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12.695384615384615</v>
      </c>
      <c r="CT29" s="12">
        <f>IF('Données projet'!$A$140&gt;35,CT28+CS29-DB28,IF(A29&lt;'Données projet'!$A$140,$CQ$205^A29,IF(A29='Données projet'!$A$140,'Données projet'!$B$140,CT28+CS29-DB28)))</f>
        <v>128.02000000000001</v>
      </c>
      <c r="CU29" s="17">
        <f>CT29*VLOOKUP('Données projet'!$B$13,Paramètres!$A$1:$I$89,3,0)*VLOOKUP('Données projet'!$B$13,Paramètres!$A$1:$I$89,5,0)</f>
        <v>76.555960000000013</v>
      </c>
      <c r="CV29" s="13">
        <f t="shared" si="41"/>
        <v>21.292953972936246</v>
      </c>
      <c r="CW29" s="20">
        <f t="shared" si="13"/>
        <v>170.42019183619729</v>
      </c>
      <c r="CX29" s="59">
        <f t="shared" si="14"/>
        <v>463.75352516953058</v>
      </c>
      <c r="CY29" s="59">
        <f ca="1">AVERAGE(OFFSET($CX$3,0,0,'Données projet'!$E$13+1,1))-AVERAGE(OFFSET($H$3,0,0,'Données projet'!$E$13+1,1))</f>
        <v>213.18424462765137</v>
      </c>
      <c r="CZ29" s="59">
        <f t="shared" si="42"/>
        <v>158.77848520346532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9.4003217981598883</v>
      </c>
      <c r="DH29" s="21">
        <f>EXP(-LN(2)/2)*DH28+(1-EXP(-LN(2)/2))/(LN(2)/2)*DB29*DE29*VLOOKUP('Données projet'!$B$13,Paramètres!$A$1:$I$89,3,0)*0.475*44/12</f>
        <v>3.9284407332543223</v>
      </c>
      <c r="DI29" s="22">
        <f t="shared" si="15"/>
        <v>13.32876253141421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4.9084615384615384</v>
      </c>
      <c r="N30" s="13">
        <f>IF('Données projet'!$A$36&gt;35,N29+M30-V29,IF(A30&lt;'Données projet'!$A$36,$K$205^A30,IF(A30='Données projet'!$A$36,'Données projet'!$B$36,N29+M30-V29)))</f>
        <v>89.384040457688172</v>
      </c>
      <c r="O30" s="13">
        <f>N30*VLOOKUP('Données projet'!$B$9,Paramètres!$A$1:$I$89,3,0)*VLOOKUP('Données projet'!$B$9,Paramètres!$A$1:$I$89,5,0)</f>
        <v>41.831730934198063</v>
      </c>
      <c r="P30" s="13">
        <f t="shared" si="33"/>
        <v>12.482874982828019</v>
      </c>
      <c r="Q30" s="20">
        <f t="shared" si="2"/>
        <v>94.597938638820423</v>
      </c>
      <c r="R30" s="59">
        <f t="shared" si="0"/>
        <v>387.93127197215375</v>
      </c>
      <c r="S30" s="59">
        <f ca="1">AVERAGE(OFFSET($R$3,0,0,'Données projet'!$E$9+1,1))-AVERAGE(OFFSET($H$3,0,0,'Données projet'!$E$9+1,1))</f>
        <v>181.79645720099597</v>
      </c>
      <c r="T30" s="59">
        <f t="shared" si="34"/>
        <v>120.20040029102233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16.687912087912089</v>
      </c>
      <c r="AI30" s="13">
        <f>IF('Données projet'!$A$62&gt;35,AI29+AH30-AQ29,IF(A30&lt;'Données projet'!$A$62,$AF$205^A30,IF(A30='Données projet'!$A$62,'Données projet'!$B$62,AI29+AH30-AQ29)))</f>
        <v>219.01978021978016</v>
      </c>
      <c r="AJ30" s="13">
        <f>AI30*VLOOKUP('Données projet'!$B$10,Paramètres!$A$1:$I$89,3,0)*VLOOKUP('Données projet'!$B$10,Paramètres!$A$1:$I$89,5,0)</f>
        <v>122.43205714285712</v>
      </c>
      <c r="AK30" s="13">
        <f t="shared" si="35"/>
        <v>32.241572593058322</v>
      </c>
      <c r="AL30" s="20">
        <f t="shared" si="4"/>
        <v>269.38990512338603</v>
      </c>
      <c r="AM30" s="59">
        <f t="shared" si="5"/>
        <v>562.7232384567194</v>
      </c>
      <c r="AN30" s="59">
        <f ca="1">AVERAGE(OFFSET($AM$3,0,0,'Données projet'!$E$10+1,1))-AVERAGE(OFFSET($H$3,0,0,'Données projet'!$E$10+1,1))</f>
        <v>253.62342381933348</v>
      </c>
      <c r="AO30" s="59">
        <f t="shared" si="36"/>
        <v>230.93438491775407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11.783202540663956</v>
      </c>
      <c r="AW30" s="21">
        <f>EXP(-LN(2)/2)*AW29+(1-EXP(-LN(2)/2))/(LN(2)/2)*AQ30*AT30*VLOOKUP('Données projet'!$B$10,Paramètres!$A$1:$I$89,3,0)*0.475*44/12</f>
        <v>2.129330405878552</v>
      </c>
      <c r="AX30" s="21">
        <f t="shared" si="6"/>
        <v>13.912532946542507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15.073076923076925</v>
      </c>
      <c r="BD30" s="12">
        <f>IF('Données projet'!$A$88&gt;35,BD29+BC30-BL29,IF(A30&lt;'Données projet'!$A$88,$BA$205^A30,IF(A30='Données projet'!$A$88,'Données projet'!$B$88,BD29+BC30-BL29)))</f>
        <v>180</v>
      </c>
      <c r="BE30" s="13">
        <f>BD30*VLOOKUP('Données projet'!$B$11,Paramètres!$A$1:$I$89,3,0)*VLOOKUP('Données projet'!$B$11,Paramètres!$A$1:$I$89,5,0)</f>
        <v>107.64</v>
      </c>
      <c r="BF30" s="13">
        <f t="shared" si="37"/>
        <v>28.774250263353583</v>
      </c>
      <c r="BG30" s="20">
        <f t="shared" si="7"/>
        <v>237.58815254200749</v>
      </c>
      <c r="BH30" s="59">
        <f t="shared" si="8"/>
        <v>530.92148587534075</v>
      </c>
      <c r="BI30" s="59">
        <f ca="1">AVERAGE(OFFSET($BH$3,0,0,'Données projet'!$E$11+1,1))-AVERAGE(OFFSET($H$3,0,0,'Données projet'!$E$11+1,1))</f>
        <v>199.27781324660782</v>
      </c>
      <c r="BJ30" s="59">
        <f t="shared" si="38"/>
        <v>199.82499536488524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15.992396649767899</v>
      </c>
      <c r="BR30" s="21">
        <f>EXP(-LN(2)/2)*BR29+(1-EXP(-LN(2)/2))/(LN(2)/2)*BL30*BO30*VLOOKUP('Données projet'!$B$11,Paramètres!$A$1:$I$89,3,0)*0.475*44/12</f>
        <v>4.4210713261531218</v>
      </c>
      <c r="BS30" s="22">
        <f t="shared" si="9"/>
        <v>20.413467975921023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15.073076923076925</v>
      </c>
      <c r="BY30" s="12">
        <f>IF('Données projet'!$A$114&gt;35,BY29+BX30-CG29,IF(A30&lt;'Données projet'!$A$114,$BV$205^A30,IF(A30='Données projet'!$A$114,'Données projet'!$B$114,BY29+BX30-CG29)))</f>
        <v>180</v>
      </c>
      <c r="BZ30" s="13">
        <f>BY30*VLOOKUP('Données projet'!$B$12,Paramètres!$A$1:$I$89,3,0)*VLOOKUP('Données projet'!$B$12,Paramètres!$A$1:$I$89,5,0)</f>
        <v>107.64</v>
      </c>
      <c r="CA30" s="13">
        <f t="shared" si="39"/>
        <v>28.774250263353583</v>
      </c>
      <c r="CB30" s="20">
        <f t="shared" si="10"/>
        <v>237.58815254200749</v>
      </c>
      <c r="CC30" s="59">
        <f t="shared" si="11"/>
        <v>530.92148587534075</v>
      </c>
      <c r="CD30" s="59">
        <f ca="1">AVERAGE(OFFSET($CC$3,0,0,'Données projet'!$E$12+1,1))-AVERAGE(OFFSET($H$3,0,0,'Données projet'!$E$12+1,1))</f>
        <v>199.27781323742636</v>
      </c>
      <c r="CE30" s="59">
        <f t="shared" si="40"/>
        <v>199.82499536063892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15.992396649767899</v>
      </c>
      <c r="CM30" s="21">
        <f>EXP(-LN(2)/2)*CM29+(1-EXP(-LN(2)/2))/(LN(2)/2)*CG30*CJ30*VLOOKUP('Données projet'!$B$12,Paramètres!$A$1:$I$89,3,0)*0.475*44/12</f>
        <v>4.4210713261531218</v>
      </c>
      <c r="CN30" s="22">
        <f t="shared" si="12"/>
        <v>20.413467975921023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>
        <f>VLOOKUP(A30,'Données projet'!$A$139:$I$159,2,0)</f>
        <v>140.71538461538461</v>
      </c>
      <c r="CR30" s="12">
        <f>VLOOKUP(A30,'Données projet'!$A$139:$I$159,9,0)</f>
        <v>12.695384615384615</v>
      </c>
      <c r="CS30" s="12">
        <f t="array" ref="CS30">INDEX(CR:CR,MIN(IF(ISNUMBER(CR30:CR226),ROW(CR30:CR226),"")))</f>
        <v>12.695384615384615</v>
      </c>
      <c r="CT30" s="12">
        <f>IF('Données projet'!$A$140&gt;35,CT29+CS30-DB29,IF(A30&lt;'Données projet'!$A$140,$CQ$205^A30,IF(A30='Données projet'!$A$140,'Données projet'!$B$140,CT29+CS30-DB29)))</f>
        <v>140.71538461538464</v>
      </c>
      <c r="CU30" s="17">
        <f>CT30*VLOOKUP('Données projet'!$B$13,Paramètres!$A$1:$I$89,3,0)*VLOOKUP('Données projet'!$B$13,Paramètres!$A$1:$I$89,5,0)</f>
        <v>84.147800000000018</v>
      </c>
      <c r="CV30" s="13">
        <f t="shared" si="41"/>
        <v>23.148340019013897</v>
      </c>
      <c r="CW30" s="20">
        <f t="shared" si="13"/>
        <v>186.8741105331159</v>
      </c>
      <c r="CX30" s="59">
        <f t="shared" si="14"/>
        <v>480.20744386644924</v>
      </c>
      <c r="CY30" s="59">
        <f ca="1">AVERAGE(OFFSET($CX$3,0,0,'Données projet'!$E$13+1,1))-AVERAGE(OFFSET($H$3,0,0,'Données projet'!$E$13+1,1))</f>
        <v>213.18424462765137</v>
      </c>
      <c r="CZ30" s="59">
        <f t="shared" si="42"/>
        <v>158.77848520346532</v>
      </c>
      <c r="DA30" s="15">
        <f>IF(ISNA(VLOOKUP(A30,'Données projet'!$A$139:$I$159,3,0)),0,VLOOKUP(A30,'Données projet'!$A$139:$I$159,3,0))</f>
        <v>2</v>
      </c>
      <c r="DB30" s="15">
        <f>IF(ISNA(VLOOKUP(A30,'Données projet'!$A$139:$I$159,4,0)),0,VLOOKUP(A30,'Données projet'!$A$139:$I$159,4,0))</f>
        <v>34.646153846153844</v>
      </c>
      <c r="DC30" s="16">
        <f>IF(ISNA(VLOOKUP(A30,'Données projet'!$A$139:$I$159,5,0)),0%,VLOOKUP(A30,'Données projet'!$A$139:$I$159,5,0)*VLOOKUP('Données projet'!$B$13,Paramètres!$A$1:$I$89,7,0))</f>
        <v>0.315</v>
      </c>
      <c r="DD30" s="16">
        <f>IF(ISNA(VLOOKUP(A30,'Données projet'!$A$139:$I$159,6,0)),0%,VLOOKUP(A30,'Données projet'!$A$139:$I$159,6,0)*VLOOKUP('Données projet'!$B$13,Paramètres!$A$1:$I$89,7,0))</f>
        <v>7.5600000000000001E-2</v>
      </c>
      <c r="DE30" s="16">
        <f>IF(ISNA(VLOOKUP(A30,'Données projet'!$A$139:$I$159,7,0)),0%,VLOOKUP(A30,'Données projet'!$A$139:$I$159,7,0))</f>
        <v>0.13200000000000001</v>
      </c>
      <c r="DF30" s="21">
        <f>EXP(-LN(2)/35)*DF29+(1-EXP(-LN(2)/35))/(LN(2)/35)*DB30*DC30*VLOOKUP('Données projet'!$B$13,Paramètres!$A$1:$I$89,3,0)*0.475*44/12</f>
        <v>8.6575522992772491</v>
      </c>
      <c r="DG30" s="21">
        <f>EXP(-LN(2)/25)*DG29+(1-EXP(-LN(2)/25))/(LN(2)/25)*Calculateur!DB30*Calculateur!DD30*VLOOKUP('Données projet'!$B$13,Paramètres!$A$1:$I$89,3,0)*0.475*44/12</f>
        <v>11.212900916349115</v>
      </c>
      <c r="DH30" s="21">
        <f>EXP(-LN(2)/2)*DH29+(1-EXP(-LN(2)/2))/(LN(2)/2)*DB30*DE30*VLOOKUP('Données projet'!$B$13,Paramètres!$A$1:$I$89,3,0)*0.475*44/12</f>
        <v>5.8742885775391311</v>
      </c>
      <c r="DI30" s="22">
        <f t="shared" si="15"/>
        <v>25.744741793165495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4.9084615384615384</v>
      </c>
      <c r="N31" s="13">
        <f>IF('Données projet'!$A$36&gt;35,N30+M31-V30,IF(A31&lt;'Données projet'!$A$36,$K$205^A31,IF(A31='Données projet'!$A$36,'Données projet'!$B$36,N30+M31-V30)))</f>
        <v>105.56716787013318</v>
      </c>
      <c r="O31" s="13">
        <f>N31*VLOOKUP('Données projet'!$B$9,Paramètres!$A$1:$I$89,3,0)*VLOOKUP('Données projet'!$B$9,Paramètres!$A$1:$I$89,5,0)</f>
        <v>49.405434563222322</v>
      </c>
      <c r="P31" s="13">
        <f t="shared" si="33"/>
        <v>14.46010380603388</v>
      </c>
      <c r="Q31" s="20">
        <f t="shared" si="2"/>
        <v>111.23247932645454</v>
      </c>
      <c r="R31" s="59">
        <f t="shared" si="0"/>
        <v>404.56581265978787</v>
      </c>
      <c r="S31" s="59">
        <f ca="1">AVERAGE(OFFSET($R$3,0,0,'Données projet'!$E$9+1,1))-AVERAGE(OFFSET($H$3,0,0,'Données projet'!$E$9+1,1))</f>
        <v>181.79645720099597</v>
      </c>
      <c r="T31" s="59">
        <f t="shared" si="34"/>
        <v>120.20040029102233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235.7076923076923</v>
      </c>
      <c r="AG31" s="12">
        <f>VLOOKUP(A31,'Données projet'!$A$61:$I$81,9,0)</f>
        <v>16.687912087912089</v>
      </c>
      <c r="AH31" s="12">
        <f t="array" ref="AH31">INDEX(AG:AG,MIN(IF(ISNUMBER(AG31:AG227),ROW(AG31:AG227),"")))</f>
        <v>16.687912087912089</v>
      </c>
      <c r="AI31" s="13">
        <f>IF('Données projet'!$A$62&gt;35,AI30+AH31-AQ30,IF(A31&lt;'Données projet'!$A$62,$AF$205^A31,IF(A31='Données projet'!$A$62,'Données projet'!$B$62,AI30+AH31-AQ30)))</f>
        <v>235.70769230769224</v>
      </c>
      <c r="AJ31" s="13">
        <f>AI31*VLOOKUP('Données projet'!$B$10,Paramètres!$A$1:$I$89,3,0)*VLOOKUP('Données projet'!$B$10,Paramètres!$A$1:$I$89,5,0)</f>
        <v>131.76059999999995</v>
      </c>
      <c r="AK31" s="13">
        <f t="shared" si="35"/>
        <v>34.402863243711892</v>
      </c>
      <c r="AL31" s="20">
        <f t="shared" si="4"/>
        <v>289.40136514946477</v>
      </c>
      <c r="AM31" s="59">
        <f t="shared" si="5"/>
        <v>582.73469848279808</v>
      </c>
      <c r="AN31" s="59">
        <f ca="1">AVERAGE(OFFSET($AM$3,0,0,'Données projet'!$E$10+1,1))-AVERAGE(OFFSET($H$3,0,0,'Données projet'!$E$10+1,1))</f>
        <v>253.62342381933348</v>
      </c>
      <c r="AO31" s="59">
        <f t="shared" si="36"/>
        <v>230.93438491775407</v>
      </c>
      <c r="AP31" s="15">
        <f>IF(ISNA(VLOOKUP(A31,'Données projet'!$A$61:$I$81,3,0)),0,VLOOKUP(A31,'Données projet'!$A$61:$I$81,3,0))</f>
        <v>2</v>
      </c>
      <c r="AQ31" s="15">
        <f>IF(ISNA(VLOOKUP(A31,'Données projet'!$A$61:$I$81,4,0)),0,VLOOKUP(A31,'Données projet'!$A$61:$I$81,4,0))</f>
        <v>56.91538461538461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0.30800000000000005</v>
      </c>
      <c r="AT31" s="16">
        <f>IF(ISNA(VLOOKUP(A31,'Données projet'!$A$61:$I$81,7,0)),0%,VLOOKUP(A31,'Données projet'!$A$61:$I$81,7,0))</f>
        <v>0.44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24.409124618308635</v>
      </c>
      <c r="AW31" s="21">
        <f>EXP(-LN(2)/2)*AW30+(1-EXP(-LN(2)/2))/(LN(2)/2)*AQ31*AT31*VLOOKUP('Données projet'!$B$10,Paramètres!$A$1:$I$89,3,0)*0.475*44/12</f>
        <v>17.355679737085048</v>
      </c>
      <c r="AX31" s="21">
        <f t="shared" si="6"/>
        <v>41.764804355393679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15.073076923076925</v>
      </c>
      <c r="BD31" s="12">
        <f>IF('Données projet'!$A$88&gt;35,BD30+BC31-BL30,IF(A31&lt;'Données projet'!$A$88,$BA$205^A31,IF(A31='Données projet'!$A$88,'Données projet'!$B$88,BD30+BC31-BL30)))</f>
        <v>195.07307692307694</v>
      </c>
      <c r="BE31" s="13">
        <f>BD31*VLOOKUP('Données projet'!$B$11,Paramètres!$A$1:$I$89,3,0)*VLOOKUP('Données projet'!$B$11,Paramètres!$A$1:$I$89,5,0)</f>
        <v>116.65370000000001</v>
      </c>
      <c r="BF31" s="13">
        <f t="shared" si="37"/>
        <v>30.893249762406356</v>
      </c>
      <c r="BG31" s="20">
        <f t="shared" si="7"/>
        <v>256.9776041695244</v>
      </c>
      <c r="BH31" s="59">
        <f t="shared" si="8"/>
        <v>550.31093750285777</v>
      </c>
      <c r="BI31" s="59">
        <f ca="1">AVERAGE(OFFSET($BH$3,0,0,'Données projet'!$E$11+1,1))-AVERAGE(OFFSET($H$3,0,0,'Données projet'!$E$11+1,1))</f>
        <v>199.27781324660782</v>
      </c>
      <c r="BJ31" s="59">
        <f t="shared" si="38"/>
        <v>199.82499536488524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15.555083722376407</v>
      </c>
      <c r="BR31" s="21">
        <f>EXP(-LN(2)/2)*BR30+(1-EXP(-LN(2)/2))/(LN(2)/2)*BL31*BO31*VLOOKUP('Données projet'!$B$11,Paramètres!$A$1:$I$89,3,0)*0.475*44/12</f>
        <v>3.126169514832275</v>
      </c>
      <c r="BS31" s="22">
        <f t="shared" si="9"/>
        <v>18.681253237208683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15.073076923076925</v>
      </c>
      <c r="BY31" s="12">
        <f>IF('Données projet'!$A$114&gt;35,BY30+BX31-CG30,IF(A31&lt;'Données projet'!$A$114,$BV$205^A31,IF(A31='Données projet'!$A$114,'Données projet'!$B$114,BY30+BX31-CG30)))</f>
        <v>195.07307692307694</v>
      </c>
      <c r="BZ31" s="13">
        <f>BY31*VLOOKUP('Données projet'!$B$12,Paramètres!$A$1:$I$89,3,0)*VLOOKUP('Données projet'!$B$12,Paramètres!$A$1:$I$89,5,0)</f>
        <v>116.65370000000001</v>
      </c>
      <c r="CA31" s="13">
        <f t="shared" si="39"/>
        <v>30.893249762406356</v>
      </c>
      <c r="CB31" s="20">
        <f t="shared" si="10"/>
        <v>256.9776041695244</v>
      </c>
      <c r="CC31" s="59">
        <f t="shared" si="11"/>
        <v>550.31093750285777</v>
      </c>
      <c r="CD31" s="59">
        <f ca="1">AVERAGE(OFFSET($CC$3,0,0,'Données projet'!$E$12+1,1))-AVERAGE(OFFSET($H$3,0,0,'Données projet'!$E$12+1,1))</f>
        <v>199.27781323742636</v>
      </c>
      <c r="CE31" s="59">
        <f t="shared" si="40"/>
        <v>199.82499536063892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15.555083722376407</v>
      </c>
      <c r="CM31" s="21">
        <f>EXP(-LN(2)/2)*CM30+(1-EXP(-LN(2)/2))/(LN(2)/2)*CG31*CJ31*VLOOKUP('Données projet'!$B$12,Paramètres!$A$1:$I$89,3,0)*0.475*44/12</f>
        <v>3.126169514832275</v>
      </c>
      <c r="CN31" s="22">
        <f t="shared" si="12"/>
        <v>18.681253237208683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12.971794871794875</v>
      </c>
      <c r="CT31" s="12">
        <f>IF('Données projet'!$A$140&gt;35,CT30+CS31-DB30,IF(A31&lt;'Données projet'!$A$140,$CQ$205^A31,IF(A31='Données projet'!$A$140,'Données projet'!$B$140,CT30+CS31-DB30)))</f>
        <v>119.04102564102567</v>
      </c>
      <c r="CU31" s="17">
        <f>CT31*VLOOKUP('Données projet'!$B$13,Paramètres!$A$1:$I$89,3,0)*VLOOKUP('Données projet'!$B$13,Paramètres!$A$1:$I$89,5,0)</f>
        <v>71.186533333333358</v>
      </c>
      <c r="CV31" s="13">
        <f t="shared" si="41"/>
        <v>19.967826748678</v>
      </c>
      <c r="CW31" s="20">
        <f t="shared" si="13"/>
        <v>158.76051047616977</v>
      </c>
      <c r="CX31" s="59">
        <f t="shared" si="14"/>
        <v>452.09384380950308</v>
      </c>
      <c r="CY31" s="59">
        <f ca="1">AVERAGE(OFFSET($CX$3,0,0,'Données projet'!$E$13+1,1))-AVERAGE(OFFSET($H$3,0,0,'Données projet'!$E$13+1,1))</f>
        <v>213.18424462765137</v>
      </c>
      <c r="CZ31" s="59">
        <f t="shared" si="42"/>
        <v>158.77848520346532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8.487782979273911</v>
      </c>
      <c r="DG31" s="21">
        <f>EXP(-LN(2)/25)*DG30+(1-EXP(-LN(2)/25))/(LN(2)/25)*Calculateur!DB31*Calculateur!DD31*VLOOKUP('Données projet'!$B$13,Paramètres!$A$1:$I$89,3,0)*0.475*44/12</f>
        <v>10.906283551130716</v>
      </c>
      <c r="DH31" s="21">
        <f>EXP(-LN(2)/2)*DH30+(1-EXP(-LN(2)/2))/(LN(2)/2)*DB31*DE31*VLOOKUP('Données projet'!$B$13,Paramètres!$A$1:$I$89,3,0)*0.475*44/12</f>
        <v>4.1537492878245983</v>
      </c>
      <c r="DI31" s="22">
        <f t="shared" si="15"/>
        <v>23.547815818229228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4.9084615384615384</v>
      </c>
      <c r="N32" s="13">
        <f>IF('Données projet'!$A$36&gt;35,N31+M32-V31,IF(A32&lt;'Données projet'!$A$36,$K$205^A32,IF(A32='Données projet'!$A$36,'Données projet'!$B$36,N31+M32-V31)))</f>
        <v>124.68027709483918</v>
      </c>
      <c r="O32" s="13">
        <f>N32*VLOOKUP('Données projet'!$B$9,Paramètres!$A$1:$I$89,3,0)*VLOOKUP('Données projet'!$B$9,Paramètres!$A$1:$I$89,5,0)</f>
        <v>58.350369680384738</v>
      </c>
      <c r="P32" s="13">
        <f t="shared" si="33"/>
        <v>16.750516396977062</v>
      </c>
      <c r="Q32" s="20">
        <f t="shared" si="2"/>
        <v>130.80070991807179</v>
      </c>
      <c r="R32" s="59">
        <f t="shared" si="0"/>
        <v>424.1340432514051</v>
      </c>
      <c r="S32" s="59">
        <f ca="1">AVERAGE(OFFSET($R$3,0,0,'Données projet'!$E$9+1,1))-AVERAGE(OFFSET($H$3,0,0,'Données projet'!$E$9+1,1))</f>
        <v>181.79645720099597</v>
      </c>
      <c r="T32" s="59">
        <f t="shared" si="34"/>
        <v>120.20040029102233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18.100000001098902</v>
      </c>
      <c r="AI32" s="13">
        <f>IF('Données projet'!$A$62&gt;35,AI31+AH32-AQ31,IF(A32&lt;'Données projet'!$A$62,$AF$205^A32,IF(A32='Données projet'!$A$62,'Données projet'!$B$62,AI31+AH32-AQ31)))</f>
        <v>196.89230769340651</v>
      </c>
      <c r="AJ32" s="13">
        <f>AI32*VLOOKUP('Données projet'!$B$10,Paramètres!$A$1:$I$89,3,0)*VLOOKUP('Données projet'!$B$10,Paramètres!$A$1:$I$89,5,0)</f>
        <v>110.06280000061425</v>
      </c>
      <c r="AK32" s="13">
        <f t="shared" si="35"/>
        <v>29.345780250999066</v>
      </c>
      <c r="AL32" s="20">
        <f t="shared" si="4"/>
        <v>242.80327727155984</v>
      </c>
      <c r="AM32" s="59">
        <f t="shared" si="5"/>
        <v>536.13661060489312</v>
      </c>
      <c r="AN32" s="59">
        <f ca="1">AVERAGE(OFFSET($AM$3,0,0,'Données projet'!$E$10+1,1))-AVERAGE(OFFSET($H$3,0,0,'Données projet'!$E$10+1,1))</f>
        <v>253.62342381933348</v>
      </c>
      <c r="AO32" s="59">
        <f t="shared" si="36"/>
        <v>230.93438491775407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23.741655822000908</v>
      </c>
      <c r="AW32" s="21">
        <f>EXP(-LN(2)/2)*AW31+(1-EXP(-LN(2)/2))/(LN(2)/2)*AQ32*AT32*VLOOKUP('Données projet'!$B$10,Paramètres!$A$1:$I$89,3,0)*0.475*44/12</f>
        <v>12.272318834194794</v>
      </c>
      <c r="AX32" s="21">
        <f t="shared" si="6"/>
        <v>36.0139746561957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>
        <f>VLOOKUP(A32,'Données projet'!$A$87:$I$107,2,0)</f>
        <v>210.14615384615385</v>
      </c>
      <c r="BB32" s="12">
        <f>VLOOKUP(A32,'Données projet'!$A$87:$I$107,9,0)</f>
        <v>15.073076923076925</v>
      </c>
      <c r="BC32" s="12">
        <f t="array" ref="BC32">INDEX(BB:BB,MIN(IF(ISNUMBER(BB32:BB228),ROW(BB32:BB228),"")))</f>
        <v>15.073076923076925</v>
      </c>
      <c r="BD32" s="12">
        <f>IF('Données projet'!$A$88&gt;35,BD31+BC32-BL31,IF(A32&lt;'Données projet'!$A$88,$BA$205^A32,IF(A32='Données projet'!$A$88,'Données projet'!$B$88,BD31+BC32-BL31)))</f>
        <v>210.14615384615388</v>
      </c>
      <c r="BE32" s="13">
        <f>BD32*VLOOKUP('Données projet'!$B$11,Paramètres!$A$1:$I$89,3,0)*VLOOKUP('Données projet'!$B$11,Paramètres!$A$1:$I$89,5,0)</f>
        <v>125.66740000000003</v>
      </c>
      <c r="BF32" s="13">
        <f t="shared" si="37"/>
        <v>32.993256286656127</v>
      </c>
      <c r="BG32" s="20">
        <f t="shared" si="7"/>
        <v>276.33397636592611</v>
      </c>
      <c r="BH32" s="59">
        <f t="shared" si="8"/>
        <v>569.66730969925948</v>
      </c>
      <c r="BI32" s="59">
        <f ca="1">AVERAGE(OFFSET($BH$3,0,0,'Données projet'!$E$11+1,1))-AVERAGE(OFFSET($H$3,0,0,'Données projet'!$E$11+1,1))</f>
        <v>199.27781324660782</v>
      </c>
      <c r="BJ32" s="59">
        <f t="shared" si="38"/>
        <v>199.82499536488524</v>
      </c>
      <c r="BK32" s="15">
        <f>IF(ISNA(VLOOKUP(A32,'Données projet'!$A$87:$I$107,3,0)),0,VLOOKUP(A32,'Données projet'!$A$87:$I$107,3,0))</f>
        <v>3</v>
      </c>
      <c r="BL32" s="15">
        <f>IF(ISNA(VLOOKUP(A32,'Données projet'!$A$87:$I$107,4,0)),0,VLOOKUP(A32,'Données projet'!$A$87:$I$107,4,0))</f>
        <v>47.661538461538463</v>
      </c>
      <c r="BM32" s="16">
        <f>IF(ISNA(VLOOKUP(A32,'Données projet'!$A$87:$I$107,5,0)),0%,VLOOKUP(A32,'Données projet'!$A$87:$I$107,5,0)*VLOOKUP('Données projet'!$B$11,Paramètres!$A$1:$I$89,7,0))</f>
        <v>0.315</v>
      </c>
      <c r="BN32" s="16">
        <f>IF(ISNA(VLOOKUP(A32,'Données projet'!$A$87:$I$107,6,0)),0%,VLOOKUP(A32,'Données projet'!$A$87:$I$107,6,0)*VLOOKUP('Données projet'!$B$11,Paramètres!$A$1:$I$89,7,0))</f>
        <v>7.5600000000000001E-2</v>
      </c>
      <c r="BO32" s="16">
        <f>IF(ISNA(VLOOKUP(A32,'Données projet'!$A$87:$I$107,7,0)),0%,VLOOKUP(A32,'Données projet'!$A$87:$I$107,7,0))</f>
        <v>0.13200000000000001</v>
      </c>
      <c r="BP32" s="21">
        <f>EXP(-LN(2)/35)*BP31+(1-EXP(-LN(2)/35))/(LN(2)/35)*BL32*BM32*VLOOKUP('Données projet'!$B$11,Paramètres!$A$1:$I$89,3,0)*0.475*44/12</f>
        <v>11.909900987194014</v>
      </c>
      <c r="BQ32" s="21">
        <f>EXP(-LN(2)/25)*BQ31+(1-EXP(-LN(2)/25))/(LN(2)/25)*Calculateur!BL32*Calculateur!BN32*VLOOKUP('Données projet'!$B$11,Paramètres!$A$1:$I$89,3,0)*0.475*44/12</f>
        <v>17.976850860536775</v>
      </c>
      <c r="BR32" s="21">
        <f>EXP(-LN(2)/2)*BR31+(1-EXP(-LN(2)/2))/(LN(2)/2)*BL32*BO32*VLOOKUP('Données projet'!$B$11,Paramètres!$A$1:$I$89,3,0)*0.475*44/12</f>
        <v>6.4702326938323633</v>
      </c>
      <c r="BS32" s="22">
        <f t="shared" si="9"/>
        <v>36.356984541563151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>
        <f>VLOOKUP(A32,'Données projet'!$A$113:$I$133,2,0)</f>
        <v>210.14615384615385</v>
      </c>
      <c r="BW32" s="12">
        <f>VLOOKUP(A32,'Données projet'!$A$113:$I$133,9,0)</f>
        <v>15.073076923076925</v>
      </c>
      <c r="BX32" s="12">
        <f t="array" ref="BX32">INDEX(BW:BW,MIN(IF(ISNUMBER(BW32:BW228),ROW(BW32:BW228),"")))</f>
        <v>15.073076923076925</v>
      </c>
      <c r="BY32" s="12">
        <f>IF('Données projet'!$A$114&gt;35,BY31+BX32-CG31,IF(A32&lt;'Données projet'!$A$114,$BV$205^A32,IF(A32='Données projet'!$A$114,'Données projet'!$B$114,BY31+BX32-CG31)))</f>
        <v>210.14615384615388</v>
      </c>
      <c r="BZ32" s="13">
        <f>BY32*VLOOKUP('Données projet'!$B$12,Paramètres!$A$1:$I$89,3,0)*VLOOKUP('Données projet'!$B$12,Paramètres!$A$1:$I$89,5,0)</f>
        <v>125.66740000000003</v>
      </c>
      <c r="CA32" s="13">
        <f t="shared" si="39"/>
        <v>32.993256286656127</v>
      </c>
      <c r="CB32" s="20">
        <f t="shared" si="10"/>
        <v>276.33397636592611</v>
      </c>
      <c r="CC32" s="59">
        <f t="shared" si="11"/>
        <v>569.66730969925948</v>
      </c>
      <c r="CD32" s="59">
        <f ca="1">AVERAGE(OFFSET($CC$3,0,0,'Données projet'!$E$12+1,1))-AVERAGE(OFFSET($H$3,0,0,'Données projet'!$E$12+1,1))</f>
        <v>199.27781323742636</v>
      </c>
      <c r="CE32" s="59">
        <f t="shared" si="40"/>
        <v>199.82499536063892</v>
      </c>
      <c r="CF32" s="15">
        <f>IF(ISNA(VLOOKUP(A32,'Données projet'!$A$113:$I$133,3,0)),0,VLOOKUP(A32,'Données projet'!$A$113:$I$133,3,0))</f>
        <v>3</v>
      </c>
      <c r="CG32" s="15">
        <f>IF(ISNA(VLOOKUP(A32,'Données projet'!$A$113:$I$133,4,0)),0,VLOOKUP(A32,'Données projet'!$A$113:$I$133,4,0))</f>
        <v>47.661538461538463</v>
      </c>
      <c r="CH32" s="16">
        <f>IF(ISNA(VLOOKUP(A32,'Données projet'!$A$113:$I$133,5,0)),0%,VLOOKUP(A32,'Données projet'!$A$113:$I$133,5,0)*VLOOKUP('Données projet'!$B$12,Paramètres!$A$1:$I$89,7,0))</f>
        <v>0.315</v>
      </c>
      <c r="CI32" s="16">
        <f>IF(ISNA(VLOOKUP(A32,'Données projet'!$A$113:$I$133,6,0)),0%,VLOOKUP(A32,'Données projet'!$A$113:$I$133,6,0)*VLOOKUP('Données projet'!$B$12,Paramètres!$A$1:$I$89,7,0))</f>
        <v>7.5600000000000001E-2</v>
      </c>
      <c r="CJ32" s="16">
        <f>IF(ISNA(VLOOKUP(A32,'Données projet'!$A$113:$I$133,7,0)),0%,VLOOKUP(A32,'Données projet'!$A$113:$I$133,7,0))</f>
        <v>0.13200000000000001</v>
      </c>
      <c r="CK32" s="21">
        <f>EXP(-LN(2)/35)*CK31+(1-EXP(-LN(2)/35))/(LN(2)/35)*CG32*CH32*VLOOKUP('Données projet'!$B$12,Paramètres!$A$1:$I$89,3,0)*0.475*44/12</f>
        <v>11.909900987194014</v>
      </c>
      <c r="CL32" s="21">
        <f>EXP(-LN(2)/25)*CL31+(1-EXP(-LN(2)/25))/(LN(2)/25)*Calculateur!CG32*Calculateur!CI32*VLOOKUP('Données projet'!$B$12,Paramètres!$A$1:$I$89,3,0)*0.475*44/12</f>
        <v>17.976850860536775</v>
      </c>
      <c r="CM32" s="21">
        <f>EXP(-LN(2)/2)*CM31+(1-EXP(-LN(2)/2))/(LN(2)/2)*CG32*CJ32*VLOOKUP('Données projet'!$B$12,Paramètres!$A$1:$I$89,3,0)*0.475*44/12</f>
        <v>6.4702326938323633</v>
      </c>
      <c r="CN32" s="22">
        <f t="shared" si="12"/>
        <v>36.356984541563151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12.971794871794875</v>
      </c>
      <c r="CT32" s="12">
        <f>IF('Données projet'!$A$140&gt;35,CT31+CS32-DB31,IF(A32&lt;'Données projet'!$A$140,$CQ$205^A32,IF(A32='Données projet'!$A$140,'Données projet'!$B$140,CT31+CS32-DB31)))</f>
        <v>132.01282051282055</v>
      </c>
      <c r="CU32" s="17">
        <f>CT32*VLOOKUP('Données projet'!$B$13,Paramètres!$A$1:$I$89,3,0)*VLOOKUP('Données projet'!$B$13,Paramètres!$A$1:$I$89,5,0)</f>
        <v>78.943666666666701</v>
      </c>
      <c r="CV32" s="13">
        <f t="shared" si="41"/>
        <v>21.878705672057283</v>
      </c>
      <c r="CW32" s="20">
        <f t="shared" si="13"/>
        <v>175.59896515661092</v>
      </c>
      <c r="CX32" s="59">
        <f t="shared" si="14"/>
        <v>468.93229848994423</v>
      </c>
      <c r="CY32" s="59">
        <f ca="1">AVERAGE(OFFSET($CX$3,0,0,'Données projet'!$E$13+1,1))-AVERAGE(OFFSET($H$3,0,0,'Données projet'!$E$13+1,1))</f>
        <v>213.18424462765137</v>
      </c>
      <c r="CZ32" s="59">
        <f t="shared" si="42"/>
        <v>158.77848520346532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8.3213427320867766</v>
      </c>
      <c r="DG32" s="21">
        <f>EXP(-LN(2)/25)*DG31+(1-EXP(-LN(2)/25))/(LN(2)/25)*Calculateur!DB32*Calculateur!DD32*VLOOKUP('Données projet'!$B$13,Paramètres!$A$1:$I$89,3,0)*0.475*44/12</f>
        <v>10.608050653888522</v>
      </c>
      <c r="DH32" s="21">
        <f>EXP(-LN(2)/2)*DH31+(1-EXP(-LN(2)/2))/(LN(2)/2)*DB32*DE32*VLOOKUP('Données projet'!$B$13,Paramètres!$A$1:$I$89,3,0)*0.475*44/12</f>
        <v>2.937144288769566</v>
      </c>
      <c r="DI32" s="22">
        <f t="shared" si="15"/>
        <v>21.866537674744865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147.25384615384615</v>
      </c>
      <c r="L33" s="12">
        <f>VLOOKUP(A33,'Données projet'!$A$35:$I$55,9,0)</f>
        <v>4.9084615384615384</v>
      </c>
      <c r="M33" s="12">
        <f t="array" ref="M33">INDEX(L:L,MIN(IF(ISNUMBER(L33:L229),ROW(L33:L229),"")))</f>
        <v>4.9084615384615384</v>
      </c>
      <c r="N33" s="13">
        <f>IF('Données projet'!$A$36&gt;35,N32+M33-V32,IF(A33&lt;'Données projet'!$A$36,$K$205^A33,IF(A33='Données projet'!$A$36,'Données projet'!$B$36,N32+M33-V32)))</f>
        <v>147.25384615384615</v>
      </c>
      <c r="O33" s="13">
        <f>N33*VLOOKUP('Données projet'!$B$9,Paramètres!$A$1:$I$89,3,0)*VLOOKUP('Données projet'!$B$9,Paramètres!$A$1:$I$89,5,0)</f>
        <v>68.9148</v>
      </c>
      <c r="P33" s="13">
        <f t="shared" si="33"/>
        <v>19.403719594897876</v>
      </c>
      <c r="Q33" s="20">
        <f t="shared" si="2"/>
        <v>153.82142162778047</v>
      </c>
      <c r="R33" s="59">
        <f t="shared" si="0"/>
        <v>447.15475496111378</v>
      </c>
      <c r="S33" s="59">
        <f ca="1">AVERAGE(OFFSET($R$3,0,0,'Données projet'!$E$9+1,1))-AVERAGE(OFFSET($H$3,0,0,'Données projet'!$E$9+1,1))</f>
        <v>181.79645720099597</v>
      </c>
      <c r="T33" s="59">
        <f t="shared" si="34"/>
        <v>120.20040029102233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18.100000001098902</v>
      </c>
      <c r="AI33" s="13">
        <f>IF('Données projet'!$A$62&gt;35,AI32+AH33-AQ32,IF(A33&lt;'Données projet'!$A$62,$AF$205^A33,IF(A33='Données projet'!$A$62,'Données projet'!$B$62,AI32+AH33-AQ32)))</f>
        <v>214.9923076945054</v>
      </c>
      <c r="AJ33" s="13">
        <f>AI33*VLOOKUP('Données projet'!$B$10,Paramètres!$A$1:$I$89,3,0)*VLOOKUP('Données projet'!$B$10,Paramètres!$A$1:$I$89,5,0)</f>
        <v>120.18070000122853</v>
      </c>
      <c r="AK33" s="13">
        <f t="shared" si="35"/>
        <v>31.717140910453111</v>
      </c>
      <c r="AL33" s="20">
        <f t="shared" si="4"/>
        <v>264.55540625451221</v>
      </c>
      <c r="AM33" s="59">
        <f t="shared" si="5"/>
        <v>557.88873958784552</v>
      </c>
      <c r="AN33" s="59">
        <f ca="1">AVERAGE(OFFSET($AM$3,0,0,'Données projet'!$E$10+1,1))-AVERAGE(OFFSET($H$3,0,0,'Données projet'!$E$10+1,1))</f>
        <v>253.62342381933348</v>
      </c>
      <c r="AO33" s="59">
        <f t="shared" si="36"/>
        <v>230.93438491775407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23.092438995028875</v>
      </c>
      <c r="AW33" s="21">
        <f>EXP(-LN(2)/2)*AW32+(1-EXP(-LN(2)/2))/(LN(2)/2)*AQ33*AT33*VLOOKUP('Données projet'!$B$10,Paramètres!$A$1:$I$89,3,0)*0.475*44/12</f>
        <v>8.6778398685425238</v>
      </c>
      <c r="AX33" s="21">
        <f t="shared" si="6"/>
        <v>31.770278863571399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14.298901102197801</v>
      </c>
      <c r="BD33" s="12">
        <f>IF('Données projet'!$A$88&gt;35,BD32+BC33-BL32,IF(A33&lt;'Données projet'!$A$88,$BA$205^A33,IF(A33='Données projet'!$A$88,'Données projet'!$B$88,BD32+BC33-BL32)))</f>
        <v>176.7835164868132</v>
      </c>
      <c r="BE33" s="13">
        <f>BD33*VLOOKUP('Données projet'!$B$11,Paramètres!$A$1:$I$89,3,0)*VLOOKUP('Données projet'!$B$11,Paramètres!$A$1:$I$89,5,0)</f>
        <v>105.7165428591143</v>
      </c>
      <c r="BF33" s="13">
        <f t="shared" si="37"/>
        <v>28.319447591590009</v>
      </c>
      <c r="BG33" s="20">
        <f t="shared" si="7"/>
        <v>233.44601670164332</v>
      </c>
      <c r="BH33" s="59">
        <f t="shared" si="8"/>
        <v>526.77935003497669</v>
      </c>
      <c r="BI33" s="59">
        <f ca="1">AVERAGE(OFFSET($BH$3,0,0,'Données projet'!$E$11+1,1))-AVERAGE(OFFSET($H$3,0,0,'Données projet'!$E$11+1,1))</f>
        <v>199.27781324660782</v>
      </c>
      <c r="BJ33" s="59">
        <f t="shared" si="38"/>
        <v>199.82499536488524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11.676355093157449</v>
      </c>
      <c r="BQ33" s="21">
        <f>EXP(-LN(2)/25)*BQ32+(1-EXP(-LN(2)/25))/(LN(2)/25)*Calculateur!BL33*Calculateur!BN33*VLOOKUP('Données projet'!$B$11,Paramètres!$A$1:$I$89,3,0)*0.475*44/12</f>
        <v>17.485272928393897</v>
      </c>
      <c r="BR33" s="21">
        <f>EXP(-LN(2)/2)*BR32+(1-EXP(-LN(2)/2))/(LN(2)/2)*BL33*BO33*VLOOKUP('Données projet'!$B$11,Paramètres!$A$1:$I$89,3,0)*0.475*44/12</f>
        <v>4.5751454136637673</v>
      </c>
      <c r="BS33" s="22">
        <f t="shared" si="9"/>
        <v>33.736773435215113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14.298901098901101</v>
      </c>
      <c r="BY33" s="12">
        <f>IF('Données projet'!$A$114&gt;35,BY32+BX33-CG32,IF(A33&lt;'Données projet'!$A$114,$BV$205^A33,IF(A33='Données projet'!$A$114,'Données projet'!$B$114,BY32+BX33-CG32)))</f>
        <v>176.78351648351651</v>
      </c>
      <c r="BZ33" s="13">
        <f>BY33*VLOOKUP('Données projet'!$B$12,Paramètres!$A$1:$I$89,3,0)*VLOOKUP('Données projet'!$B$12,Paramètres!$A$1:$I$89,5,0)</f>
        <v>105.71654285714287</v>
      </c>
      <c r="CA33" s="13">
        <f t="shared" si="39"/>
        <v>28.319447591123378</v>
      </c>
      <c r="CB33" s="20">
        <f t="shared" si="10"/>
        <v>233.44601669739703</v>
      </c>
      <c r="CC33" s="59">
        <f t="shared" si="11"/>
        <v>526.77935003073037</v>
      </c>
      <c r="CD33" s="59">
        <f ca="1">AVERAGE(OFFSET($CC$3,0,0,'Données projet'!$E$12+1,1))-AVERAGE(OFFSET($H$3,0,0,'Données projet'!$E$12+1,1))</f>
        <v>199.27781323742636</v>
      </c>
      <c r="CE33" s="59">
        <f t="shared" si="40"/>
        <v>199.82499536063892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11.676355093157449</v>
      </c>
      <c r="CL33" s="21">
        <f>EXP(-LN(2)/25)*CL32+(1-EXP(-LN(2)/25))/(LN(2)/25)*Calculateur!CG33*Calculateur!CI33*VLOOKUP('Données projet'!$B$12,Paramètres!$A$1:$I$89,3,0)*0.475*44/12</f>
        <v>17.485272928393897</v>
      </c>
      <c r="CM33" s="21">
        <f>EXP(-LN(2)/2)*CM32+(1-EXP(-LN(2)/2))/(LN(2)/2)*CG33*CJ33*VLOOKUP('Données projet'!$B$12,Paramètres!$A$1:$I$89,3,0)*0.475*44/12</f>
        <v>4.5751454136637673</v>
      </c>
      <c r="CN33" s="22">
        <f t="shared" si="12"/>
        <v>33.736773435215113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144.98461538461538</v>
      </c>
      <c r="CR33" s="12">
        <f>VLOOKUP(A33,'Données projet'!$A$139:$I$159,9,0)</f>
        <v>12.971794871794875</v>
      </c>
      <c r="CS33" s="12">
        <f t="array" ref="CS33">INDEX(CR:CR,MIN(IF(ISNUMBER(CR33:CR229),ROW(CR33:CR229),"")))</f>
        <v>12.971794871794875</v>
      </c>
      <c r="CT33" s="12">
        <f>IF('Données projet'!$A$140&gt;35,CT32+CS33-DB32,IF(A33&lt;'Données projet'!$A$140,$CQ$205^A33,IF(A33='Données projet'!$A$140,'Données projet'!$B$140,CT32+CS33-DB32)))</f>
        <v>144.98461538461544</v>
      </c>
      <c r="CU33" s="17">
        <f>CT33*VLOOKUP('Données projet'!$B$13,Paramètres!$A$1:$I$89,3,0)*VLOOKUP('Données projet'!$B$13,Paramètres!$A$1:$I$89,5,0)</f>
        <v>86.700800000000044</v>
      </c>
      <c r="CV33" s="13">
        <f t="shared" si="41"/>
        <v>23.767816195343574</v>
      </c>
      <c r="CW33" s="20">
        <f t="shared" si="13"/>
        <v>192.39950654022346</v>
      </c>
      <c r="CX33" s="59">
        <f t="shared" si="14"/>
        <v>485.73283987355677</v>
      </c>
      <c r="CY33" s="59">
        <f ca="1">AVERAGE(OFFSET($CX$3,0,0,'Données projet'!$E$13+1,1))-AVERAGE(OFFSET($H$3,0,0,'Données projet'!$E$13+1,1))</f>
        <v>213.18424462765137</v>
      </c>
      <c r="CZ33" s="59">
        <f t="shared" si="42"/>
        <v>158.77848520346532</v>
      </c>
      <c r="DA33" s="15" t="str">
        <f>IF(ISNA(VLOOKUP(A33,'Données projet'!$A$139:$I$159,3,0)),0,VLOOKUP(A33,'Données projet'!$A$139:$I$159,3,0))</f>
        <v>na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8.1581662766284548</v>
      </c>
      <c r="DG33" s="21">
        <f>EXP(-LN(2)/25)*DG32+(1-EXP(-LN(2)/25))/(LN(2)/25)*Calculateur!DB33*Calculateur!DD33*VLOOKUP('Données projet'!$B$13,Paramètres!$A$1:$I$89,3,0)*0.475*44/12</f>
        <v>10.317972950904801</v>
      </c>
      <c r="DH33" s="21">
        <f>EXP(-LN(2)/2)*DH32+(1-EXP(-LN(2)/2))/(LN(2)/2)*DB33*DE33*VLOOKUP('Données projet'!$B$13,Paramètres!$A$1:$I$89,3,0)*0.475*44/12</f>
        <v>2.0768746439122996</v>
      </c>
      <c r="DI33" s="22">
        <f t="shared" si="15"/>
        <v>20.553013871445557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11.443589743589744</v>
      </c>
      <c r="N34" s="13">
        <f>IF('Données projet'!$A$36&gt;35,N33+M34-V33,IF(A34&lt;'Données projet'!$A$36,$K$205^A34,IF(A34='Données projet'!$A$36,'Données projet'!$B$36,N33+M34-V33)))</f>
        <v>158.69743589743589</v>
      </c>
      <c r="O34" s="13">
        <f>N34*VLOOKUP('Données projet'!$B$9,Paramètres!$A$1:$I$89,3,0)*VLOOKUP('Données projet'!$B$9,Paramètres!$A$1:$I$89,5,0)</f>
        <v>74.270399999999995</v>
      </c>
      <c r="P34" s="13">
        <f t="shared" si="33"/>
        <v>20.730265914492005</v>
      </c>
      <c r="Q34" s="20">
        <f t="shared" si="2"/>
        <v>165.4594931344069</v>
      </c>
      <c r="R34" s="59">
        <f t="shared" si="0"/>
        <v>458.79282646774021</v>
      </c>
      <c r="S34" s="59">
        <f ca="1">AVERAGE(OFFSET($R$3,0,0,'Données projet'!$E$9+1,1))-AVERAGE(OFFSET($H$3,0,0,'Données projet'!$E$9+1,1))</f>
        <v>181.79645720099597</v>
      </c>
      <c r="T34" s="59">
        <f t="shared" si="34"/>
        <v>120.20040029102233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18.100000001098902</v>
      </c>
      <c r="AI34" s="13">
        <f>IF('Données projet'!$A$62&gt;35,AI33+AH34-AQ33,IF(A34&lt;'Données projet'!$A$62,$AF$205^A34,IF(A34='Données projet'!$A$62,'Données projet'!$B$62,AI33+AH34-AQ33)))</f>
        <v>233.09230769560429</v>
      </c>
      <c r="AJ34" s="13">
        <f>AI34*VLOOKUP('Données projet'!$B$10,Paramètres!$A$1:$I$89,3,0)*VLOOKUP('Données projet'!$B$10,Paramètres!$A$1:$I$89,5,0)</f>
        <v>130.2986000018428</v>
      </c>
      <c r="AK34" s="13">
        <f t="shared" si="35"/>
        <v>34.065347809862899</v>
      </c>
      <c r="AL34" s="20">
        <f t="shared" si="4"/>
        <v>286.26720910538745</v>
      </c>
      <c r="AM34" s="59">
        <f t="shared" si="5"/>
        <v>579.60054243872082</v>
      </c>
      <c r="AN34" s="59">
        <f ca="1">AVERAGE(OFFSET($AM$3,0,0,'Données projet'!$E$10+1,1))-AVERAGE(OFFSET($H$3,0,0,'Données projet'!$E$10+1,1))</f>
        <v>253.62342381933348</v>
      </c>
      <c r="AO34" s="59">
        <f t="shared" si="36"/>
        <v>230.93438491775407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22.460975036331224</v>
      </c>
      <c r="AW34" s="21">
        <f>EXP(-LN(2)/2)*AW33+(1-EXP(-LN(2)/2))/(LN(2)/2)*AQ34*AT34*VLOOKUP('Données projet'!$B$10,Paramètres!$A$1:$I$89,3,0)*0.475*44/12</f>
        <v>6.1361594170973968</v>
      </c>
      <c r="AX34" s="21">
        <f t="shared" si="6"/>
        <v>28.59713445342862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14.298901102197801</v>
      </c>
      <c r="BD34" s="12">
        <f>IF('Données projet'!$A$88&gt;35,BD33+BC34-BL33,IF(A34&lt;'Données projet'!$A$88,$BA$205^A34,IF(A34='Données projet'!$A$88,'Données projet'!$B$88,BD33+BC34-BL33)))</f>
        <v>191.08241758901099</v>
      </c>
      <c r="BE34" s="13">
        <f>BD34*VLOOKUP('Données projet'!$B$11,Paramètres!$A$1:$I$89,3,0)*VLOOKUP('Données projet'!$B$11,Paramètres!$A$1:$I$89,5,0)</f>
        <v>114.26728571822858</v>
      </c>
      <c r="BF34" s="13">
        <f t="shared" si="37"/>
        <v>30.334152497732994</v>
      </c>
      <c r="BG34" s="20">
        <f t="shared" si="7"/>
        <v>251.84750489279975</v>
      </c>
      <c r="BH34" s="59">
        <f t="shared" si="8"/>
        <v>545.18083822613312</v>
      </c>
      <c r="BI34" s="59">
        <f ca="1">AVERAGE(OFFSET($BH$3,0,0,'Données projet'!$E$11+1,1))-AVERAGE(OFFSET($H$3,0,0,'Données projet'!$E$11+1,1))</f>
        <v>199.27781324660782</v>
      </c>
      <c r="BJ34" s="59">
        <f t="shared" si="38"/>
        <v>199.82499536488524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11.447388891654011</v>
      </c>
      <c r="BQ34" s="21">
        <f>EXP(-LN(2)/25)*BQ33+(1-EXP(-LN(2)/25))/(LN(2)/25)*Calculateur!BL34*Calculateur!BN34*VLOOKUP('Données projet'!$B$11,Paramètres!$A$1:$I$89,3,0)*0.475*44/12</f>
        <v>17.007137220656425</v>
      </c>
      <c r="BR34" s="21">
        <f>EXP(-LN(2)/2)*BR33+(1-EXP(-LN(2)/2))/(LN(2)/2)*BL34*BO34*VLOOKUP('Données projet'!$B$11,Paramètres!$A$1:$I$89,3,0)*0.475*44/12</f>
        <v>3.2351163469161821</v>
      </c>
      <c r="BS34" s="22">
        <f t="shared" si="9"/>
        <v>31.689642459226619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14.298901098901101</v>
      </c>
      <c r="BY34" s="12">
        <f>IF('Données projet'!$A$114&gt;35,BY33+BX34-CG33,IF(A34&lt;'Données projet'!$A$114,$BV$205^A34,IF(A34='Données projet'!$A$114,'Données projet'!$B$114,BY33+BX34-CG33)))</f>
        <v>191.08241758241761</v>
      </c>
      <c r="BZ34" s="13">
        <f>BY34*VLOOKUP('Données projet'!$B$12,Paramètres!$A$1:$I$89,3,0)*VLOOKUP('Données projet'!$B$12,Paramètres!$A$1:$I$89,5,0)</f>
        <v>114.26728571428573</v>
      </c>
      <c r="CA34" s="13">
        <f t="shared" si="39"/>
        <v>30.334152496808123</v>
      </c>
      <c r="CB34" s="20">
        <f t="shared" si="10"/>
        <v>251.84750488432181</v>
      </c>
      <c r="CC34" s="59">
        <f t="shared" si="11"/>
        <v>545.18083821765515</v>
      </c>
      <c r="CD34" s="59">
        <f ca="1">AVERAGE(OFFSET($CC$3,0,0,'Données projet'!$E$12+1,1))-AVERAGE(OFFSET($H$3,0,0,'Données projet'!$E$12+1,1))</f>
        <v>199.27781323742636</v>
      </c>
      <c r="CE34" s="59">
        <f t="shared" si="40"/>
        <v>199.82499536063892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11.447388891654011</v>
      </c>
      <c r="CL34" s="21">
        <f>EXP(-LN(2)/25)*CL33+(1-EXP(-LN(2)/25))/(LN(2)/25)*Calculateur!CG34*Calculateur!CI34*VLOOKUP('Données projet'!$B$12,Paramètres!$A$1:$I$89,3,0)*0.475*44/12</f>
        <v>17.007137220656425</v>
      </c>
      <c r="CM34" s="21">
        <f>EXP(-LN(2)/2)*CM33+(1-EXP(-LN(2)/2))/(LN(2)/2)*CG34*CJ34*VLOOKUP('Données projet'!$B$12,Paramètres!$A$1:$I$89,3,0)*0.475*44/12</f>
        <v>3.2351163469161821</v>
      </c>
      <c r="CN34" s="22">
        <f t="shared" si="12"/>
        <v>31.689642459226619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12.971794871794865</v>
      </c>
      <c r="CT34" s="12">
        <f>IF('Données projet'!$A$140&gt;35,CT33+CS34-DB33,IF(A34&lt;'Données projet'!$A$140,$CQ$205^A34,IF(A34='Données projet'!$A$140,'Données projet'!$B$140,CT33+CS34-DB33)))</f>
        <v>157.95641025641029</v>
      </c>
      <c r="CU34" s="17">
        <f>CT34*VLOOKUP('Données projet'!$B$13,Paramètres!$A$1:$I$89,3,0)*VLOOKUP('Données projet'!$B$13,Paramètres!$A$1:$I$89,5,0)</f>
        <v>94.457933333333358</v>
      </c>
      <c r="CV34" s="13">
        <f t="shared" si="41"/>
        <v>25.637327417415943</v>
      </c>
      <c r="CW34" s="20">
        <f t="shared" si="13"/>
        <v>209.1659124742217</v>
      </c>
      <c r="CX34" s="59">
        <f t="shared" si="14"/>
        <v>502.49924580755498</v>
      </c>
      <c r="CY34" s="59">
        <f ca="1">AVERAGE(OFFSET($CX$3,0,0,'Données projet'!$E$13+1,1))-AVERAGE(OFFSET($H$3,0,0,'Données projet'!$E$13+1,1))</f>
        <v>213.18424462765137</v>
      </c>
      <c r="CZ34" s="59">
        <f t="shared" si="42"/>
        <v>158.77848520346532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7.9981896119338618</v>
      </c>
      <c r="DG34" s="21">
        <f>EXP(-LN(2)/25)*DG33+(1-EXP(-LN(2)/25))/(LN(2)/25)*Calculateur!DB34*Calculateur!DD34*VLOOKUP('Données projet'!$B$13,Paramètres!$A$1:$I$89,3,0)*0.475*44/12</f>
        <v>10.035827437963695</v>
      </c>
      <c r="DH34" s="21">
        <f>EXP(-LN(2)/2)*DH33+(1-EXP(-LN(2)/2))/(LN(2)/2)*DB34*DE34*VLOOKUP('Données projet'!$B$13,Paramètres!$A$1:$I$89,3,0)*0.475*44/12</f>
        <v>1.4685721443847832</v>
      </c>
      <c r="DI34" s="22">
        <f t="shared" si="15"/>
        <v>19.50258919428234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11.443589743589744</v>
      </c>
      <c r="N35" s="13">
        <f>IF('Données projet'!$A$36&gt;35,N34+M35-V34,IF(A35&lt;'Données projet'!$A$36,$K$205^A35,IF(A35='Données projet'!$A$36,'Données projet'!$B$36,N34+M35-V34)))</f>
        <v>170.14102564102564</v>
      </c>
      <c r="O35" s="13">
        <f>N35*VLOOKUP('Données projet'!$B$9,Paramètres!$A$1:$I$89,3,0)*VLOOKUP('Données projet'!$B$9,Paramètres!$A$1:$I$89,5,0)</f>
        <v>79.626000000000005</v>
      </c>
      <c r="P35" s="13">
        <f t="shared" si="33"/>
        <v>22.045714260156384</v>
      </c>
      <c r="Q35" s="20">
        <f t="shared" ref="Q35:Q66" si="53">(O35+P35)*0.475*44/12</f>
        <v>177.0782356697724</v>
      </c>
      <c r="R35" s="59">
        <f t="shared" si="0"/>
        <v>470.41156900310568</v>
      </c>
      <c r="S35" s="59">
        <f ca="1">AVERAGE(OFFSET($R$3,0,0,'Données projet'!$E$9+1,1))-AVERAGE(OFFSET($H$3,0,0,'Données projet'!$E$9+1,1))</f>
        <v>181.79645720099597</v>
      </c>
      <c r="T35" s="59">
        <f t="shared" si="34"/>
        <v>120.20040029102233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18.100000001098902</v>
      </c>
      <c r="AI35" s="13">
        <f>IF('Données projet'!$A$62&gt;35,AI34+AH35-AQ34,IF(A35&lt;'Données projet'!$A$62,$AF$205^A35,IF(A35='Données projet'!$A$62,'Données projet'!$B$62,AI34+AH35-AQ34)))</f>
        <v>251.19230769670318</v>
      </c>
      <c r="AJ35" s="13">
        <f>AI35*VLOOKUP('Données projet'!$B$10,Paramètres!$A$1:$I$89,3,0)*VLOOKUP('Données projet'!$B$10,Paramètres!$A$1:$I$89,5,0)</f>
        <v>140.41650000245707</v>
      </c>
      <c r="AK35" s="13">
        <f t="shared" si="35"/>
        <v>36.392403294637326</v>
      </c>
      <c r="AL35" s="20">
        <f t="shared" si="4"/>
        <v>307.94217324243942</v>
      </c>
      <c r="AM35" s="59">
        <f t="shared" si="5"/>
        <v>601.27550657577274</v>
      </c>
      <c r="AN35" s="59">
        <f ca="1">AVERAGE(OFFSET($AM$3,0,0,'Données projet'!$E$10+1,1))-AVERAGE(OFFSET($H$3,0,0,'Données projet'!$E$10+1,1))</f>
        <v>253.62342381933348</v>
      </c>
      <c r="AO35" s="59">
        <f t="shared" si="36"/>
        <v>230.93438491775407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21.846778492791405</v>
      </c>
      <c r="AW35" s="21">
        <f>EXP(-LN(2)/2)*AW34+(1-EXP(-LN(2)/2))/(LN(2)/2)*AQ35*AT35*VLOOKUP('Données projet'!$B$10,Paramètres!$A$1:$I$89,3,0)*0.475*44/12</f>
        <v>4.3389199342712619</v>
      </c>
      <c r="AX35" s="21">
        <f t="shared" si="6"/>
        <v>26.185698427062668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14.298901102197801</v>
      </c>
      <c r="BD35" s="12">
        <f>IF('Données projet'!$A$88&gt;35,BD34+BC35-BL34,IF(A35&lt;'Données projet'!$A$88,$BA$205^A35,IF(A35='Données projet'!$A$88,'Données projet'!$B$88,BD34+BC35-BL34)))</f>
        <v>205.38131869120878</v>
      </c>
      <c r="BE35" s="13">
        <f>BD35*VLOOKUP('Données projet'!$B$11,Paramètres!$A$1:$I$89,3,0)*VLOOKUP('Données projet'!$B$11,Paramètres!$A$1:$I$89,5,0)</f>
        <v>122.81802857734286</v>
      </c>
      <c r="BF35" s="13">
        <f t="shared" si="37"/>
        <v>32.331367632120362</v>
      </c>
      <c r="BG35" s="20">
        <f t="shared" si="7"/>
        <v>270.21853173148173</v>
      </c>
      <c r="BH35" s="59">
        <f t="shared" si="8"/>
        <v>563.55186506481505</v>
      </c>
      <c r="BI35" s="59">
        <f ca="1">AVERAGE(OFFSET($BH$3,0,0,'Données projet'!$E$11+1,1))-AVERAGE(OFFSET($H$3,0,0,'Données projet'!$E$11+1,1))</f>
        <v>199.27781324660782</v>
      </c>
      <c r="BJ35" s="59">
        <f t="shared" si="38"/>
        <v>199.82499536488524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11.222912577706463</v>
      </c>
      <c r="BQ35" s="21">
        <f>EXP(-LN(2)/25)*BQ34+(1-EXP(-LN(2)/25))/(LN(2)/25)*Calculateur!BL35*Calculateur!BN35*VLOOKUP('Données projet'!$B$11,Paramètres!$A$1:$I$89,3,0)*0.475*44/12</f>
        <v>16.542076158991097</v>
      </c>
      <c r="BR35" s="21">
        <f>EXP(-LN(2)/2)*BR34+(1-EXP(-LN(2)/2))/(LN(2)/2)*BL35*BO35*VLOOKUP('Données projet'!$B$11,Paramètres!$A$1:$I$89,3,0)*0.475*44/12</f>
        <v>2.2875727068318841</v>
      </c>
      <c r="BS35" s="22">
        <f t="shared" si="9"/>
        <v>30.052561443529445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14.298901098901101</v>
      </c>
      <c r="BY35" s="12">
        <f>IF('Données projet'!$A$114&gt;35,BY34+BX35-CG34,IF(A35&lt;'Données projet'!$A$114,$BV$205^A35,IF(A35='Données projet'!$A$114,'Données projet'!$B$114,BY34+BX35-CG34)))</f>
        <v>205.3813186813187</v>
      </c>
      <c r="BZ35" s="13">
        <f>BY35*VLOOKUP('Données projet'!$B$12,Paramètres!$A$1:$I$89,3,0)*VLOOKUP('Données projet'!$B$12,Paramètres!$A$1:$I$89,5,0)</f>
        <v>122.81802857142858</v>
      </c>
      <c r="CA35" s="13">
        <f t="shared" si="39"/>
        <v>32.331367630744694</v>
      </c>
      <c r="CB35" s="20">
        <f t="shared" si="10"/>
        <v>270.21853171878513</v>
      </c>
      <c r="CC35" s="59">
        <f t="shared" si="11"/>
        <v>563.5518650521185</v>
      </c>
      <c r="CD35" s="59">
        <f ca="1">AVERAGE(OFFSET($CC$3,0,0,'Données projet'!$E$12+1,1))-AVERAGE(OFFSET($H$3,0,0,'Données projet'!$E$12+1,1))</f>
        <v>199.27781323742636</v>
      </c>
      <c r="CE35" s="59">
        <f t="shared" si="40"/>
        <v>199.82499536063892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11.222912577706463</v>
      </c>
      <c r="CL35" s="21">
        <f>EXP(-LN(2)/25)*CL34+(1-EXP(-LN(2)/25))/(LN(2)/25)*Calculateur!CG35*Calculateur!CI35*VLOOKUP('Données projet'!$B$12,Paramètres!$A$1:$I$89,3,0)*0.475*44/12</f>
        <v>16.542076158991097</v>
      </c>
      <c r="CM35" s="21">
        <f>EXP(-LN(2)/2)*CM34+(1-EXP(-LN(2)/2))/(LN(2)/2)*CG35*CJ35*VLOOKUP('Données projet'!$B$12,Paramètres!$A$1:$I$89,3,0)*0.475*44/12</f>
        <v>2.2875727068318841</v>
      </c>
      <c r="CN35" s="22">
        <f t="shared" si="12"/>
        <v>30.052561443529445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12.971794871794865</v>
      </c>
      <c r="CT35" s="12">
        <f>IF('Données projet'!$A$140&gt;35,CT34+CS35-DB34,IF(A35&lt;'Données projet'!$A$140,$CQ$205^A35,IF(A35='Données projet'!$A$140,'Données projet'!$B$140,CT34+CS35-DB34)))</f>
        <v>170.92820512820515</v>
      </c>
      <c r="CU35" s="17">
        <f>CT35*VLOOKUP('Données projet'!$B$13,Paramètres!$A$1:$I$89,3,0)*VLOOKUP('Données projet'!$B$13,Paramètres!$A$1:$I$89,5,0)</f>
        <v>102.21506666666667</v>
      </c>
      <c r="CV35" s="13">
        <f t="shared" si="41"/>
        <v>27.489031873505194</v>
      </c>
      <c r="CW35" s="20">
        <f t="shared" si="13"/>
        <v>225.90130495746598</v>
      </c>
      <c r="CX35" s="59">
        <f t="shared" si="14"/>
        <v>519.23463829079924</v>
      </c>
      <c r="CY35" s="59">
        <f ca="1">AVERAGE(OFFSET($CX$3,0,0,'Données projet'!$E$13+1,1))-AVERAGE(OFFSET($H$3,0,0,'Données projet'!$E$13+1,1))</f>
        <v>213.18424462765137</v>
      </c>
      <c r="CZ35" s="59">
        <f t="shared" si="42"/>
        <v>158.77848520346532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7.8413499920577987</v>
      </c>
      <c r="DG35" s="21">
        <f>EXP(-LN(2)/25)*DG34+(1-EXP(-LN(2)/25))/(LN(2)/25)*Calculateur!DB35*Calculateur!DD35*VLOOKUP('Données projet'!$B$13,Paramètres!$A$1:$I$89,3,0)*0.475*44/12</f>
        <v>9.7613972089113492</v>
      </c>
      <c r="DH35" s="21">
        <f>EXP(-LN(2)/2)*DH34+(1-EXP(-LN(2)/2))/(LN(2)/2)*DB35*DE35*VLOOKUP('Données projet'!$B$13,Paramètres!$A$1:$I$89,3,0)*0.475*44/12</f>
        <v>1.0384373219561498</v>
      </c>
      <c r="DI35" s="22">
        <f t="shared" si="15"/>
        <v>18.641184522925297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11.443589743589744</v>
      </c>
      <c r="N36" s="13">
        <f>IF('Données projet'!$A$36&gt;35,N35+M36-V35,IF(A36&lt;'Données projet'!$A$36,$K$205^A36,IF(A36='Données projet'!$A$36,'Données projet'!$B$36,N35+M36-V35)))</f>
        <v>181.58461538461538</v>
      </c>
      <c r="O36" s="13">
        <f>N36*VLOOKUP('Données projet'!$B$9,Paramètres!$A$1:$I$89,3,0)*VLOOKUP('Données projet'!$B$9,Paramètres!$A$1:$I$89,5,0)</f>
        <v>84.981599999999986</v>
      </c>
      <c r="P36" s="13">
        <f t="shared" si="33"/>
        <v>23.350896003452508</v>
      </c>
      <c r="Q36" s="20">
        <f t="shared" si="53"/>
        <v>188.6790972060131</v>
      </c>
      <c r="R36" s="59">
        <f t="shared" si="0"/>
        <v>482.01243053934638</v>
      </c>
      <c r="S36" s="59">
        <f ca="1">AVERAGE(OFFSET($R$3,0,0,'Données projet'!$E$9+1,1))-AVERAGE(OFFSET($H$3,0,0,'Données projet'!$E$9+1,1))</f>
        <v>181.79645720099597</v>
      </c>
      <c r="T36" s="59">
        <f t="shared" si="34"/>
        <v>120.20040029102233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18.100000001098902</v>
      </c>
      <c r="AI36" s="13">
        <f>IF('Données projet'!$A$62&gt;35,AI35+AH36-AQ35,IF(A36&lt;'Données projet'!$A$62,$AF$205^A36,IF(A36='Données projet'!$A$62,'Données projet'!$B$62,AI35+AH36-AQ35)))</f>
        <v>269.29230769780207</v>
      </c>
      <c r="AJ36" s="13">
        <f>AI36*VLOOKUP('Données projet'!$B$10,Paramètres!$A$1:$I$89,3,0)*VLOOKUP('Données projet'!$B$10,Paramètres!$A$1:$I$89,5,0)</f>
        <v>150.53440000307137</v>
      </c>
      <c r="AK36" s="13">
        <f t="shared" si="35"/>
        <v>38.70000479135588</v>
      </c>
      <c r="AL36" s="20">
        <f t="shared" si="4"/>
        <v>329.58325501696078</v>
      </c>
      <c r="AM36" s="59">
        <f t="shared" si="5"/>
        <v>622.91658835029409</v>
      </c>
      <c r="AN36" s="59">
        <f ca="1">AVERAGE(OFFSET($AM$3,0,0,'Données projet'!$E$10+1,1))-AVERAGE(OFFSET($H$3,0,0,'Données projet'!$E$10+1,1))</f>
        <v>253.62342381933348</v>
      </c>
      <c r="AO36" s="59">
        <f t="shared" si="36"/>
        <v>230.93438491775407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21.249377186033875</v>
      </c>
      <c r="AW36" s="21">
        <f>EXP(-LN(2)/2)*AW35+(1-EXP(-LN(2)/2))/(LN(2)/2)*AQ36*AT36*VLOOKUP('Données projet'!$B$10,Paramètres!$A$1:$I$89,3,0)*0.475*44/12</f>
        <v>3.0680797085486984</v>
      </c>
      <c r="AX36" s="21">
        <f t="shared" si="6"/>
        <v>24.317456894582573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14.298901102197801</v>
      </c>
      <c r="BD36" s="12">
        <f>IF('Données projet'!$A$88&gt;35,BD35+BC36-BL35,IF(A36&lt;'Données projet'!$A$88,$BA$205^A36,IF(A36='Données projet'!$A$88,'Données projet'!$B$88,BD35+BC36-BL35)))</f>
        <v>219.68021979340656</v>
      </c>
      <c r="BE36" s="13">
        <f>BD36*VLOOKUP('Données projet'!$B$11,Paramètres!$A$1:$I$89,3,0)*VLOOKUP('Données projet'!$B$11,Paramètres!$A$1:$I$89,5,0)</f>
        <v>131.36877143645714</v>
      </c>
      <c r="BF36" s="13">
        <f t="shared" si="37"/>
        <v>34.312449163896524</v>
      </c>
      <c r="BG36" s="20">
        <f t="shared" si="7"/>
        <v>288.56145921228261</v>
      </c>
      <c r="BH36" s="59">
        <f t="shared" si="8"/>
        <v>581.89479254561593</v>
      </c>
      <c r="BI36" s="59">
        <f ca="1">AVERAGE(OFFSET($BH$3,0,0,'Données projet'!$E$11+1,1))-AVERAGE(OFFSET($H$3,0,0,'Données projet'!$E$11+1,1))</f>
        <v>199.27781324660782</v>
      </c>
      <c r="BJ36" s="59">
        <f t="shared" si="38"/>
        <v>199.82499536488524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11.002838107358395</v>
      </c>
      <c r="BQ36" s="21">
        <f>EXP(-LN(2)/25)*BQ35+(1-EXP(-LN(2)/25))/(LN(2)/25)*Calculateur!BL36*Calculateur!BN36*VLOOKUP('Données projet'!$B$11,Paramètres!$A$1:$I$89,3,0)*0.475*44/12</f>
        <v>16.089732216513507</v>
      </c>
      <c r="BR36" s="21">
        <f>EXP(-LN(2)/2)*BR35+(1-EXP(-LN(2)/2))/(LN(2)/2)*BL36*BO36*VLOOKUP('Données projet'!$B$11,Paramètres!$A$1:$I$89,3,0)*0.475*44/12</f>
        <v>1.6175581734580915</v>
      </c>
      <c r="BS36" s="22">
        <f t="shared" si="9"/>
        <v>28.710128497329997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14.298901098901101</v>
      </c>
      <c r="BY36" s="12">
        <f>IF('Données projet'!$A$114&gt;35,BY35+BX36-CG35,IF(A36&lt;'Données projet'!$A$114,$BV$205^A36,IF(A36='Données projet'!$A$114,'Données projet'!$B$114,BY35+BX36-CG35)))</f>
        <v>219.6802197802198</v>
      </c>
      <c r="BZ36" s="13">
        <f>BY36*VLOOKUP('Données projet'!$B$12,Paramètres!$A$1:$I$89,3,0)*VLOOKUP('Données projet'!$B$12,Paramètres!$A$1:$I$89,5,0)</f>
        <v>131.36877142857145</v>
      </c>
      <c r="CA36" s="13">
        <f t="shared" si="39"/>
        <v>34.312449162076589</v>
      </c>
      <c r="CB36" s="20">
        <f t="shared" si="10"/>
        <v>288.56145919537863</v>
      </c>
      <c r="CC36" s="59">
        <f t="shared" si="11"/>
        <v>581.89479252871195</v>
      </c>
      <c r="CD36" s="59">
        <f ca="1">AVERAGE(OFFSET($CC$3,0,0,'Données projet'!$E$12+1,1))-AVERAGE(OFFSET($H$3,0,0,'Données projet'!$E$12+1,1))</f>
        <v>199.27781323742636</v>
      </c>
      <c r="CE36" s="59">
        <f t="shared" si="40"/>
        <v>199.82499536063892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11.002838107358395</v>
      </c>
      <c r="CL36" s="21">
        <f>EXP(-LN(2)/25)*CL35+(1-EXP(-LN(2)/25))/(LN(2)/25)*Calculateur!CG36*Calculateur!CI36*VLOOKUP('Données projet'!$B$12,Paramètres!$A$1:$I$89,3,0)*0.475*44/12</f>
        <v>16.089732216513507</v>
      </c>
      <c r="CM36" s="21">
        <f>EXP(-LN(2)/2)*CM35+(1-EXP(-LN(2)/2))/(LN(2)/2)*CG36*CJ36*VLOOKUP('Données projet'!$B$12,Paramètres!$A$1:$I$89,3,0)*0.475*44/12</f>
        <v>1.6175581734580915</v>
      </c>
      <c r="CN36" s="22">
        <f t="shared" si="12"/>
        <v>28.710128497329997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>
        <f>VLOOKUP(A36,'Données projet'!$A$139:$I$159,2,0)</f>
        <v>183.89999999999998</v>
      </c>
      <c r="CR36" s="12">
        <f>VLOOKUP(A36,'Données projet'!$A$139:$I$159,9,0)</f>
        <v>12.971794871794865</v>
      </c>
      <c r="CS36" s="12">
        <f t="array" ref="CS36">INDEX(CR:CR,MIN(IF(ISNUMBER(CR36:CR232),ROW(CR36:CR232),"")))</f>
        <v>12.971794871794865</v>
      </c>
      <c r="CT36" s="12">
        <f>IF('Données projet'!$A$140&gt;35,CT35+CS36-DB35,IF(A36&lt;'Données projet'!$A$140,$CQ$205^A36,IF(A36='Données projet'!$A$140,'Données projet'!$B$140,CT35+CS36-DB35)))</f>
        <v>183.9</v>
      </c>
      <c r="CU36" s="17">
        <f>CT36*VLOOKUP('Données projet'!$B$13,Paramètres!$A$1:$I$89,3,0)*VLOOKUP('Données projet'!$B$13,Paramètres!$A$1:$I$89,5,0)</f>
        <v>109.97220000000002</v>
      </c>
      <c r="CV36" s="13">
        <f t="shared" si="41"/>
        <v>29.324434579377328</v>
      </c>
      <c r="CW36" s="20">
        <f t="shared" si="13"/>
        <v>242.60830522574886</v>
      </c>
      <c r="CX36" s="59">
        <f t="shared" si="14"/>
        <v>535.94163855908221</v>
      </c>
      <c r="CY36" s="59">
        <f ca="1">AVERAGE(OFFSET($CX$3,0,0,'Données projet'!$E$13+1,1))-AVERAGE(OFFSET($H$3,0,0,'Données projet'!$E$13+1,1))</f>
        <v>213.18424462765137</v>
      </c>
      <c r="CZ36" s="59">
        <f t="shared" si="42"/>
        <v>158.77848520346532</v>
      </c>
      <c r="DA36" s="15">
        <f>IF(ISNA(VLOOKUP(A36,'Données projet'!$A$139:$I$159,3,0)),0,VLOOKUP(A36,'Données projet'!$A$139:$I$159,3,0))</f>
        <v>3</v>
      </c>
      <c r="DB36" s="15">
        <f>IF(ISNA(VLOOKUP(A36,'Données projet'!$A$139:$I$159,4,0)),0,VLOOKUP(A36,'Données projet'!$A$139:$I$159,4,0))</f>
        <v>43.007692307692302</v>
      </c>
      <c r="DC36" s="16">
        <f>IF(ISNA(VLOOKUP(A36,'Données projet'!$A$139:$I$159,5,0)),0%,VLOOKUP(A36,'Données projet'!$A$139:$I$159,5,0)*VLOOKUP('Données projet'!$B$13,Paramètres!$A$1:$I$89,7,0))</f>
        <v>0.315</v>
      </c>
      <c r="DD36" s="16">
        <f>IF(ISNA(VLOOKUP(A36,'Données projet'!$A$139:$I$159,6,0)),0%,VLOOKUP(A36,'Données projet'!$A$139:$I$159,6,0)*VLOOKUP('Données projet'!$B$13,Paramètres!$A$1:$I$89,7,0))</f>
        <v>7.5600000000000001E-2</v>
      </c>
      <c r="DE36" s="16">
        <f>IF(ISNA(VLOOKUP(A36,'Données projet'!$A$139:$I$159,7,0)),0%,VLOOKUP(A36,'Données projet'!$A$139:$I$159,7,0))</f>
        <v>0.13200000000000001</v>
      </c>
      <c r="DF36" s="21">
        <f>EXP(-LN(2)/35)*DF35+(1-EXP(-LN(2)/35))/(LN(2)/35)*DB36*DC36*VLOOKUP('Données projet'!$B$13,Paramètres!$A$1:$I$89,3,0)*0.475*44/12</f>
        <v>18.434560791620001</v>
      </c>
      <c r="DG36" s="21">
        <f>EXP(-LN(2)/25)*DG35+(1-EXP(-LN(2)/25))/(LN(2)/25)*Calculateur!DB36*Calculateur!DD36*VLOOKUP('Données projet'!$B$13,Paramètres!$A$1:$I$89,3,0)*0.475*44/12</f>
        <v>12.063589678126709</v>
      </c>
      <c r="DH36" s="21">
        <f>EXP(-LN(2)/2)*DH35+(1-EXP(-LN(2)/2))/(LN(2)/2)*DB36*DE36*VLOOKUP('Données projet'!$B$13,Paramètres!$A$1:$I$89,3,0)*0.475*44/12</f>
        <v>4.5780507750580615</v>
      </c>
      <c r="DI36" s="22">
        <f t="shared" si="15"/>
        <v>35.076201244804771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11.443589743589744</v>
      </c>
      <c r="N37" s="13">
        <f>IF('Données projet'!$A$36&gt;35,N36+M37-V36,IF(A37&lt;'Données projet'!$A$36,$K$205^A37,IF(A37='Données projet'!$A$36,'Données projet'!$B$36,N36+M37-V36)))</f>
        <v>193.02820512820512</v>
      </c>
      <c r="O37" s="13">
        <f>N37*VLOOKUP('Données projet'!$B$9,Paramètres!$A$1:$I$89,3,0)*VLOOKUP('Données projet'!$B$9,Paramètres!$A$1:$I$89,5,0)</f>
        <v>90.337199999999996</v>
      </c>
      <c r="P37" s="13">
        <f t="shared" si="33"/>
        <v>24.646531805527069</v>
      </c>
      <c r="Q37" s="20">
        <f t="shared" si="53"/>
        <v>200.2633328946263</v>
      </c>
      <c r="R37" s="59">
        <f t="shared" si="0"/>
        <v>493.59666622795964</v>
      </c>
      <c r="S37" s="59">
        <f ca="1">AVERAGE(OFFSET($R$3,0,0,'Données projet'!$E$9+1,1))-AVERAGE(OFFSET($H$3,0,0,'Données projet'!$E$9+1,1))</f>
        <v>181.79645720099597</v>
      </c>
      <c r="T37" s="59">
        <f t="shared" si="34"/>
        <v>120.20040029102233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18.100000001098902</v>
      </c>
      <c r="AI37" s="13">
        <f>IF('Données projet'!$A$62&gt;35,AI36+AH37-AQ36,IF(A37&lt;'Données projet'!$A$62,$AF$205^A37,IF(A37='Données projet'!$A$62,'Données projet'!$B$62,AI36+AH37-AQ36)))</f>
        <v>287.39230769890099</v>
      </c>
      <c r="AJ37" s="13">
        <f>AI37*VLOOKUP('Données projet'!$B$10,Paramètres!$A$1:$I$89,3,0)*VLOOKUP('Données projet'!$B$10,Paramètres!$A$1:$I$89,5,0)</f>
        <v>160.65230000368567</v>
      </c>
      <c r="AK37" s="13">
        <f t="shared" si="35"/>
        <v>40.989608636474721</v>
      </c>
      <c r="AL37" s="20">
        <f t="shared" si="4"/>
        <v>351.19299088161262</v>
      </c>
      <c r="AM37" s="59">
        <f t="shared" si="5"/>
        <v>644.52632421494593</v>
      </c>
      <c r="AN37" s="59">
        <f ca="1">AVERAGE(OFFSET($AM$3,0,0,'Données projet'!$E$10+1,1))-AVERAGE(OFFSET($H$3,0,0,'Données projet'!$E$10+1,1))</f>
        <v>253.62342381933348</v>
      </c>
      <c r="AO37" s="59">
        <f t="shared" si="36"/>
        <v>230.93438491775407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20.668311849425599</v>
      </c>
      <c r="AW37" s="21">
        <f>EXP(-LN(2)/2)*AW36+(1-EXP(-LN(2)/2))/(LN(2)/2)*AQ37*AT37*VLOOKUP('Données projet'!$B$10,Paramètres!$A$1:$I$89,3,0)*0.475*44/12</f>
        <v>2.1694599671356309</v>
      </c>
      <c r="AX37" s="21">
        <f t="shared" si="6"/>
        <v>22.837771816561229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14.298901102197801</v>
      </c>
      <c r="BD37" s="12">
        <f>IF('Données projet'!$A$88&gt;35,BD36+BC37-BL36,IF(A37&lt;'Données projet'!$A$88,$BA$205^A37,IF(A37='Données projet'!$A$88,'Données projet'!$B$88,BD36+BC37-BL36)))</f>
        <v>233.97912089560435</v>
      </c>
      <c r="BE37" s="13">
        <f>BD37*VLOOKUP('Données projet'!$B$11,Paramètres!$A$1:$I$89,3,0)*VLOOKUP('Données projet'!$B$11,Paramètres!$A$1:$I$89,5,0)</f>
        <v>139.91951429557142</v>
      </c>
      <c r="BF37" s="13">
        <f t="shared" si="37"/>
        <v>36.278566733285857</v>
      </c>
      <c r="BG37" s="20">
        <f t="shared" si="7"/>
        <v>306.87832445859306</v>
      </c>
      <c r="BH37" s="59">
        <f t="shared" si="8"/>
        <v>600.21165779192643</v>
      </c>
      <c r="BI37" s="59">
        <f ca="1">AVERAGE(OFFSET($BH$3,0,0,'Données projet'!$E$11+1,1))-AVERAGE(OFFSET($H$3,0,0,'Données projet'!$E$11+1,1))</f>
        <v>199.27781324660782</v>
      </c>
      <c r="BJ37" s="59">
        <f t="shared" si="38"/>
        <v>199.82499536488524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10.787079163141678</v>
      </c>
      <c r="BQ37" s="21">
        <f>EXP(-LN(2)/25)*BQ36+(1-EXP(-LN(2)/25))/(LN(2)/25)*Calculateur!BL37*Calculateur!BN37*VLOOKUP('Données projet'!$B$11,Paramètres!$A$1:$I$89,3,0)*0.475*44/12</f>
        <v>15.649757642930702</v>
      </c>
      <c r="BR37" s="21">
        <f>EXP(-LN(2)/2)*BR36+(1-EXP(-LN(2)/2))/(LN(2)/2)*BL37*BO37*VLOOKUP('Données projet'!$B$11,Paramètres!$A$1:$I$89,3,0)*0.475*44/12</f>
        <v>1.1437863534159423</v>
      </c>
      <c r="BS37" s="22">
        <f t="shared" si="9"/>
        <v>27.580623159488319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14.298901098901101</v>
      </c>
      <c r="BY37" s="12">
        <f>IF('Données projet'!$A$114&gt;35,BY36+BX37-CG36,IF(A37&lt;'Données projet'!$A$114,$BV$205^A37,IF(A37='Données projet'!$A$114,'Données projet'!$B$114,BY36+BX37-CG36)))</f>
        <v>233.9791208791209</v>
      </c>
      <c r="BZ37" s="13">
        <f>BY37*VLOOKUP('Données projet'!$B$12,Paramètres!$A$1:$I$89,3,0)*VLOOKUP('Données projet'!$B$12,Paramètres!$A$1:$I$89,5,0)</f>
        <v>139.91951428571431</v>
      </c>
      <c r="CA37" s="13">
        <f t="shared" si="39"/>
        <v>36.278566731027588</v>
      </c>
      <c r="CB37" s="20">
        <f t="shared" si="10"/>
        <v>306.87832443749215</v>
      </c>
      <c r="CC37" s="59">
        <f t="shared" si="11"/>
        <v>600.21165777082547</v>
      </c>
      <c r="CD37" s="59">
        <f ca="1">AVERAGE(OFFSET($CC$3,0,0,'Données projet'!$E$12+1,1))-AVERAGE(OFFSET($H$3,0,0,'Données projet'!$E$12+1,1))</f>
        <v>199.27781323742636</v>
      </c>
      <c r="CE37" s="59">
        <f t="shared" si="40"/>
        <v>199.82499536063892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10.787079163141678</v>
      </c>
      <c r="CL37" s="21">
        <f>EXP(-LN(2)/25)*CL36+(1-EXP(-LN(2)/25))/(LN(2)/25)*Calculateur!CG37*Calculateur!CI37*VLOOKUP('Données projet'!$B$12,Paramètres!$A$1:$I$89,3,0)*0.475*44/12</f>
        <v>15.649757642930702</v>
      </c>
      <c r="CM37" s="21">
        <f>EXP(-LN(2)/2)*CM36+(1-EXP(-LN(2)/2))/(LN(2)/2)*CG37*CJ37*VLOOKUP('Données projet'!$B$12,Paramètres!$A$1:$I$89,3,0)*0.475*44/12</f>
        <v>1.1437863534159423</v>
      </c>
      <c r="CN37" s="22">
        <f t="shared" si="12"/>
        <v>27.580623159488319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12.740384615384613</v>
      </c>
      <c r="CT37" s="12">
        <f>IF('Données projet'!$A$140&gt;35,CT36+CS37-DB36,IF(A37&lt;'Données projet'!$A$140,$CQ$205^A37,IF(A37='Données projet'!$A$140,'Données projet'!$B$140,CT36+CS37-DB36)))</f>
        <v>153.63269230769231</v>
      </c>
      <c r="CU37" s="17">
        <f>CT37*VLOOKUP('Données projet'!$B$13,Paramètres!$A$1:$I$89,3,0)*VLOOKUP('Données projet'!$B$13,Paramètres!$A$1:$I$89,5,0)</f>
        <v>91.872349999999997</v>
      </c>
      <c r="CV37" s="13">
        <f t="shared" si="41"/>
        <v>25.016248165039102</v>
      </c>
      <c r="CW37" s="20">
        <f t="shared" si="13"/>
        <v>203.58097513744312</v>
      </c>
      <c r="CX37" s="59">
        <f t="shared" si="14"/>
        <v>496.9143084707764</v>
      </c>
      <c r="CY37" s="59">
        <f ca="1">AVERAGE(OFFSET($CX$3,0,0,'Données projet'!$E$13+1,1))-AVERAGE(OFFSET($H$3,0,0,'Données projet'!$E$13+1,1))</f>
        <v>213.18424462765137</v>
      </c>
      <c r="CZ37" s="59">
        <f t="shared" si="42"/>
        <v>158.77848520346532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18.073070298468167</v>
      </c>
      <c r="DG37" s="21">
        <f>EXP(-LN(2)/25)*DG36+(1-EXP(-LN(2)/25))/(LN(2)/25)*Calculateur!DB37*Calculateur!DD37*VLOOKUP('Données projet'!$B$13,Paramètres!$A$1:$I$89,3,0)*0.475*44/12</f>
        <v>11.733710183981724</v>
      </c>
      <c r="DH37" s="21">
        <f>EXP(-LN(2)/2)*DH36+(1-EXP(-LN(2)/2))/(LN(2)/2)*DB37*DE37*VLOOKUP('Données projet'!$B$13,Paramètres!$A$1:$I$89,3,0)*0.475*44/12</f>
        <v>3.237170747659885</v>
      </c>
      <c r="DI37" s="22">
        <f t="shared" si="15"/>
        <v>33.043951230109776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11.443589743589744</v>
      </c>
      <c r="N38" s="13">
        <f>IF('Données projet'!$A$36&gt;35,N37+M38-V37,IF(A38&lt;'Données projet'!$A$36,$K$205^A38,IF(A38='Données projet'!$A$36,'Données projet'!$B$36,N37+M38-V37)))</f>
        <v>204.47179487179486</v>
      </c>
      <c r="O38" s="13">
        <f>N38*VLOOKUP('Données projet'!$B$9,Paramètres!$A$1:$I$89,3,0)*VLOOKUP('Données projet'!$B$9,Paramètres!$A$1:$I$89,5,0)</f>
        <v>95.692799999999991</v>
      </c>
      <c r="P38" s="13">
        <f t="shared" si="33"/>
        <v>25.93325205212474</v>
      </c>
      <c r="Q38" s="20">
        <f t="shared" si="53"/>
        <v>211.83204065745056</v>
      </c>
      <c r="R38" s="59">
        <f t="shared" si="0"/>
        <v>505.16537399078391</v>
      </c>
      <c r="S38" s="59">
        <f ca="1">AVERAGE(OFFSET($R$3,0,0,'Données projet'!$E$9+1,1))-AVERAGE(OFFSET($H$3,0,0,'Données projet'!$E$9+1,1))</f>
        <v>181.79645720099597</v>
      </c>
      <c r="T38" s="59">
        <f t="shared" si="34"/>
        <v>120.20040029102233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305.49230770000003</v>
      </c>
      <c r="AG38" s="12">
        <f>VLOOKUP(A38,'Données projet'!$A$61:$I$81,9,0)</f>
        <v>18.100000001098902</v>
      </c>
      <c r="AH38" s="12">
        <f t="array" ref="AH38">INDEX(AG:AG,MIN(IF(ISNUMBER(AG38:AG234),ROW(AG38:AG234),"")))</f>
        <v>18.100000001098902</v>
      </c>
      <c r="AI38" s="13">
        <f>IF('Données projet'!$A$62&gt;35,AI37+AH38-AQ37,IF(A38&lt;'Données projet'!$A$62,$AF$205^A38,IF(A38='Données projet'!$A$62,'Données projet'!$B$62,AI37+AH38-AQ37)))</f>
        <v>305.49230769999991</v>
      </c>
      <c r="AJ38" s="13">
        <f>AI38*VLOOKUP('Données projet'!$B$10,Paramètres!$A$1:$I$89,3,0)*VLOOKUP('Données projet'!$B$10,Paramètres!$A$1:$I$89,5,0)</f>
        <v>170.77020000429994</v>
      </c>
      <c r="AK38" s="13">
        <f t="shared" si="35"/>
        <v>43.262477356952154</v>
      </c>
      <c r="AL38" s="20">
        <f t="shared" si="4"/>
        <v>372.77357973751413</v>
      </c>
      <c r="AM38" s="59">
        <f t="shared" si="5"/>
        <v>666.10691307084744</v>
      </c>
      <c r="AN38" s="59">
        <f ca="1">AVERAGE(OFFSET($AM$3,0,0,'Données projet'!$E$10+1,1))-AVERAGE(OFFSET($H$3,0,0,'Données projet'!$E$10+1,1))</f>
        <v>253.62342381933348</v>
      </c>
      <c r="AO38" s="59">
        <f t="shared" si="36"/>
        <v>230.93438491775407</v>
      </c>
      <c r="AP38" s="15">
        <f>IF(ISNA(VLOOKUP(A38,'Données projet'!$A$61:$I$81,3,0)),0,VLOOKUP(A38,'Données projet'!$A$61:$I$81,3,0))</f>
        <v>3</v>
      </c>
      <c r="AQ38" s="15">
        <f>IF(ISNA(VLOOKUP(A38,'Données projet'!$A$61:$I$81,4,0)),0,VLOOKUP(A38,'Données projet'!$A$61:$I$81,4,0))</f>
        <v>70.5</v>
      </c>
      <c r="AR38" s="16">
        <f>IF(ISNA(VLOOKUP(A38,'Données projet'!$A$61:$I$81,5,0)),0%,VLOOKUP(A38,'Données projet'!$A$61:$I$81,5,0)*VLOOKUP('Données projet'!$B$10,Paramètres!$A$1:$I$89,7,0))</f>
        <v>0.38500000000000001</v>
      </c>
      <c r="AS38" s="16">
        <f>IF(ISNA(VLOOKUP(A38,'Données projet'!$A$61:$I$81,6,0)),0%,VLOOKUP(A38,'Données projet'!$A$61:$I$81,6,0)*VLOOKUP('Données projet'!$B$10,Paramètres!$A$1:$I$89,7,0))</f>
        <v>9.3500000000000014E-2</v>
      </c>
      <c r="AT38" s="16">
        <f>IF(ISNA(VLOOKUP(A38,'Données projet'!$A$61:$I$81,7,0)),0%,VLOOKUP(A38,'Données projet'!$A$61:$I$81,7,0))</f>
        <v>0.13</v>
      </c>
      <c r="AU38" s="21">
        <f>EXP(-LN(2)/35)*AU37+(1-EXP(-LN(2)/35))/(LN(2)/35)*AQ38*AR38*VLOOKUP('Données projet'!$B$10,Paramètres!$A$1:$I$89,3,0)*0.475*44/12</f>
        <v>20.127508134058157</v>
      </c>
      <c r="AV38" s="21">
        <f>EXP(-LN(2)/25)*AV37+(1-EXP(-LN(2)/25))/(LN(2)/25)*Calculateur!AQ38*Calculateur!AS38*VLOOKUP('Données projet'!$B$10,Paramètres!$A$1:$I$89,3,0)*0.475*44/12</f>
        <v>24.971998545160815</v>
      </c>
      <c r="AW38" s="21">
        <f>EXP(-LN(2)/2)*AW37+(1-EXP(-LN(2)/2))/(LN(2)/2)*AQ38*AT38*VLOOKUP('Données projet'!$B$10,Paramètres!$A$1:$I$89,3,0)*0.475*44/12</f>
        <v>7.3347319890923526</v>
      </c>
      <c r="AX38" s="21">
        <f t="shared" si="6"/>
        <v>52.43423866831133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14.298901102197801</v>
      </c>
      <c r="BD38" s="12">
        <f>IF('Données projet'!$A$88&gt;35,BD37+BC38-BL37,IF(A38&lt;'Données projet'!$A$88,$BA$205^A38,IF(A38='Données projet'!$A$88,'Données projet'!$B$88,BD37+BC38-BL37)))</f>
        <v>248.27802199780214</v>
      </c>
      <c r="BE38" s="13">
        <f>BD38*VLOOKUP('Données projet'!$B$11,Paramètres!$A$1:$I$89,3,0)*VLOOKUP('Données projet'!$B$11,Paramètres!$A$1:$I$89,5,0)</f>
        <v>148.4702571546857</v>
      </c>
      <c r="BF38" s="13">
        <f t="shared" si="37"/>
        <v>38.230738944594535</v>
      </c>
      <c r="BG38" s="20">
        <f t="shared" si="7"/>
        <v>325.17090153957975</v>
      </c>
      <c r="BH38" s="59">
        <f t="shared" si="8"/>
        <v>618.504234872913</v>
      </c>
      <c r="BI38" s="59">
        <f ca="1">AVERAGE(OFFSET($BH$3,0,0,'Données projet'!$E$11+1,1))-AVERAGE(OFFSET($H$3,0,0,'Données projet'!$E$11+1,1))</f>
        <v>199.27781324660782</v>
      </c>
      <c r="BJ38" s="59">
        <f t="shared" si="38"/>
        <v>199.82499536488524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10.575551120221091</v>
      </c>
      <c r="BQ38" s="21">
        <f>EXP(-LN(2)/25)*BQ37+(1-EXP(-LN(2)/25))/(LN(2)/25)*Calculateur!BL38*Calculateur!BN38*VLOOKUP('Données projet'!$B$11,Paramètres!$A$1:$I$89,3,0)*0.475*44/12</f>
        <v>15.221814197199775</v>
      </c>
      <c r="BR38" s="21">
        <f>EXP(-LN(2)/2)*BR37+(1-EXP(-LN(2)/2))/(LN(2)/2)*BL38*BO38*VLOOKUP('Données projet'!$B$11,Paramètres!$A$1:$I$89,3,0)*0.475*44/12</f>
        <v>0.80877908672904586</v>
      </c>
      <c r="BS38" s="22">
        <f t="shared" si="9"/>
        <v>26.606144404149912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14.298901098901101</v>
      </c>
      <c r="BY38" s="12">
        <f>IF('Données projet'!$A$114&gt;35,BY37+BX38-CG37,IF(A38&lt;'Données projet'!$A$114,$BV$205^A38,IF(A38='Données projet'!$A$114,'Données projet'!$B$114,BY37+BX38-CG37)))</f>
        <v>248.278021978022</v>
      </c>
      <c r="BZ38" s="13">
        <f>BY38*VLOOKUP('Données projet'!$B$12,Paramètres!$A$1:$I$89,3,0)*VLOOKUP('Données projet'!$B$12,Paramètres!$A$1:$I$89,5,0)</f>
        <v>148.47025714285718</v>
      </c>
      <c r="CA38" s="13">
        <f t="shared" si="39"/>
        <v>38.230738941903269</v>
      </c>
      <c r="CB38" s="20">
        <f t="shared" si="10"/>
        <v>325.17090151429107</v>
      </c>
      <c r="CC38" s="59">
        <f t="shared" si="11"/>
        <v>618.50423484762439</v>
      </c>
      <c r="CD38" s="59">
        <f ca="1">AVERAGE(OFFSET($CC$3,0,0,'Données projet'!$E$12+1,1))-AVERAGE(OFFSET($H$3,0,0,'Données projet'!$E$12+1,1))</f>
        <v>199.27781323742636</v>
      </c>
      <c r="CE38" s="59">
        <f t="shared" si="40"/>
        <v>199.82499536063892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10.575551120221091</v>
      </c>
      <c r="CL38" s="21">
        <f>EXP(-LN(2)/25)*CL37+(1-EXP(-LN(2)/25))/(LN(2)/25)*Calculateur!CG38*Calculateur!CI38*VLOOKUP('Données projet'!$B$12,Paramètres!$A$1:$I$89,3,0)*0.475*44/12</f>
        <v>15.221814197199775</v>
      </c>
      <c r="CM38" s="21">
        <f>EXP(-LN(2)/2)*CM37+(1-EXP(-LN(2)/2))/(LN(2)/2)*CG38*CJ38*VLOOKUP('Données projet'!$B$12,Paramètres!$A$1:$I$89,3,0)*0.475*44/12</f>
        <v>0.80877908672904586</v>
      </c>
      <c r="CN38" s="22">
        <f t="shared" si="12"/>
        <v>26.606144404149912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12.740384615384613</v>
      </c>
      <c r="CT38" s="12">
        <f>IF('Données projet'!$A$140&gt;35,CT37+CS38-DB37,IF(A38&lt;'Données projet'!$A$140,$CQ$205^A38,IF(A38='Données projet'!$A$140,'Données projet'!$B$140,CT37+CS38-DB37)))</f>
        <v>166.37307692307692</v>
      </c>
      <c r="CU38" s="17">
        <f>CT38*VLOOKUP('Données projet'!$B$13,Paramètres!$A$1:$I$89,3,0)*VLOOKUP('Données projet'!$B$13,Paramètres!$A$1:$I$89,5,0)</f>
        <v>99.491100000000017</v>
      </c>
      <c r="CV38" s="13">
        <f t="shared" si="41"/>
        <v>26.84072316435665</v>
      </c>
      <c r="CW38" s="20">
        <f t="shared" si="13"/>
        <v>220.02792534458786</v>
      </c>
      <c r="CX38" s="59">
        <f t="shared" si="14"/>
        <v>513.36125867792111</v>
      </c>
      <c r="CY38" s="59">
        <f ca="1">AVERAGE(OFFSET($CX$3,0,0,'Données projet'!$E$13+1,1))-AVERAGE(OFFSET($H$3,0,0,'Données projet'!$E$13+1,1))</f>
        <v>213.18424462765137</v>
      </c>
      <c r="CZ38" s="59">
        <f t="shared" si="42"/>
        <v>158.77848520346532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17.718668413399609</v>
      </c>
      <c r="DG38" s="21">
        <f>EXP(-LN(2)/25)*DG37+(1-EXP(-LN(2)/25))/(LN(2)/25)*Calculateur!DB38*Calculateur!DD38*VLOOKUP('Données projet'!$B$13,Paramètres!$A$1:$I$89,3,0)*0.475*44/12</f>
        <v>11.412851261951744</v>
      </c>
      <c r="DH38" s="21">
        <f>EXP(-LN(2)/2)*DH37+(1-EXP(-LN(2)/2))/(LN(2)/2)*DB38*DE38*VLOOKUP('Données projet'!$B$13,Paramètres!$A$1:$I$89,3,0)*0.475*44/12</f>
        <v>2.2890253875290307</v>
      </c>
      <c r="DI38" s="22">
        <f t="shared" si="15"/>
        <v>31.420545062880382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11.443589743589744</v>
      </c>
      <c r="N39" s="13">
        <f>IF('Données projet'!$A$36&gt;35,N38+M39-V38,IF(A39&lt;'Données projet'!$A$36,$K$205^A39,IF(A39='Données projet'!$A$36,'Données projet'!$B$36,N38+M39-V38)))</f>
        <v>215.9153846153846</v>
      </c>
      <c r="O39" s="13">
        <f>N39*VLOOKUP('Données projet'!$B$9,Paramètres!$A$1:$I$89,3,0)*VLOOKUP('Données projet'!$B$9,Paramètres!$A$1:$I$89,5,0)</f>
        <v>101.04839999999999</v>
      </c>
      <c r="P39" s="13">
        <f t="shared" si="33"/>
        <v>27.21161258263702</v>
      </c>
      <c r="Q39" s="20">
        <f t="shared" si="53"/>
        <v>223.38618858142613</v>
      </c>
      <c r="R39" s="59">
        <f t="shared" si="0"/>
        <v>516.71952191475941</v>
      </c>
      <c r="S39" s="59">
        <f ca="1">AVERAGE(OFFSET($R$3,0,0,'Données projet'!$E$9+1,1))-AVERAGE(OFFSET($H$3,0,0,'Données projet'!$E$9+1,1))</f>
        <v>181.79645720099597</v>
      </c>
      <c r="T39" s="59">
        <f t="shared" si="34"/>
        <v>120.20040029102233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18.229670328571427</v>
      </c>
      <c r="AI39" s="13">
        <f>IF('Données projet'!$A$62&gt;35,AI38+AH39-AQ38,IF(A39&lt;'Données projet'!$A$62,$AF$205^A39,IF(A39='Données projet'!$A$62,'Données projet'!$B$62,AI38+AH39-AQ38)))</f>
        <v>253.22197802857136</v>
      </c>
      <c r="AJ39" s="13">
        <f>AI39*VLOOKUP('Données projet'!$B$10,Paramètres!$A$1:$I$89,3,0)*VLOOKUP('Données projet'!$B$10,Paramètres!$A$1:$I$89,5,0)</f>
        <v>141.55108571797138</v>
      </c>
      <c r="AK39" s="13">
        <f t="shared" si="35"/>
        <v>36.652109270022002</v>
      </c>
      <c r="AL39" s="20">
        <f t="shared" si="4"/>
        <v>310.37056460408849</v>
      </c>
      <c r="AM39" s="59">
        <f t="shared" si="5"/>
        <v>603.70389793742174</v>
      </c>
      <c r="AN39" s="59">
        <f ca="1">AVERAGE(OFFSET($AM$3,0,0,'Données projet'!$E$10+1,1))-AVERAGE(OFFSET($H$3,0,0,'Données projet'!$E$10+1,1))</f>
        <v>253.62342381933348</v>
      </c>
      <c r="AO39" s="59">
        <f t="shared" si="36"/>
        <v>230.93438491775407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19.732819976117028</v>
      </c>
      <c r="AV39" s="21">
        <f>EXP(-LN(2)/25)*AV38+(1-EXP(-LN(2)/25))/(LN(2)/25)*Calculateur!AQ39*Calculateur!AS39*VLOOKUP('Données projet'!$B$10,Paramètres!$A$1:$I$89,3,0)*0.475*44/12</f>
        <v>24.289137931723065</v>
      </c>
      <c r="AW39" s="21">
        <f>EXP(-LN(2)/2)*AW38+(1-EXP(-LN(2)/2))/(LN(2)/2)*AQ39*AT39*VLOOKUP('Données projet'!$B$10,Paramètres!$A$1:$I$89,3,0)*0.475*44/12</f>
        <v>5.1864387276730968</v>
      </c>
      <c r="AX39" s="21">
        <f t="shared" si="6"/>
        <v>49.208396635513189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262.57692309999999</v>
      </c>
      <c r="BB39" s="12">
        <f>VLOOKUP(A39,'Données projet'!$A$87:$I$107,9,0)</f>
        <v>14.298901102197801</v>
      </c>
      <c r="BC39" s="12">
        <f t="array" ref="BC39">INDEX(BB:BB,MIN(IF(ISNUMBER(BB39:BB235),ROW(BB39:BB235),"")))</f>
        <v>14.298901102197801</v>
      </c>
      <c r="BD39" s="12">
        <f>IF('Données projet'!$A$88&gt;35,BD38+BC39-BL38,IF(A39&lt;'Données projet'!$A$88,$BA$205^A39,IF(A39='Données projet'!$A$88,'Données projet'!$B$88,BD38+BC39-BL38)))</f>
        <v>262.57692309999993</v>
      </c>
      <c r="BE39" s="13">
        <f>BD39*VLOOKUP('Données projet'!$B$11,Paramètres!$A$1:$I$89,3,0)*VLOOKUP('Données projet'!$B$11,Paramètres!$A$1:$I$89,5,0)</f>
        <v>157.02100001379995</v>
      </c>
      <c r="BF39" s="13">
        <f t="shared" si="37"/>
        <v>40.169860447398378</v>
      </c>
      <c r="BG39" s="20">
        <f t="shared" si="7"/>
        <v>343.4407486365871</v>
      </c>
      <c r="BH39" s="59">
        <f t="shared" si="8"/>
        <v>636.77408196992042</v>
      </c>
      <c r="BI39" s="59">
        <f ca="1">AVERAGE(OFFSET($BH$3,0,0,'Données projet'!$E$11+1,1))-AVERAGE(OFFSET($H$3,0,0,'Données projet'!$E$11+1,1))</f>
        <v>199.27781324660782</v>
      </c>
      <c r="BJ39" s="59">
        <f t="shared" si="38"/>
        <v>199.82499536488524</v>
      </c>
      <c r="BK39" s="15">
        <f>IF(ISNA(VLOOKUP(A39,'Données projet'!$A$87:$I$107,3,0)),0,VLOOKUP(A39,'Données projet'!$A$87:$I$107,3,0))</f>
        <v>4</v>
      </c>
      <c r="BL39" s="15">
        <f>IF(ISNA(VLOOKUP(A39,'Données projet'!$A$87:$I$107,4,0)),0,VLOOKUP(A39,'Données projet'!$A$87:$I$107,4,0))</f>
        <v>64.553846149999998</v>
      </c>
      <c r="BM39" s="16">
        <f>IF(ISNA(VLOOKUP(A39,'Données projet'!$A$87:$I$107,5,0)),0%,VLOOKUP(A39,'Données projet'!$A$87:$I$107,5,0)*VLOOKUP('Données projet'!$B$11,Paramètres!$A$1:$I$89,7,0))</f>
        <v>0.315</v>
      </c>
      <c r="BN39" s="16">
        <f>IF(ISNA(VLOOKUP(A39,'Données projet'!$A$87:$I$107,6,0)),0%,VLOOKUP(A39,'Données projet'!$A$87:$I$107,6,0)*VLOOKUP('Données projet'!$B$11,Paramètres!$A$1:$I$89,7,0))</f>
        <v>7.6500000000000012E-2</v>
      </c>
      <c r="BO39" s="16">
        <f>IF(ISNA(VLOOKUP(A39,'Données projet'!$A$87:$I$107,7,0)),0%,VLOOKUP(A39,'Données projet'!$A$87:$I$107,7,0))</f>
        <v>0.13</v>
      </c>
      <c r="BP39" s="21">
        <f>EXP(-LN(2)/35)*BP38+(1-EXP(-LN(2)/35))/(LN(2)/35)*BL39*BM39*VLOOKUP('Données projet'!$B$11,Paramètres!$A$1:$I$89,3,0)*0.475*44/12</f>
        <v>26.499205402902163</v>
      </c>
      <c r="BQ39" s="21">
        <f>EXP(-LN(2)/25)*BQ38+(1-EXP(-LN(2)/25))/(LN(2)/25)*Calculateur!BL39*Calculateur!BN39*VLOOKUP('Données projet'!$B$11,Paramètres!$A$1:$I$89,3,0)*0.475*44/12</f>
        <v>18.70768497514435</v>
      </c>
      <c r="BR39" s="21">
        <f>EXP(-LN(2)/2)*BR38+(1-EXP(-LN(2)/2))/(LN(2)/2)*BL39*BO39*VLOOKUP('Données projet'!$B$11,Paramètres!$A$1:$I$89,3,0)*0.475*44/12</f>
        <v>6.253905853993011</v>
      </c>
      <c r="BS39" s="22">
        <f t="shared" si="9"/>
        <v>51.46079623203952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>
        <f>VLOOKUP(A39,'Données projet'!$A$113:$I$133,2,0)</f>
        <v>262.57692307692309</v>
      </c>
      <c r="BW39" s="12">
        <f>VLOOKUP(A39,'Données projet'!$A$113:$I$133,9,0)</f>
        <v>14.298901098901101</v>
      </c>
      <c r="BX39" s="12">
        <f t="array" ref="BX39">INDEX(BW:BW,MIN(IF(ISNUMBER(BW39:BW235),ROW(BW39:BW235),"")))</f>
        <v>14.298901098901101</v>
      </c>
      <c r="BY39" s="12">
        <f>IF('Données projet'!$A$114&gt;35,BY38+BX39-CG38,IF(A39&lt;'Données projet'!$A$114,$BV$205^A39,IF(A39='Données projet'!$A$114,'Données projet'!$B$114,BY38+BX39-CG38)))</f>
        <v>262.57692307692309</v>
      </c>
      <c r="BZ39" s="13">
        <f>BY39*VLOOKUP('Données projet'!$B$12,Paramètres!$A$1:$I$89,3,0)*VLOOKUP('Données projet'!$B$12,Paramètres!$A$1:$I$89,5,0)</f>
        <v>157.02100000000002</v>
      </c>
      <c r="CA39" s="13">
        <f t="shared" si="39"/>
        <v>40.169860444278903</v>
      </c>
      <c r="CB39" s="20">
        <f t="shared" si="10"/>
        <v>343.44074860711908</v>
      </c>
      <c r="CC39" s="59">
        <f t="shared" si="11"/>
        <v>636.77408194045233</v>
      </c>
      <c r="CD39" s="59">
        <f ca="1">AVERAGE(OFFSET($CC$3,0,0,'Données projet'!$E$12+1,1))-AVERAGE(OFFSET($H$3,0,0,'Données projet'!$E$12+1,1))</f>
        <v>199.27781323742636</v>
      </c>
      <c r="CE39" s="59">
        <f t="shared" si="40"/>
        <v>199.82499536063892</v>
      </c>
      <c r="CF39" s="15">
        <f>IF(ISNA(VLOOKUP(A39,'Données projet'!$A$113:$I$133,3,0)),0,VLOOKUP(A39,'Données projet'!$A$113:$I$133,3,0))</f>
        <v>4</v>
      </c>
      <c r="CG39" s="15">
        <f>IF(ISNA(VLOOKUP(A39,'Données projet'!$A$113:$I$133,4,0)),0,VLOOKUP(A39,'Données projet'!$A$113:$I$133,4,0))</f>
        <v>64.553846153846152</v>
      </c>
      <c r="CH39" s="16">
        <f>IF(ISNA(VLOOKUP(A39,'Données projet'!$A$113:$I$133,5,0)),0%,VLOOKUP(A39,'Données projet'!$A$113:$I$133,5,0)*VLOOKUP('Données projet'!$B$12,Paramètres!$A$1:$I$89,7,0))</f>
        <v>0.315</v>
      </c>
      <c r="CI39" s="16">
        <f>IF(ISNA(VLOOKUP(A39,'Données projet'!$A$113:$I$133,6,0)),0%,VLOOKUP(A39,'Données projet'!$A$113:$I$133,6,0)*VLOOKUP('Données projet'!$B$12,Paramètres!$A$1:$I$89,7,0))</f>
        <v>7.5600000000000001E-2</v>
      </c>
      <c r="CJ39" s="16">
        <f>IF(ISNA(VLOOKUP(A39,'Données projet'!$A$113:$I$133,7,0)),0%,VLOOKUP(A39,'Données projet'!$A$113:$I$133,7,0))</f>
        <v>0.13200000000000001</v>
      </c>
      <c r="CK39" s="21">
        <f>EXP(-LN(2)/35)*CK38+(1-EXP(-LN(2)/35))/(LN(2)/35)*CG39*CH39*VLOOKUP('Données projet'!$B$12,Paramètres!$A$1:$I$89,3,0)*0.475*44/12</f>
        <v>26.499205403863257</v>
      </c>
      <c r="CL39" s="21">
        <f>EXP(-LN(2)/25)*CL38+(1-EXP(-LN(2)/25))/(LN(2)/25)*Calculateur!CG39*Calculateur!CI39*VLOOKUP('Données projet'!$B$12,Paramètres!$A$1:$I$89,3,0)*0.475*44/12</f>
        <v>18.661777774342958</v>
      </c>
      <c r="CM39" s="21">
        <f>EXP(-LN(2)/2)*CM38+(1-EXP(-LN(2)/2))/(LN(2)/2)*CG39*CJ39*VLOOKUP('Données projet'!$B$12,Paramètres!$A$1:$I$89,3,0)*0.475*44/12</f>
        <v>6.3413214339872948</v>
      </c>
      <c r="CN39" s="22">
        <f t="shared" si="12"/>
        <v>51.502304612193512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12.740384615384613</v>
      </c>
      <c r="CT39" s="12">
        <f>IF('Données projet'!$A$140&gt;35,CT38+CS39-DB38,IF(A39&lt;'Données projet'!$A$140,$CQ$205^A39,IF(A39='Données projet'!$A$140,'Données projet'!$B$140,CT38+CS39-DB38)))</f>
        <v>179.11346153846154</v>
      </c>
      <c r="CU39" s="17">
        <f>CT39*VLOOKUP('Données projet'!$B$13,Paramètres!$A$1:$I$89,3,0)*VLOOKUP('Données projet'!$B$13,Paramètres!$A$1:$I$89,5,0)</f>
        <v>107.10985000000001</v>
      </c>
      <c r="CV39" s="13">
        <f t="shared" si="41"/>
        <v>28.648991101707331</v>
      </c>
      <c r="CW39" s="20">
        <f t="shared" si="13"/>
        <v>236.44664825214025</v>
      </c>
      <c r="CX39" s="59">
        <f t="shared" si="14"/>
        <v>529.77998158547359</v>
      </c>
      <c r="CY39" s="59">
        <f ca="1">AVERAGE(OFFSET($CX$3,0,0,'Données projet'!$E$13+1,1))-AVERAGE(OFFSET($H$3,0,0,'Données projet'!$E$13+1,1))</f>
        <v>213.18424462765137</v>
      </c>
      <c r="CZ39" s="59">
        <f t="shared" si="42"/>
        <v>158.77848520346532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17.371216133133441</v>
      </c>
      <c r="DG39" s="21">
        <f>EXP(-LN(2)/25)*DG38+(1-EXP(-LN(2)/25))/(LN(2)/25)*Calculateur!DB39*Calculateur!DD39*VLOOKUP('Données projet'!$B$13,Paramètres!$A$1:$I$89,3,0)*0.475*44/12</f>
        <v>11.10076624401791</v>
      </c>
      <c r="DH39" s="21">
        <f>EXP(-LN(2)/2)*DH38+(1-EXP(-LN(2)/2))/(LN(2)/2)*DB39*DE39*VLOOKUP('Données projet'!$B$13,Paramètres!$A$1:$I$89,3,0)*0.475*44/12</f>
        <v>1.6185853738299425</v>
      </c>
      <c r="DI39" s="22">
        <f t="shared" si="15"/>
        <v>30.090567750981293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11.443589743589744</v>
      </c>
      <c r="N40" s="13">
        <f>IF('Données projet'!$A$36&gt;35,N39+M40-V39,IF(A40&lt;'Données projet'!$A$36,$K$205^A40,IF(A40='Données projet'!$A$36,'Données projet'!$B$36,N39+M40-V39)))</f>
        <v>227.35897435897434</v>
      </c>
      <c r="O40" s="13">
        <f>N40*VLOOKUP('Données projet'!$B$9,Paramètres!$A$1:$I$89,3,0)*VLOOKUP('Données projet'!$B$9,Paramètres!$A$1:$I$89,5,0)</f>
        <v>106.40399999999998</v>
      </c>
      <c r="P40" s="13">
        <f t="shared" si="33"/>
        <v>28.482106989387589</v>
      </c>
      <c r="Q40" s="20">
        <f t="shared" si="53"/>
        <v>234.92663633985001</v>
      </c>
      <c r="R40" s="59">
        <f t="shared" si="0"/>
        <v>528.25996967318338</v>
      </c>
      <c r="S40" s="59">
        <f ca="1">AVERAGE(OFFSET($R$3,0,0,'Données projet'!$E$9+1,1))-AVERAGE(OFFSET($H$3,0,0,'Données projet'!$E$9+1,1))</f>
        <v>181.79645720099597</v>
      </c>
      <c r="T40" s="59">
        <f t="shared" si="34"/>
        <v>120.20040029102233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18.229670328571427</v>
      </c>
      <c r="AI40" s="13">
        <f>IF('Données projet'!$A$62&gt;35,AI39+AH40-AQ39,IF(A40&lt;'Données projet'!$A$62,$AF$205^A40,IF(A40='Données projet'!$A$62,'Données projet'!$B$62,AI39+AH40-AQ39)))</f>
        <v>271.4516483571428</v>
      </c>
      <c r="AJ40" s="13">
        <f>AI40*VLOOKUP('Données projet'!$B$10,Paramètres!$A$1:$I$89,3,0)*VLOOKUP('Données projet'!$B$10,Paramètres!$A$1:$I$89,5,0)</f>
        <v>151.74147143164282</v>
      </c>
      <c r="AK40" s="13">
        <f t="shared" si="35"/>
        <v>38.974074992507539</v>
      </c>
      <c r="AL40" s="20">
        <f t="shared" si="4"/>
        <v>332.16291002206191</v>
      </c>
      <c r="AM40" s="59">
        <f t="shared" si="5"/>
        <v>625.49624335539522</v>
      </c>
      <c r="AN40" s="59">
        <f ca="1">AVERAGE(OFFSET($AM$3,0,0,'Données projet'!$E$10+1,1))-AVERAGE(OFFSET($H$3,0,0,'Données projet'!$E$10+1,1))</f>
        <v>253.62342381933348</v>
      </c>
      <c r="AO40" s="59">
        <f t="shared" si="36"/>
        <v>230.93438491775407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19.345871412217118</v>
      </c>
      <c r="AV40" s="21">
        <f>EXP(-LN(2)/25)*AV39+(1-EXP(-LN(2)/25))/(LN(2)/25)*Calculateur!AQ40*Calculateur!AS40*VLOOKUP('Données projet'!$B$10,Paramètres!$A$1:$I$89,3,0)*0.475*44/12</f>
        <v>23.624950177669849</v>
      </c>
      <c r="AW40" s="21">
        <f>EXP(-LN(2)/2)*AW39+(1-EXP(-LN(2)/2))/(LN(2)/2)*AQ40*AT40*VLOOKUP('Données projet'!$B$10,Paramètres!$A$1:$I$89,3,0)*0.475*44/12</f>
        <v>3.6673659945461767</v>
      </c>
      <c r="AX40" s="21">
        <f t="shared" si="6"/>
        <v>46.63818758443314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13.141346156249998</v>
      </c>
      <c r="BD40" s="12">
        <f>IF('Données projet'!$A$88&gt;35,BD39+BC40-BL39,IF(A40&lt;'Données projet'!$A$88,$BA$205^A40,IF(A40='Données projet'!$A$88,'Données projet'!$B$88,BD39+BC40-BL39)))</f>
        <v>211.16442310624993</v>
      </c>
      <c r="BE40" s="13">
        <f>BD40*VLOOKUP('Données projet'!$B$11,Paramètres!$A$1:$I$89,3,0)*VLOOKUP('Données projet'!$B$11,Paramètres!$A$1:$I$89,5,0)</f>
        <v>126.27632501753746</v>
      </c>
      <c r="BF40" s="13">
        <f t="shared" si="37"/>
        <v>33.134477455937727</v>
      </c>
      <c r="BG40" s="20">
        <f t="shared" si="7"/>
        <v>277.64048097463598</v>
      </c>
      <c r="BH40" s="59">
        <f t="shared" si="8"/>
        <v>570.97381430796929</v>
      </c>
      <c r="BI40" s="59">
        <f ca="1">AVERAGE(OFFSET($BH$3,0,0,'Données projet'!$E$11+1,1))-AVERAGE(OFFSET($H$3,0,0,'Données projet'!$E$11+1,1))</f>
        <v>199.27781324660782</v>
      </c>
      <c r="BJ40" s="59">
        <f t="shared" si="38"/>
        <v>199.82499536488524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25.979572147870591</v>
      </c>
      <c r="BQ40" s="21">
        <f>EXP(-LN(2)/25)*BQ39+(1-EXP(-LN(2)/25))/(LN(2)/25)*Calculateur!BL40*Calculateur!BN40*VLOOKUP('Données projet'!$B$11,Paramètres!$A$1:$I$89,3,0)*0.475*44/12</f>
        <v>18.19612234570463</v>
      </c>
      <c r="BR40" s="21">
        <f>EXP(-LN(2)/2)*BR39+(1-EXP(-LN(2)/2))/(LN(2)/2)*BL40*BO40*VLOOKUP('Données projet'!$B$11,Paramètres!$A$1:$I$89,3,0)*0.475*44/12</f>
        <v>4.4221792382607052</v>
      </c>
      <c r="BS40" s="22">
        <f t="shared" si="9"/>
        <v>48.597873731835925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13.14134615384615</v>
      </c>
      <c r="BY40" s="12">
        <f>IF('Données projet'!$A$114&gt;35,BY39+BX40-CG39,IF(A40&lt;'Données projet'!$A$114,$BV$205^A40,IF(A40='Données projet'!$A$114,'Données projet'!$B$114,BY39+BX40-CG39)))</f>
        <v>211.16442307692307</v>
      </c>
      <c r="BZ40" s="13">
        <f>BY40*VLOOKUP('Données projet'!$B$12,Paramètres!$A$1:$I$89,3,0)*VLOOKUP('Données projet'!$B$12,Paramètres!$A$1:$I$89,5,0)</f>
        <v>126.27632500000001</v>
      </c>
      <c r="CA40" s="13">
        <f t="shared" si="39"/>
        <v>33.134477451871625</v>
      </c>
      <c r="CB40" s="20">
        <f t="shared" si="10"/>
        <v>277.64048093700978</v>
      </c>
      <c r="CC40" s="59">
        <f t="shared" si="11"/>
        <v>570.97381427034315</v>
      </c>
      <c r="CD40" s="59">
        <f ca="1">AVERAGE(OFFSET($CC$3,0,0,'Données projet'!$E$12+1,1))-AVERAGE(OFFSET($H$3,0,0,'Données projet'!$E$12+1,1))</f>
        <v>199.27781323742636</v>
      </c>
      <c r="CE40" s="59">
        <f t="shared" si="40"/>
        <v>199.82499536063892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25.979572148812839</v>
      </c>
      <c r="CL40" s="21">
        <f>EXP(-LN(2)/25)*CL39+(1-EXP(-LN(2)/25))/(LN(2)/25)*Calculateur!CG40*Calculateur!CI40*VLOOKUP('Données projet'!$B$12,Paramètres!$A$1:$I$89,3,0)*0.475*44/12</f>
        <v>18.151470479723308</v>
      </c>
      <c r="CM40" s="21">
        <f>EXP(-LN(2)/2)*CM39+(1-EXP(-LN(2)/2))/(LN(2)/2)*CG40*CJ40*VLOOKUP('Données projet'!$B$12,Paramètres!$A$1:$I$89,3,0)*0.475*44/12</f>
        <v>4.483991387656018</v>
      </c>
      <c r="CN40" s="22">
        <f t="shared" si="12"/>
        <v>48.615034016192169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12.740384615384613</v>
      </c>
      <c r="CT40" s="12">
        <f>IF('Données projet'!$A$140&gt;35,CT39+CS40-DB39,IF(A40&lt;'Données projet'!$A$140,$CQ$205^A40,IF(A40='Données projet'!$A$140,'Données projet'!$B$140,CT39+CS40-DB39)))</f>
        <v>191.85384615384615</v>
      </c>
      <c r="CU40" s="17">
        <f>CT40*VLOOKUP('Données projet'!$B$13,Paramètres!$A$1:$I$89,3,0)*VLOOKUP('Données projet'!$B$13,Paramètres!$A$1:$I$89,5,0)</f>
        <v>114.7286</v>
      </c>
      <c r="CV40" s="13">
        <f t="shared" si="41"/>
        <v>30.442335906087649</v>
      </c>
      <c r="CW40" s="20">
        <f t="shared" si="13"/>
        <v>252.83938003643598</v>
      </c>
      <c r="CX40" s="59">
        <f t="shared" si="14"/>
        <v>546.17271336976933</v>
      </c>
      <c r="CY40" s="59">
        <f ca="1">AVERAGE(OFFSET($CX$3,0,0,'Données projet'!$E$13+1,1))-AVERAGE(OFFSET($H$3,0,0,'Données projet'!$E$13+1,1))</f>
        <v>213.18424462765137</v>
      </c>
      <c r="CZ40" s="59">
        <f t="shared" si="42"/>
        <v>158.77848520346532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17.030577180158328</v>
      </c>
      <c r="DG40" s="21">
        <f>EXP(-LN(2)/25)*DG39+(1-EXP(-LN(2)/25))/(LN(2)/25)*Calculateur!DB40*Calculateur!DD40*VLOOKUP('Données projet'!$B$13,Paramètres!$A$1:$I$89,3,0)*0.475*44/12</f>
        <v>10.797215207311314</v>
      </c>
      <c r="DH40" s="21">
        <f>EXP(-LN(2)/2)*DH39+(1-EXP(-LN(2)/2))/(LN(2)/2)*DB40*DE40*VLOOKUP('Données projet'!$B$13,Paramètres!$A$1:$I$89,3,0)*0.475*44/12</f>
        <v>1.1445126937645154</v>
      </c>
      <c r="DI40" s="22">
        <f t="shared" si="15"/>
        <v>28.972305081234158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11.443589743589744</v>
      </c>
      <c r="N41" s="13">
        <f>IF('Données projet'!$A$36&gt;35,N40+M41-V40,IF(A41&lt;'Données projet'!$A$36,$K$205^A41,IF(A41='Données projet'!$A$36,'Données projet'!$B$36,N40+M41-V40)))</f>
        <v>238.80256410256408</v>
      </c>
      <c r="O41" s="13">
        <f>N41*VLOOKUP('Données projet'!$B$9,Paramètres!$A$1:$I$89,3,0)*VLOOKUP('Données projet'!$B$9,Paramètres!$A$1:$I$89,5,0)</f>
        <v>111.75959999999998</v>
      </c>
      <c r="P41" s="13">
        <f t="shared" si="33"/>
        <v>29.745176370290782</v>
      </c>
      <c r="Q41" s="20">
        <f t="shared" si="53"/>
        <v>246.45415217825635</v>
      </c>
      <c r="R41" s="59">
        <f t="shared" si="0"/>
        <v>539.78748551158969</v>
      </c>
      <c r="S41" s="59">
        <f ca="1">AVERAGE(OFFSET($R$3,0,0,'Données projet'!$E$9+1,1))-AVERAGE(OFFSET($H$3,0,0,'Données projet'!$E$9+1,1))</f>
        <v>181.79645720099597</v>
      </c>
      <c r="T41" s="59">
        <f t="shared" si="34"/>
        <v>120.20040029102233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18.229670328571427</v>
      </c>
      <c r="AI41" s="13">
        <f>IF('Données projet'!$A$62&gt;35,AI40+AH41-AQ40,IF(A41&lt;'Données projet'!$A$62,$AF$205^A41,IF(A41='Données projet'!$A$62,'Données projet'!$B$62,AI40+AH41-AQ40)))</f>
        <v>289.68131868571425</v>
      </c>
      <c r="AJ41" s="13">
        <f>AI41*VLOOKUP('Données projet'!$B$10,Paramètres!$A$1:$I$89,3,0)*VLOOKUP('Données projet'!$B$10,Paramètres!$A$1:$I$89,5,0)</f>
        <v>161.93185714531427</v>
      </c>
      <c r="AK41" s="13">
        <f t="shared" si="35"/>
        <v>41.277946348146685</v>
      </c>
      <c r="AL41" s="20">
        <f t="shared" si="4"/>
        <v>353.92374108444454</v>
      </c>
      <c r="AM41" s="59">
        <f t="shared" si="5"/>
        <v>647.25707441777786</v>
      </c>
      <c r="AN41" s="59">
        <f ca="1">AVERAGE(OFFSET($AM$3,0,0,'Données projet'!$E$10+1,1))-AVERAGE(OFFSET($H$3,0,0,'Données projet'!$E$10+1,1))</f>
        <v>253.62342381933348</v>
      </c>
      <c r="AO41" s="59">
        <f t="shared" si="36"/>
        <v>230.93438491775407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18.966510673639966</v>
      </c>
      <c r="AV41" s="21">
        <f>EXP(-LN(2)/25)*AV40+(1-EXP(-LN(2)/25))/(LN(2)/25)*Calculateur!AQ41*Calculateur!AS41*VLOOKUP('Données projet'!$B$10,Paramètres!$A$1:$I$89,3,0)*0.475*44/12</f>
        <v>22.978924672679334</v>
      </c>
      <c r="AW41" s="21">
        <f>EXP(-LN(2)/2)*AW40+(1-EXP(-LN(2)/2))/(LN(2)/2)*AQ41*AT41*VLOOKUP('Données projet'!$B$10,Paramètres!$A$1:$I$89,3,0)*0.475*44/12</f>
        <v>2.5932193638365488</v>
      </c>
      <c r="AX41" s="21">
        <f t="shared" si="6"/>
        <v>44.538654710155846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13.141346156249998</v>
      </c>
      <c r="BD41" s="12">
        <f>IF('Données projet'!$A$88&gt;35,BD40+BC41-BL40,IF(A41&lt;'Données projet'!$A$88,$BA$205^A41,IF(A41='Données projet'!$A$88,'Données projet'!$B$88,BD40+BC41-BL40)))</f>
        <v>224.30576926249992</v>
      </c>
      <c r="BE41" s="13">
        <f>BD41*VLOOKUP('Données projet'!$B$11,Paramètres!$A$1:$I$89,3,0)*VLOOKUP('Données projet'!$B$11,Paramètres!$A$1:$I$89,5,0)</f>
        <v>134.13485001897496</v>
      </c>
      <c r="BF41" s="13">
        <f t="shared" si="37"/>
        <v>34.950053700171743</v>
      </c>
      <c r="BG41" s="20">
        <f t="shared" si="7"/>
        <v>294.48954064418047</v>
      </c>
      <c r="BH41" s="59">
        <f t="shared" si="8"/>
        <v>587.82287397751384</v>
      </c>
      <c r="BI41" s="59">
        <f ca="1">AVERAGE(OFFSET($BH$3,0,0,'Données projet'!$E$11+1,1))-AVERAGE(OFFSET($H$3,0,0,'Données projet'!$E$11+1,1))</f>
        <v>199.27781324660782</v>
      </c>
      <c r="BJ41" s="59">
        <f t="shared" si="38"/>
        <v>199.82499536488524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25.470128584025201</v>
      </c>
      <c r="BQ41" s="21">
        <f>EXP(-LN(2)/25)*BQ40+(1-EXP(-LN(2)/25))/(LN(2)/25)*Calculateur!BL41*Calculateur!BN41*VLOOKUP('Données projet'!$B$11,Paramètres!$A$1:$I$89,3,0)*0.475*44/12</f>
        <v>17.69854842326885</v>
      </c>
      <c r="BR41" s="21">
        <f>EXP(-LN(2)/2)*BR40+(1-EXP(-LN(2)/2))/(LN(2)/2)*BL41*BO41*VLOOKUP('Données projet'!$B$11,Paramètres!$A$1:$I$89,3,0)*0.475*44/12</f>
        <v>3.126952926996506</v>
      </c>
      <c r="BS41" s="22">
        <f t="shared" si="9"/>
        <v>46.29562993429056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13.14134615384615</v>
      </c>
      <c r="BY41" s="12">
        <f>IF('Données projet'!$A$114&gt;35,BY40+BX41-CG40,IF(A41&lt;'Données projet'!$A$114,$BV$205^A41,IF(A41='Données projet'!$A$114,'Données projet'!$B$114,BY40+BX41-CG40)))</f>
        <v>224.30576923076922</v>
      </c>
      <c r="BZ41" s="13">
        <f>BY41*VLOOKUP('Données projet'!$B$12,Paramètres!$A$1:$I$89,3,0)*VLOOKUP('Données projet'!$B$12,Paramètres!$A$1:$I$89,5,0)</f>
        <v>134.13485</v>
      </c>
      <c r="CA41" s="13">
        <f t="shared" si="39"/>
        <v>34.950053695803156</v>
      </c>
      <c r="CB41" s="20">
        <f t="shared" si="10"/>
        <v>294.48954060352384</v>
      </c>
      <c r="CC41" s="59">
        <f t="shared" si="11"/>
        <v>587.82287393685715</v>
      </c>
      <c r="CD41" s="59">
        <f ca="1">AVERAGE(OFFSET($CC$3,0,0,'Données projet'!$E$12+1,1))-AVERAGE(OFFSET($H$3,0,0,'Données projet'!$E$12+1,1))</f>
        <v>199.27781323742636</v>
      </c>
      <c r="CE41" s="59">
        <f t="shared" si="40"/>
        <v>199.82499536063892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25.47012858494897</v>
      </c>
      <c r="CL41" s="21">
        <f>EXP(-LN(2)/25)*CL40+(1-EXP(-LN(2)/25))/(LN(2)/25)*Calculateur!CG41*Calculateur!CI41*VLOOKUP('Données projet'!$B$12,Paramètres!$A$1:$I$89,3,0)*0.475*44/12</f>
        <v>17.655117564910928</v>
      </c>
      <c r="CM41" s="21">
        <f>EXP(-LN(2)/2)*CM40+(1-EXP(-LN(2)/2))/(LN(2)/2)*CG41*CJ41*VLOOKUP('Données projet'!$B$12,Paramètres!$A$1:$I$89,3,0)*0.475*44/12</f>
        <v>3.1706607169936478</v>
      </c>
      <c r="CN41" s="22">
        <f t="shared" si="12"/>
        <v>46.295906866853542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12.740384615384613</v>
      </c>
      <c r="CT41" s="12">
        <f>IF('Données projet'!$A$140&gt;35,CT40+CS41-DB40,IF(A41&lt;'Données projet'!$A$140,$CQ$205^A41,IF(A41='Données projet'!$A$140,'Données projet'!$B$140,CT40+CS41-DB40)))</f>
        <v>204.59423076923076</v>
      </c>
      <c r="CU41" s="17">
        <f>CT41*VLOOKUP('Données projet'!$B$13,Paramètres!$A$1:$I$89,3,0)*VLOOKUP('Données projet'!$B$13,Paramètres!$A$1:$I$89,5,0)</f>
        <v>122.34735000000001</v>
      </c>
      <c r="CV41" s="13">
        <f t="shared" si="41"/>
        <v>32.221861336884544</v>
      </c>
      <c r="CW41" s="20">
        <f t="shared" si="13"/>
        <v>269.20804307840729</v>
      </c>
      <c r="CX41" s="59">
        <f t="shared" si="14"/>
        <v>562.54137641174066</v>
      </c>
      <c r="CY41" s="59">
        <f ca="1">AVERAGE(OFFSET($CX$3,0,0,'Données projet'!$E$13+1,1))-AVERAGE(OFFSET($H$3,0,0,'Données projet'!$E$13+1,1))</f>
        <v>213.18424462765137</v>
      </c>
      <c r="CZ41" s="59">
        <f t="shared" si="42"/>
        <v>158.77848520346532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16.696617949281812</v>
      </c>
      <c r="DG41" s="21">
        <f>EXP(-LN(2)/25)*DG40+(1-EXP(-LN(2)/25))/(LN(2)/25)*Calculateur!DB41*Calculateur!DD41*VLOOKUP('Données projet'!$B$13,Paramètres!$A$1:$I$89,3,0)*0.475*44/12</f>
        <v>10.501964789666516</v>
      </c>
      <c r="DH41" s="21">
        <f>EXP(-LN(2)/2)*DH40+(1-EXP(-LN(2)/2))/(LN(2)/2)*DB41*DE41*VLOOKUP('Données projet'!$B$13,Paramètres!$A$1:$I$89,3,0)*0.475*44/12</f>
        <v>0.80929268691497125</v>
      </c>
      <c r="DI41" s="22">
        <f t="shared" si="15"/>
        <v>28.0078754258633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11.443589743589744</v>
      </c>
      <c r="N42" s="13">
        <f>IF('Données projet'!$A$36&gt;35,N41+M42-V41,IF(A42&lt;'Données projet'!$A$36,$K$205^A42,IF(A42='Données projet'!$A$36,'Données projet'!$B$36,N41+M42-V41)))</f>
        <v>250.24615384615382</v>
      </c>
      <c r="O42" s="13">
        <f>N42*VLOOKUP('Données projet'!$B$9,Paramètres!$A$1:$I$89,3,0)*VLOOKUP('Données projet'!$B$9,Paramètres!$A$1:$I$89,5,0)</f>
        <v>117.11519999999997</v>
      </c>
      <c r="P42" s="13">
        <f t="shared" si="33"/>
        <v>31.001217159106822</v>
      </c>
      <c r="Q42" s="20">
        <f t="shared" si="53"/>
        <v>257.96942655211097</v>
      </c>
      <c r="R42" s="59">
        <f t="shared" si="0"/>
        <v>551.30275988544429</v>
      </c>
      <c r="S42" s="59">
        <f ca="1">AVERAGE(OFFSET($R$3,0,0,'Données projet'!$E$9+1,1))-AVERAGE(OFFSET($H$3,0,0,'Données projet'!$E$9+1,1))</f>
        <v>181.79645720099597</v>
      </c>
      <c r="T42" s="59">
        <f t="shared" si="34"/>
        <v>120.20040029102233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18.229670328571427</v>
      </c>
      <c r="AI42" s="13">
        <f>IF('Données projet'!$A$62&gt;35,AI41+AH42-AQ41,IF(A42&lt;'Données projet'!$A$62,$AF$205^A42,IF(A42='Données projet'!$A$62,'Données projet'!$B$62,AI41+AH42-AQ41)))</f>
        <v>307.91098901428569</v>
      </c>
      <c r="AJ42" s="13">
        <f>AI42*VLOOKUP('Données projet'!$B$10,Paramètres!$A$1:$I$89,3,0)*VLOOKUP('Données projet'!$B$10,Paramètres!$A$1:$I$89,5,0)</f>
        <v>172.12224285898571</v>
      </c>
      <c r="AK42" s="13">
        <f t="shared" si="35"/>
        <v>43.564991641070833</v>
      </c>
      <c r="AL42" s="20">
        <f t="shared" si="4"/>
        <v>375.65526675426514</v>
      </c>
      <c r="AM42" s="59">
        <f t="shared" si="5"/>
        <v>668.98860008759846</v>
      </c>
      <c r="AN42" s="59">
        <f ca="1">AVERAGE(OFFSET($AM$3,0,0,'Données projet'!$E$10+1,1))-AVERAGE(OFFSET($H$3,0,0,'Données projet'!$E$10+1,1))</f>
        <v>253.62342381933348</v>
      </c>
      <c r="AO42" s="59">
        <f t="shared" si="36"/>
        <v>230.93438491775407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18.594588967759112</v>
      </c>
      <c r="AV42" s="21">
        <f>EXP(-LN(2)/25)*AV41+(1-EXP(-LN(2)/25))/(LN(2)/25)*Calculateur!AQ42*Calculateur!AS42*VLOOKUP('Données projet'!$B$10,Paramètres!$A$1:$I$89,3,0)*0.475*44/12</f>
        <v>22.350564769095786</v>
      </c>
      <c r="AW42" s="21">
        <f>EXP(-LN(2)/2)*AW41+(1-EXP(-LN(2)/2))/(LN(2)/2)*AQ42*AT42*VLOOKUP('Données projet'!$B$10,Paramètres!$A$1:$I$89,3,0)*0.475*44/12</f>
        <v>1.8336829972730886</v>
      </c>
      <c r="AX42" s="21">
        <f t="shared" si="6"/>
        <v>42.778836734127985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13.141346156249998</v>
      </c>
      <c r="BD42" s="12">
        <f>IF('Données projet'!$A$88&gt;35,BD41+BC42-BL41,IF(A42&lt;'Données projet'!$A$88,$BA$205^A42,IF(A42='Données projet'!$A$88,'Données projet'!$B$88,BD41+BC42-BL41)))</f>
        <v>237.44711541874992</v>
      </c>
      <c r="BE42" s="13">
        <f>BD42*VLOOKUP('Données projet'!$B$11,Paramètres!$A$1:$I$89,3,0)*VLOOKUP('Données projet'!$B$11,Paramètres!$A$1:$I$89,5,0)</f>
        <v>141.99337502041246</v>
      </c>
      <c r="BF42" s="13">
        <f t="shared" si="37"/>
        <v>36.753283292697269</v>
      </c>
      <c r="BG42" s="20">
        <f t="shared" si="7"/>
        <v>311.31709656199939</v>
      </c>
      <c r="BH42" s="59">
        <f t="shared" si="8"/>
        <v>604.65042989533276</v>
      </c>
      <c r="BI42" s="59">
        <f ca="1">AVERAGE(OFFSET($BH$3,0,0,'Données projet'!$E$11+1,1))-AVERAGE(OFFSET($H$3,0,0,'Données projet'!$E$11+1,1))</f>
        <v>199.27781324660782</v>
      </c>
      <c r="BJ42" s="59">
        <f t="shared" si="38"/>
        <v>199.82499536488524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24.970674897736924</v>
      </c>
      <c r="BQ42" s="21">
        <f>EXP(-LN(2)/25)*BQ41+(1-EXP(-LN(2)/25))/(LN(2)/25)*Calculateur!BL42*Calculateur!BN42*VLOOKUP('Données projet'!$B$11,Paramètres!$A$1:$I$89,3,0)*0.475*44/12</f>
        <v>17.214580685908352</v>
      </c>
      <c r="BR42" s="21">
        <f>EXP(-LN(2)/2)*BR41+(1-EXP(-LN(2)/2))/(LN(2)/2)*BL42*BO42*VLOOKUP('Données projet'!$B$11,Paramètres!$A$1:$I$89,3,0)*0.475*44/12</f>
        <v>2.2110896191303526</v>
      </c>
      <c r="BS42" s="22">
        <f t="shared" si="9"/>
        <v>44.396345202775628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13.14134615384615</v>
      </c>
      <c r="BY42" s="12">
        <f>IF('Données projet'!$A$114&gt;35,BY41+BX42-CG41,IF(A42&lt;'Données projet'!$A$114,$BV$205^A42,IF(A42='Données projet'!$A$114,'Données projet'!$B$114,BY41+BX42-CG41)))</f>
        <v>237.44711538461536</v>
      </c>
      <c r="BZ42" s="13">
        <f>BY42*VLOOKUP('Données projet'!$B$12,Paramètres!$A$1:$I$89,3,0)*VLOOKUP('Données projet'!$B$12,Paramètres!$A$1:$I$89,5,0)</f>
        <v>141.99337499999999</v>
      </c>
      <c r="CA42" s="13">
        <f t="shared" si="39"/>
        <v>36.753283288028733</v>
      </c>
      <c r="CB42" s="20">
        <f t="shared" si="10"/>
        <v>311.31709651831665</v>
      </c>
      <c r="CC42" s="59">
        <f t="shared" si="11"/>
        <v>604.65042985164996</v>
      </c>
      <c r="CD42" s="59">
        <f ca="1">AVERAGE(OFFSET($CC$3,0,0,'Données projet'!$E$12+1,1))-AVERAGE(OFFSET($H$3,0,0,'Données projet'!$E$12+1,1))</f>
        <v>199.27781323742636</v>
      </c>
      <c r="CE42" s="59">
        <f t="shared" si="40"/>
        <v>199.82499536063892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24.970674898642578</v>
      </c>
      <c r="CL42" s="21">
        <f>EXP(-LN(2)/25)*CL41+(1-EXP(-LN(2)/25))/(LN(2)/25)*Calculateur!CG42*Calculateur!CI42*VLOOKUP('Données projet'!$B$12,Paramètres!$A$1:$I$89,3,0)*0.475*44/12</f>
        <v>17.172337446656158</v>
      </c>
      <c r="CM42" s="21">
        <f>EXP(-LN(2)/2)*CM41+(1-EXP(-LN(2)/2))/(LN(2)/2)*CG42*CJ42*VLOOKUP('Données projet'!$B$12,Paramètres!$A$1:$I$89,3,0)*0.475*44/12</f>
        <v>2.2419956938280095</v>
      </c>
      <c r="CN42" s="22">
        <f t="shared" si="12"/>
        <v>44.385008039126745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12.740384615384613</v>
      </c>
      <c r="CT42" s="12">
        <f>IF('Données projet'!$A$140&gt;35,CT41+CS42-DB41,IF(A42&lt;'Données projet'!$A$140,$CQ$205^A42,IF(A42='Données projet'!$A$140,'Données projet'!$B$140,CT41+CS42-DB41)))</f>
        <v>217.33461538461538</v>
      </c>
      <c r="CU42" s="17">
        <f>CT42*VLOOKUP('Données projet'!$B$13,Paramètres!$A$1:$I$89,3,0)*VLOOKUP('Données projet'!$B$13,Paramètres!$A$1:$I$89,5,0)</f>
        <v>129.96610000000001</v>
      </c>
      <c r="CV42" s="13">
        <f t="shared" si="41"/>
        <v>33.988525918782614</v>
      </c>
      <c r="CW42" s="20">
        <f t="shared" si="13"/>
        <v>285.55430680854636</v>
      </c>
      <c r="CX42" s="59">
        <f t="shared" si="14"/>
        <v>578.88764014187973</v>
      </c>
      <c r="CY42" s="59">
        <f ca="1">AVERAGE(OFFSET($CX$3,0,0,'Données projet'!$E$13+1,1))-AVERAGE(OFFSET($H$3,0,0,'Données projet'!$E$13+1,1))</f>
        <v>213.18424462765137</v>
      </c>
      <c r="CZ42" s="59">
        <f t="shared" si="42"/>
        <v>158.77848520346532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16.369207455227766</v>
      </c>
      <c r="DG42" s="21">
        <f>EXP(-LN(2)/25)*DG41+(1-EXP(-LN(2)/25))/(LN(2)/25)*Calculateur!DB42*Calculateur!DD42*VLOOKUP('Données projet'!$B$13,Paramètres!$A$1:$I$89,3,0)*0.475*44/12</f>
        <v>10.21478801021876</v>
      </c>
      <c r="DH42" s="21">
        <f>EXP(-LN(2)/2)*DH41+(1-EXP(-LN(2)/2))/(LN(2)/2)*DB42*DE42*VLOOKUP('Données projet'!$B$13,Paramètres!$A$1:$I$89,3,0)*0.475*44/12</f>
        <v>0.57225634688225768</v>
      </c>
      <c r="DI42" s="22">
        <f t="shared" si="15"/>
        <v>27.156251812328787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11.443589743589744</v>
      </c>
      <c r="N43" s="13">
        <f>IF('Données projet'!$A$36&gt;35,N42+M43-V42,IF(A43&lt;'Données projet'!$A$36,$K$205^A43,IF(A43='Données projet'!$A$36,'Données projet'!$B$36,N42+M43-V42)))</f>
        <v>261.68974358974356</v>
      </c>
      <c r="O43" s="13">
        <f>N43*VLOOKUP('Données projet'!$B$9,Paramètres!$A$1:$I$89,3,0)*VLOOKUP('Données projet'!$B$9,Paramètres!$A$1:$I$89,5,0)</f>
        <v>122.47079999999997</v>
      </c>
      <c r="P43" s="13">
        <f t="shared" si="33"/>
        <v>32.25058748290914</v>
      </c>
      <c r="Q43" s="20">
        <f t="shared" si="53"/>
        <v>269.47308319939998</v>
      </c>
      <c r="R43" s="59">
        <f t="shared" si="0"/>
        <v>562.80641653273324</v>
      </c>
      <c r="S43" s="59">
        <f ca="1">AVERAGE(OFFSET($R$3,0,0,'Données projet'!$E$9+1,1))-AVERAGE(OFFSET($H$3,0,0,'Données projet'!$E$9+1,1))</f>
        <v>181.79645720099597</v>
      </c>
      <c r="T43" s="59">
        <f t="shared" si="34"/>
        <v>120.20040029102233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18.229670328571427</v>
      </c>
      <c r="AI43" s="13">
        <f>IF('Données projet'!$A$62&gt;35,AI42+AH43-AQ42,IF(A43&lt;'Données projet'!$A$62,$AF$205^A43,IF(A43='Données projet'!$A$62,'Données projet'!$B$62,AI42+AH43-AQ42)))</f>
        <v>326.14065934285713</v>
      </c>
      <c r="AJ43" s="13">
        <f>AI43*VLOOKUP('Données projet'!$B$10,Paramètres!$A$1:$I$89,3,0)*VLOOKUP('Données projet'!$B$10,Paramètres!$A$1:$I$89,5,0)</f>
        <v>182.31262857265716</v>
      </c>
      <c r="AK43" s="13">
        <f t="shared" si="35"/>
        <v>45.836320513148372</v>
      </c>
      <c r="AL43" s="20">
        <f t="shared" si="4"/>
        <v>397.35941965777789</v>
      </c>
      <c r="AM43" s="59">
        <f t="shared" si="5"/>
        <v>690.69275299111121</v>
      </c>
      <c r="AN43" s="59">
        <f ca="1">AVERAGE(OFFSET($AM$3,0,0,'Données projet'!$E$10+1,1))-AVERAGE(OFFSET($H$3,0,0,'Données projet'!$E$10+1,1))</f>
        <v>253.62342381933348</v>
      </c>
      <c r="AO43" s="59">
        <f t="shared" si="36"/>
        <v>230.93438491775407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18.229960419680737</v>
      </c>
      <c r="AV43" s="21">
        <f>EXP(-LN(2)/25)*AV42+(1-EXP(-LN(2)/25))/(LN(2)/25)*Calculateur!AQ43*Calculateur!AS43*VLOOKUP('Données projet'!$B$10,Paramètres!$A$1:$I$89,3,0)*0.475*44/12</f>
        <v>21.739387400119742</v>
      </c>
      <c r="AW43" s="21">
        <f>EXP(-LN(2)/2)*AW42+(1-EXP(-LN(2)/2))/(LN(2)/2)*AQ43*AT43*VLOOKUP('Données projet'!$B$10,Paramètres!$A$1:$I$89,3,0)*0.475*44/12</f>
        <v>1.2966096819182746</v>
      </c>
      <c r="AX43" s="21">
        <f t="shared" si="6"/>
        <v>41.265957501718752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13.141346156249998</v>
      </c>
      <c r="BD43" s="12">
        <f>IF('Données projet'!$A$88&gt;35,BD42+BC43-BL42,IF(A43&lt;'Données projet'!$A$88,$BA$205^A43,IF(A43='Données projet'!$A$88,'Données projet'!$B$88,BD42+BC43-BL42)))</f>
        <v>250.58846157499991</v>
      </c>
      <c r="BE43" s="13">
        <f>BD43*VLOOKUP('Données projet'!$B$11,Paramètres!$A$1:$I$89,3,0)*VLOOKUP('Données projet'!$B$11,Paramètres!$A$1:$I$89,5,0)</f>
        <v>149.85190002184996</v>
      </c>
      <c r="BF43" s="13">
        <f t="shared" si="37"/>
        <v>38.54492743468937</v>
      </c>
      <c r="BG43" s="20">
        <f t="shared" si="7"/>
        <v>328.12447448680598</v>
      </c>
      <c r="BH43" s="59">
        <f t="shared" si="8"/>
        <v>621.45780782013935</v>
      </c>
      <c r="BI43" s="59">
        <f ca="1">AVERAGE(OFFSET($BH$3,0,0,'Données projet'!$E$11+1,1))-AVERAGE(OFFSET($H$3,0,0,'Données projet'!$E$11+1,1))</f>
        <v>199.27781324660782</v>
      </c>
      <c r="BJ43" s="59">
        <f t="shared" si="38"/>
        <v>199.82499536488524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24.481015193600093</v>
      </c>
      <c r="BQ43" s="21">
        <f>EXP(-LN(2)/25)*BQ42+(1-EXP(-LN(2)/25))/(LN(2)/25)*Calculateur!BL43*Calculateur!BN43*VLOOKUP('Données projet'!$B$11,Paramètres!$A$1:$I$89,3,0)*0.475*44/12</f>
        <v>16.743847071776734</v>
      </c>
      <c r="BR43" s="21">
        <f>EXP(-LN(2)/2)*BR42+(1-EXP(-LN(2)/2))/(LN(2)/2)*BL43*BO43*VLOOKUP('Données projet'!$B$11,Paramètres!$A$1:$I$89,3,0)*0.475*44/12</f>
        <v>1.563476463498253</v>
      </c>
      <c r="BS43" s="22">
        <f t="shared" si="9"/>
        <v>42.788338728875082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13.14134615384615</v>
      </c>
      <c r="BY43" s="12">
        <f>IF('Données projet'!$A$114&gt;35,BY42+BX43-CG42,IF(A43&lt;'Données projet'!$A$114,$BV$205^A43,IF(A43='Données projet'!$A$114,'Données projet'!$B$114,BY42+BX43-CG42)))</f>
        <v>250.5884615384615</v>
      </c>
      <c r="BZ43" s="13">
        <f>BY43*VLOOKUP('Données projet'!$B$12,Paramètres!$A$1:$I$89,3,0)*VLOOKUP('Données projet'!$B$12,Paramètres!$A$1:$I$89,5,0)</f>
        <v>149.8519</v>
      </c>
      <c r="CA43" s="13">
        <f t="shared" si="39"/>
        <v>38.544927429723309</v>
      </c>
      <c r="CB43" s="20">
        <f t="shared" si="10"/>
        <v>328.12447444010144</v>
      </c>
      <c r="CC43" s="59">
        <f t="shared" si="11"/>
        <v>621.45780777343475</v>
      </c>
      <c r="CD43" s="59">
        <f ca="1">AVERAGE(OFFSET($CC$3,0,0,'Données projet'!$E$12+1,1))-AVERAGE(OFFSET($H$3,0,0,'Données projet'!$E$12+1,1))</f>
        <v>199.27781323742636</v>
      </c>
      <c r="CE43" s="59">
        <f t="shared" si="40"/>
        <v>199.82499536063892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24.481015194487988</v>
      </c>
      <c r="CL43" s="21">
        <f>EXP(-LN(2)/25)*CL42+(1-EXP(-LN(2)/25))/(LN(2)/25)*Calculateur!CG43*Calculateur!CI43*VLOOKUP('Données projet'!$B$12,Paramètres!$A$1:$I$89,3,0)*0.475*44/12</f>
        <v>16.702758976123366</v>
      </c>
      <c r="CM43" s="21">
        <f>EXP(-LN(2)/2)*CM42+(1-EXP(-LN(2)/2))/(LN(2)/2)*CG43*CJ43*VLOOKUP('Données projet'!$B$12,Paramètres!$A$1:$I$89,3,0)*0.475*44/12</f>
        <v>1.5853303584968241</v>
      </c>
      <c r="CN43" s="22">
        <f t="shared" si="12"/>
        <v>42.769104529108183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12.740384615384613</v>
      </c>
      <c r="CT43" s="12">
        <f>IF('Données projet'!$A$140&gt;35,CT42+CS43-DB42,IF(A43&lt;'Données projet'!$A$140,$CQ$205^A43,IF(A43='Données projet'!$A$140,'Données projet'!$B$140,CT42+CS43-DB42)))</f>
        <v>230.07499999999999</v>
      </c>
      <c r="CU43" s="17">
        <f>CT43*VLOOKUP('Données projet'!$B$13,Paramètres!$A$1:$I$89,3,0)*VLOOKUP('Données projet'!$B$13,Paramètres!$A$1:$I$89,5,0)</f>
        <v>137.58485000000002</v>
      </c>
      <c r="CV43" s="13">
        <f t="shared" si="41"/>
        <v>35.743169448737028</v>
      </c>
      <c r="CW43" s="20">
        <f t="shared" si="13"/>
        <v>301.87963387321702</v>
      </c>
      <c r="CX43" s="59">
        <f t="shared" si="14"/>
        <v>595.21296720655027</v>
      </c>
      <c r="CY43" s="59">
        <f ca="1">AVERAGE(OFFSET($CX$3,0,0,'Données projet'!$E$13+1,1))-AVERAGE(OFFSET($H$3,0,0,'Données projet'!$E$13+1,1))</f>
        <v>213.18424462765137</v>
      </c>
      <c r="CZ43" s="59">
        <f t="shared" si="42"/>
        <v>158.77848520346532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16.048217281261437</v>
      </c>
      <c r="DG43" s="21">
        <f>EXP(-LN(2)/25)*DG42+(1-EXP(-LN(2)/25))/(LN(2)/25)*Calculateur!DB43*Calculateur!DD43*VLOOKUP('Données projet'!$B$13,Paramètres!$A$1:$I$89,3,0)*0.475*44/12</f>
        <v>9.9354640949069726</v>
      </c>
      <c r="DH43" s="21">
        <f>EXP(-LN(2)/2)*DH42+(1-EXP(-LN(2)/2))/(LN(2)/2)*DB43*DE43*VLOOKUP('Données projet'!$B$13,Paramètres!$A$1:$I$89,3,0)*0.475*44/12</f>
        <v>0.40464634345748562</v>
      </c>
      <c r="DI43" s="22">
        <f t="shared" si="15"/>
        <v>26.388327719625895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11.443589743589744</v>
      </c>
      <c r="N44" s="13">
        <f>IF('Données projet'!$A$36&gt;35,N43+M44-V43,IF(A44&lt;'Données projet'!$A$36,$K$205^A44,IF(A44='Données projet'!$A$36,'Données projet'!$B$36,N43+M44-V43)))</f>
        <v>273.13333333333333</v>
      </c>
      <c r="O44" s="13">
        <f>N44*VLOOKUP('Données projet'!$B$9,Paramètres!$A$1:$I$89,3,0)*VLOOKUP('Données projet'!$B$9,Paramètres!$A$1:$I$89,5,0)</f>
        <v>127.82639999999999</v>
      </c>
      <c r="P44" s="13">
        <f t="shared" si="33"/>
        <v>33.493612376128482</v>
      </c>
      <c r="Q44" s="20">
        <f t="shared" si="53"/>
        <v>280.96568822175709</v>
      </c>
      <c r="R44" s="59">
        <f t="shared" si="0"/>
        <v>574.29902155509035</v>
      </c>
      <c r="S44" s="59">
        <f ca="1">AVERAGE(OFFSET($R$3,0,0,'Données projet'!$E$9+1,1))-AVERAGE(OFFSET($H$3,0,0,'Données projet'!$E$9+1,1))</f>
        <v>181.79645720099597</v>
      </c>
      <c r="T44" s="59">
        <f t="shared" si="34"/>
        <v>120.20040029102233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18.229670328571427</v>
      </c>
      <c r="AI44" s="13">
        <f>IF('Données projet'!$A$62&gt;35,AI43+AH44-AQ43,IF(A44&lt;'Données projet'!$A$62,$AF$205^A44,IF(A44='Données projet'!$A$62,'Données projet'!$B$62,AI43+AH44-AQ43)))</f>
        <v>344.37032967142858</v>
      </c>
      <c r="AJ44" s="13">
        <f>AI44*VLOOKUP('Données projet'!$B$10,Paramètres!$A$1:$I$89,3,0)*VLOOKUP('Données projet'!$B$10,Paramètres!$A$1:$I$89,5,0)</f>
        <v>192.50301428632858</v>
      </c>
      <c r="AK44" s="13">
        <f t="shared" si="35"/>
        <v>48.092911552998252</v>
      </c>
      <c r="AL44" s="20">
        <f t="shared" si="4"/>
        <v>419.03790417016086</v>
      </c>
      <c r="AM44" s="59">
        <f t="shared" si="5"/>
        <v>712.37123750349417</v>
      </c>
      <c r="AN44" s="59">
        <f ca="1">AVERAGE(OFFSET($AM$3,0,0,'Données projet'!$E$10+1,1))-AVERAGE(OFFSET($H$3,0,0,'Données projet'!$E$10+1,1))</f>
        <v>253.62342381933348</v>
      </c>
      <c r="AO44" s="59">
        <f t="shared" si="36"/>
        <v>230.93438491775407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17.872482015028726</v>
      </c>
      <c r="AV44" s="21">
        <f>EXP(-LN(2)/25)*AV43+(1-EXP(-LN(2)/25))/(LN(2)/25)*Calculateur!AQ44*Calculateur!AS44*VLOOKUP('Données projet'!$B$10,Paramètres!$A$1:$I$89,3,0)*0.475*44/12</f>
        <v>21.14492270843877</v>
      </c>
      <c r="AW44" s="21">
        <f>EXP(-LN(2)/2)*AW43+(1-EXP(-LN(2)/2))/(LN(2)/2)*AQ44*AT44*VLOOKUP('Données projet'!$B$10,Paramètres!$A$1:$I$89,3,0)*0.475*44/12</f>
        <v>0.91684149863654452</v>
      </c>
      <c r="AX44" s="21">
        <f t="shared" si="6"/>
        <v>39.934246222104036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13.141346156249998</v>
      </c>
      <c r="BD44" s="12">
        <f>IF('Données projet'!$A$88&gt;35,BD43+BC44-BL43,IF(A44&lt;'Données projet'!$A$88,$BA$205^A44,IF(A44='Données projet'!$A$88,'Données projet'!$B$88,BD43+BC44-BL43)))</f>
        <v>263.72980773124993</v>
      </c>
      <c r="BE44" s="13">
        <f>BD44*VLOOKUP('Données projet'!$B$11,Paramètres!$A$1:$I$89,3,0)*VLOOKUP('Données projet'!$B$11,Paramètres!$A$1:$I$89,5,0)</f>
        <v>157.71042502328748</v>
      </c>
      <c r="BF44" s="13">
        <f t="shared" si="37"/>
        <v>40.325662980335863</v>
      </c>
      <c r="BG44" s="20">
        <f t="shared" si="7"/>
        <v>344.91285327297737</v>
      </c>
      <c r="BH44" s="59">
        <f t="shared" si="8"/>
        <v>638.24618660631063</v>
      </c>
      <c r="BI44" s="59">
        <f ca="1">AVERAGE(OFFSET($BH$3,0,0,'Données projet'!$E$11+1,1))-AVERAGE(OFFSET($H$3,0,0,'Données projet'!$E$11+1,1))</f>
        <v>199.27781324660782</v>
      </c>
      <c r="BJ44" s="59">
        <f t="shared" si="38"/>
        <v>199.82499536488524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24.000957417598457</v>
      </c>
      <c r="BQ44" s="21">
        <f>EXP(-LN(2)/25)*BQ43+(1-EXP(-LN(2)/25))/(LN(2)/25)*Calculateur!BL44*Calculateur!BN44*VLOOKUP('Données projet'!$B$11,Paramètres!$A$1:$I$89,3,0)*0.475*44/12</f>
        <v>16.285985693078352</v>
      </c>
      <c r="BR44" s="21">
        <f>EXP(-LN(2)/2)*BR43+(1-EXP(-LN(2)/2))/(LN(2)/2)*BL44*BO44*VLOOKUP('Données projet'!$B$11,Paramètres!$A$1:$I$89,3,0)*0.475*44/12</f>
        <v>1.1055448095651763</v>
      </c>
      <c r="BS44" s="22">
        <f t="shared" si="9"/>
        <v>41.392487920241983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13.14134615384615</v>
      </c>
      <c r="BY44" s="12">
        <f>IF('Données projet'!$A$114&gt;35,BY43+BX44-CG43,IF(A44&lt;'Données projet'!$A$114,$BV$205^A44,IF(A44='Données projet'!$A$114,'Données projet'!$B$114,BY43+BX44-CG43)))</f>
        <v>263.72980769230765</v>
      </c>
      <c r="BZ44" s="13">
        <f>BY44*VLOOKUP('Données projet'!$B$12,Paramètres!$A$1:$I$89,3,0)*VLOOKUP('Données projet'!$B$12,Paramètres!$A$1:$I$89,5,0)</f>
        <v>157.71042499999999</v>
      </c>
      <c r="CA44" s="13">
        <f t="shared" si="39"/>
        <v>40.325662975074472</v>
      </c>
      <c r="CB44" s="20">
        <f t="shared" si="10"/>
        <v>344.91285322325461</v>
      </c>
      <c r="CC44" s="59">
        <f t="shared" si="11"/>
        <v>638.24618655658787</v>
      </c>
      <c r="CD44" s="59">
        <f ca="1">AVERAGE(OFFSET($CC$3,0,0,'Données projet'!$E$12+1,1))-AVERAGE(OFFSET($H$3,0,0,'Données projet'!$E$12+1,1))</f>
        <v>199.27781323742636</v>
      </c>
      <c r="CE44" s="59">
        <f t="shared" si="40"/>
        <v>199.82499536063892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24.000957418468939</v>
      </c>
      <c r="CL44" s="21">
        <f>EXP(-LN(2)/25)*CL43+(1-EXP(-LN(2)/25))/(LN(2)/25)*Calculateur!CG44*Calculateur!CI44*VLOOKUP('Données projet'!$B$12,Paramètres!$A$1:$I$89,3,0)*0.475*44/12</f>
        <v>16.246021153561355</v>
      </c>
      <c r="CM44" s="21">
        <f>EXP(-LN(2)/2)*CM43+(1-EXP(-LN(2)/2))/(LN(2)/2)*CG44*CJ44*VLOOKUP('Données projet'!$B$12,Paramètres!$A$1:$I$89,3,0)*0.475*44/12</f>
        <v>1.1209978469140049</v>
      </c>
      <c r="CN44" s="22">
        <f t="shared" si="12"/>
        <v>41.367976418944302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242.81538461538457</v>
      </c>
      <c r="CR44" s="12">
        <f>VLOOKUP(A44,'Données projet'!$A$139:$I$159,9,0)</f>
        <v>12.740384615384613</v>
      </c>
      <c r="CS44" s="12">
        <f t="array" ref="CS44">INDEX(CR:CR,MIN(IF(ISNUMBER(CR44:CR240),ROW(CR44:CR240),"")))</f>
        <v>12.740384615384613</v>
      </c>
      <c r="CT44" s="12">
        <f>IF('Données projet'!$A$140&gt;35,CT43+CS44-DB43,IF(A44&lt;'Données projet'!$A$140,$CQ$205^A44,IF(A44='Données projet'!$A$140,'Données projet'!$B$140,CT43+CS44-DB43)))</f>
        <v>242.8153846153846</v>
      </c>
      <c r="CU44" s="17">
        <f>CT44*VLOOKUP('Données projet'!$B$13,Paramètres!$A$1:$I$89,3,0)*VLOOKUP('Données projet'!$B$13,Paramètres!$A$1:$I$89,5,0)</f>
        <v>145.20359999999999</v>
      </c>
      <c r="CV44" s="13">
        <f t="shared" si="41"/>
        <v>37.4865334633907</v>
      </c>
      <c r="CW44" s="20">
        <f t="shared" si="13"/>
        <v>318.18531578207211</v>
      </c>
      <c r="CX44" s="59">
        <f t="shared" si="14"/>
        <v>611.51864911540542</v>
      </c>
      <c r="CY44" s="59">
        <f ca="1">AVERAGE(OFFSET($CX$3,0,0,'Données projet'!$E$13+1,1))-AVERAGE(OFFSET($H$3,0,0,'Données projet'!$E$13+1,1))</f>
        <v>213.18424462765137</v>
      </c>
      <c r="CZ44" s="59">
        <f t="shared" si="42"/>
        <v>158.77848520346532</v>
      </c>
      <c r="DA44" s="15">
        <f>IF(ISNA(VLOOKUP(A44,'Données projet'!$A$139:$I$159,3,0)),0,VLOOKUP(A44,'Données projet'!$A$139:$I$159,3,0))</f>
        <v>4</v>
      </c>
      <c r="DB44" s="15">
        <f>IF(ISNA(VLOOKUP(A44,'Données projet'!$A$139:$I$159,4,0)),0,VLOOKUP(A44,'Données projet'!$A$139:$I$159,4,0))</f>
        <v>58.484615384615381</v>
      </c>
      <c r="DC44" s="16">
        <f>IF(ISNA(VLOOKUP(A44,'Données projet'!$A$139:$I$159,5,0)),0%,VLOOKUP(A44,'Données projet'!$A$139:$I$159,5,0)*VLOOKUP('Données projet'!$B$13,Paramètres!$A$1:$I$89,7,0))</f>
        <v>0.315</v>
      </c>
      <c r="DD44" s="16">
        <f>IF(ISNA(VLOOKUP(A44,'Données projet'!$A$139:$I$159,6,0)),0%,VLOOKUP(A44,'Données projet'!$A$139:$I$159,6,0)*VLOOKUP('Données projet'!$B$13,Paramètres!$A$1:$I$89,7,0))</f>
        <v>7.5600000000000001E-2</v>
      </c>
      <c r="DE44" s="16">
        <f>IF(ISNA(VLOOKUP(A44,'Données projet'!$A$139:$I$159,7,0)),0%,VLOOKUP(A44,'Données projet'!$A$139:$I$159,7,0))</f>
        <v>0.13200000000000001</v>
      </c>
      <c r="DF44" s="21">
        <f>EXP(-LN(2)/35)*DF43+(1-EXP(-LN(2)/35))/(LN(2)/35)*DB44*DC44*VLOOKUP('Données projet'!$B$13,Paramètres!$A$1:$I$89,3,0)*0.475*44/12</f>
        <v>30.347946513592099</v>
      </c>
      <c r="DG44" s="21">
        <f>EXP(-LN(2)/25)*DG43+(1-EXP(-LN(2)/25))/(LN(2)/25)*Calculateur!DB44*Calculateur!DD44*VLOOKUP('Données projet'!$B$13,Paramètres!$A$1:$I$89,3,0)*0.475*44/12</f>
        <v>13.157430088765832</v>
      </c>
      <c r="DH44" s="21">
        <f>EXP(-LN(2)/2)*DH43+(1-EXP(-LN(2)/2))/(LN(2)/2)*DB44*DE44*VLOOKUP('Données projet'!$B$13,Paramètres!$A$1:$I$89,3,0)*0.475*44/12</f>
        <v>5.5131256758356351</v>
      </c>
      <c r="DI44" s="22">
        <f t="shared" si="15"/>
        <v>49.018502278193566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11.443589743589744</v>
      </c>
      <c r="N45" s="13">
        <f>IF('Données projet'!$A$36&gt;35,N44+M45-V44,IF(A45&lt;'Données projet'!$A$36,$K$205^A45,IF(A45='Données projet'!$A$36,'Données projet'!$B$36,N44+M45-V44)))</f>
        <v>284.57692307692309</v>
      </c>
      <c r="O45" s="13">
        <f>N45*VLOOKUP('Données projet'!$B$9,Paramètres!$A$1:$I$89,3,0)*VLOOKUP('Données projet'!$B$9,Paramètres!$A$1:$I$89,5,0)</f>
        <v>133.18200000000002</v>
      </c>
      <c r="P45" s="13">
        <f t="shared" si="33"/>
        <v>34.730588096149795</v>
      </c>
      <c r="Q45" s="20">
        <f t="shared" si="53"/>
        <v>292.44775760079426</v>
      </c>
      <c r="R45" s="59">
        <f t="shared" si="0"/>
        <v>585.78109093412763</v>
      </c>
      <c r="S45" s="59">
        <f ca="1">AVERAGE(OFFSET($R$3,0,0,'Données projet'!$E$9+1,1))-AVERAGE(OFFSET($H$3,0,0,'Données projet'!$E$9+1,1))</f>
        <v>181.79645720099597</v>
      </c>
      <c r="T45" s="59">
        <f t="shared" si="34"/>
        <v>120.20040029102233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362.6</v>
      </c>
      <c r="AG45" s="12">
        <f>VLOOKUP(A45,'Données projet'!$A$61:$I$81,9,0)</f>
        <v>18.229670328571427</v>
      </c>
      <c r="AH45" s="12">
        <f t="array" ref="AH45">INDEX(AG:AG,MIN(IF(ISNUMBER(AG45:AG241),ROW(AG45:AG241),"")))</f>
        <v>18.229670328571427</v>
      </c>
      <c r="AI45" s="13">
        <f>IF('Données projet'!$A$62&gt;35,AI44+AH45-AQ44,IF(A45&lt;'Données projet'!$A$62,$AF$205^A45,IF(A45='Données projet'!$A$62,'Données projet'!$B$62,AI44+AH45-AQ44)))</f>
        <v>362.6</v>
      </c>
      <c r="AJ45" s="13">
        <f>AI45*VLOOKUP('Données projet'!$B$10,Paramètres!$A$1:$I$89,3,0)*VLOOKUP('Données projet'!$B$10,Paramètres!$A$1:$I$89,5,0)</f>
        <v>202.69340000000003</v>
      </c>
      <c r="AK45" s="13">
        <f t="shared" si="35"/>
        <v>50.335633892078647</v>
      </c>
      <c r="AL45" s="20">
        <f t="shared" si="4"/>
        <v>440.69223402870369</v>
      </c>
      <c r="AM45" s="59">
        <f t="shared" si="5"/>
        <v>734.02556736203701</v>
      </c>
      <c r="AN45" s="59">
        <f ca="1">AVERAGE(OFFSET($AM$3,0,0,'Données projet'!$E$10+1,1))-AVERAGE(OFFSET($H$3,0,0,'Données projet'!$E$10+1,1))</f>
        <v>253.62342381933348</v>
      </c>
      <c r="AO45" s="59">
        <f t="shared" si="36"/>
        <v>230.93438491775407</v>
      </c>
      <c r="AP45" s="15">
        <f>IF(ISNA(VLOOKUP(A45,'Données projet'!$A$61:$I$81,3,0)),0,VLOOKUP(A45,'Données projet'!$A$61:$I$81,3,0))</f>
        <v>4</v>
      </c>
      <c r="AQ45" s="15">
        <f>IF(ISNA(VLOOKUP(A45,'Données projet'!$A$61:$I$81,4,0)),0,VLOOKUP(A45,'Données projet'!$A$61:$I$81,4,0))</f>
        <v>80.669230769999999</v>
      </c>
      <c r="AR45" s="16">
        <f>IF(ISNA(VLOOKUP(A45,'Données projet'!$A$61:$I$81,5,0)),0%,VLOOKUP(A45,'Données projet'!$A$61:$I$81,5,0)*VLOOKUP('Données projet'!$B$10,Paramètres!$A$1:$I$89,7,0))</f>
        <v>0.38500000000000001</v>
      </c>
      <c r="AS45" s="16">
        <f>IF(ISNA(VLOOKUP(A45,'Données projet'!$A$61:$I$81,6,0)),0%,VLOOKUP(A45,'Données projet'!$A$61:$I$81,6,0)*VLOOKUP('Données projet'!$B$10,Paramètres!$A$1:$I$89,7,0))</f>
        <v>9.240000000000001E-2</v>
      </c>
      <c r="AT45" s="16">
        <f>IF(ISNA(VLOOKUP(A45,'Données projet'!$A$61:$I$81,7,0)),0%,VLOOKUP(A45,'Données projet'!$A$61:$I$81,7,0))</f>
        <v>0.13200000000000001</v>
      </c>
      <c r="AU45" s="21">
        <f>EXP(-LN(2)/35)*AU44+(1-EXP(-LN(2)/35))/(LN(2)/35)*AQ45*AR45*VLOOKUP('Données projet'!$B$10,Paramètres!$A$1:$I$89,3,0)*0.475*44/12</f>
        <v>40.552802174935181</v>
      </c>
      <c r="AV45" s="21">
        <f>EXP(-LN(2)/25)*AV44+(1-EXP(-LN(2)/25))/(LN(2)/25)*Calculateur!AQ45*Calculateur!AS45*VLOOKUP('Données projet'!$B$10,Paramètres!$A$1:$I$89,3,0)*0.475*44/12</f>
        <v>26.072339518811237</v>
      </c>
      <c r="AW45" s="21">
        <f>EXP(-LN(2)/2)*AW44+(1-EXP(-LN(2)/2))/(LN(2)/2)*AQ45*AT45*VLOOKUP('Données projet'!$B$10,Paramètres!$A$1:$I$89,3,0)*0.475*44/12</f>
        <v>7.3878283721446456</v>
      </c>
      <c r="AX45" s="21">
        <f t="shared" si="6"/>
        <v>74.012970065891054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13.141346156249998</v>
      </c>
      <c r="BD45" s="12">
        <f>IF('Données projet'!$A$88&gt;35,BD44+BC45-BL44,IF(A45&lt;'Données projet'!$A$88,$BA$205^A45,IF(A45='Données projet'!$A$88,'Données projet'!$B$88,BD44+BC45-BL44)))</f>
        <v>276.87115388749993</v>
      </c>
      <c r="BE45" s="13">
        <f>BD45*VLOOKUP('Données projet'!$B$11,Paramètres!$A$1:$I$89,3,0)*VLOOKUP('Données projet'!$B$11,Paramètres!$A$1:$I$89,5,0)</f>
        <v>165.56895002472496</v>
      </c>
      <c r="BF45" s="13">
        <f t="shared" si="37"/>
        <v>42.096095519640414</v>
      </c>
      <c r="BG45" s="20">
        <f t="shared" si="7"/>
        <v>361.68328765643633</v>
      </c>
      <c r="BH45" s="59">
        <f t="shared" si="8"/>
        <v>655.01662098976965</v>
      </c>
      <c r="BI45" s="59">
        <f ca="1">AVERAGE(OFFSET($BH$3,0,0,'Données projet'!$E$11+1,1))-AVERAGE(OFFSET($H$3,0,0,'Données projet'!$E$11+1,1))</f>
        <v>199.27781324660782</v>
      </c>
      <c r="BJ45" s="59">
        <f t="shared" si="38"/>
        <v>199.82499536488524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23.530313281777882</v>
      </c>
      <c r="BQ45" s="21">
        <f>EXP(-LN(2)/25)*BQ44+(1-EXP(-LN(2)/25))/(LN(2)/25)*Calculateur!BL45*Calculateur!BN45*VLOOKUP('Données projet'!$B$11,Paramètres!$A$1:$I$89,3,0)*0.475*44/12</f>
        <v>15.84064455785836</v>
      </c>
      <c r="BR45" s="21">
        <f>EXP(-LN(2)/2)*BR44+(1-EXP(-LN(2)/2))/(LN(2)/2)*BL45*BO45*VLOOKUP('Données projet'!$B$11,Paramètres!$A$1:$I$89,3,0)*0.475*44/12</f>
        <v>0.78173823174912649</v>
      </c>
      <c r="BS45" s="22">
        <f t="shared" si="9"/>
        <v>40.152696071385364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13.14134615384615</v>
      </c>
      <c r="BY45" s="12">
        <f>IF('Données projet'!$A$114&gt;35,BY44+BX45-CG44,IF(A45&lt;'Données projet'!$A$114,$BV$205^A45,IF(A45='Données projet'!$A$114,'Données projet'!$B$114,BY44+BX45-CG44)))</f>
        <v>276.87115384615379</v>
      </c>
      <c r="BZ45" s="13">
        <f>BY45*VLOOKUP('Données projet'!$B$12,Paramètres!$A$1:$I$89,3,0)*VLOOKUP('Données projet'!$B$12,Paramètres!$A$1:$I$89,5,0)</f>
        <v>165.56894999999997</v>
      </c>
      <c r="CA45" s="13">
        <f t="shared" si="39"/>
        <v>42.096095514085818</v>
      </c>
      <c r="CB45" s="20">
        <f t="shared" si="10"/>
        <v>361.6832876036994</v>
      </c>
      <c r="CC45" s="59">
        <f t="shared" si="11"/>
        <v>655.01662093703271</v>
      </c>
      <c r="CD45" s="59">
        <f ca="1">AVERAGE(OFFSET($CC$3,0,0,'Données projet'!$E$12+1,1))-AVERAGE(OFFSET($H$3,0,0,'Données projet'!$E$12+1,1))</f>
        <v>199.27781323742636</v>
      </c>
      <c r="CE45" s="59">
        <f t="shared" si="40"/>
        <v>199.82499536063892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23.530313282631294</v>
      </c>
      <c r="CL45" s="21">
        <f>EXP(-LN(2)/25)*CL44+(1-EXP(-LN(2)/25))/(LN(2)/25)*Calculateur!CG45*Calculateur!CI45*VLOOKUP('Données projet'!$B$12,Paramètres!$A$1:$I$89,3,0)*0.475*44/12</f>
        <v>15.801772850776098</v>
      </c>
      <c r="CM45" s="21">
        <f>EXP(-LN(2)/2)*CM44+(1-EXP(-LN(2)/2))/(LN(2)/2)*CG45*CJ45*VLOOKUP('Données projet'!$B$12,Paramètres!$A$1:$I$89,3,0)*0.475*44/12</f>
        <v>0.79266517924841229</v>
      </c>
      <c r="CN45" s="22">
        <f t="shared" si="12"/>
        <v>40.124751312655803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11.861538461538462</v>
      </c>
      <c r="CT45" s="12">
        <f>IF('Données projet'!$A$140&gt;35,CT44+CS45-DB44,IF(A45&lt;'Données projet'!$A$140,$CQ$205^A45,IF(A45='Données projet'!$A$140,'Données projet'!$B$140,CT44+CS45-DB44)))</f>
        <v>196.19230769230768</v>
      </c>
      <c r="CU45" s="17">
        <f>CT45*VLOOKUP('Données projet'!$B$13,Paramètres!$A$1:$I$89,3,0)*VLOOKUP('Données projet'!$B$13,Paramètres!$A$1:$I$89,5,0)</f>
        <v>117.32300000000001</v>
      </c>
      <c r="CV45" s="13">
        <f t="shared" si="41"/>
        <v>31.049815552357138</v>
      </c>
      <c r="CW45" s="20">
        <f t="shared" si="13"/>
        <v>258.41598708702196</v>
      </c>
      <c r="CX45" s="59">
        <f t="shared" si="14"/>
        <v>551.74932042035528</v>
      </c>
      <c r="CY45" s="59">
        <f ca="1">AVERAGE(OFFSET($CX$3,0,0,'Données projet'!$E$13+1,1))-AVERAGE(OFFSET($H$3,0,0,'Données projet'!$E$13+1,1))</f>
        <v>213.18424462765137</v>
      </c>
      <c r="CZ45" s="59">
        <f t="shared" si="42"/>
        <v>158.77848520346532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29.752841792880179</v>
      </c>
      <c r="DG45" s="21">
        <f>EXP(-LN(2)/25)*DG44+(1-EXP(-LN(2)/25))/(LN(2)/25)*Calculateur!DB45*Calculateur!DD45*VLOOKUP('Données projet'!$B$13,Paramètres!$A$1:$I$89,3,0)*0.475*44/12</f>
        <v>12.797639471069353</v>
      </c>
      <c r="DH45" s="21">
        <f>EXP(-LN(2)/2)*DH44+(1-EXP(-LN(2)/2))/(LN(2)/2)*DB45*DE45*VLOOKUP('Données projet'!$B$13,Paramètres!$A$1:$I$89,3,0)*0.475*44/12</f>
        <v>3.8983685509170458</v>
      </c>
      <c r="DI45" s="22">
        <f t="shared" si="15"/>
        <v>46.448849814866584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11.443589743589744</v>
      </c>
      <c r="N46" s="13">
        <f>IF('Données projet'!$A$36&gt;35,N45+M46-V45,IF(A46&lt;'Données projet'!$A$36,$K$205^A46,IF(A46='Données projet'!$A$36,'Données projet'!$B$36,N45+M46-V45)))</f>
        <v>296.02051282051286</v>
      </c>
      <c r="O46" s="13">
        <f>N46*VLOOKUP('Données projet'!$B$9,Paramètres!$A$1:$I$89,3,0)*VLOOKUP('Données projet'!$B$9,Paramètres!$A$1:$I$89,5,0)</f>
        <v>138.53760000000003</v>
      </c>
      <c r="P46" s="13">
        <f t="shared" si="33"/>
        <v>35.9617857252005</v>
      </c>
      <c r="Q46" s="20">
        <f t="shared" si="53"/>
        <v>303.91976347139087</v>
      </c>
      <c r="R46" s="59">
        <f t="shared" si="0"/>
        <v>597.25309680472424</v>
      </c>
      <c r="S46" s="59">
        <f ca="1">AVERAGE(OFFSET($R$3,0,0,'Données projet'!$E$9+1,1))-AVERAGE(OFFSET($H$3,0,0,'Données projet'!$E$9+1,1))</f>
        <v>181.79645720099597</v>
      </c>
      <c r="T46" s="59">
        <f t="shared" si="34"/>
        <v>120.20040029102233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17.518791252857138</v>
      </c>
      <c r="AI46" s="13">
        <f>IF('Données projet'!$A$62&gt;35,AI45+AH46-AQ45,IF(A46&lt;'Données projet'!$A$62,$AF$205^A46,IF(A46='Données projet'!$A$62,'Données projet'!$B$62,AI45+AH46-AQ45)))</f>
        <v>299.44956048285712</v>
      </c>
      <c r="AJ46" s="13">
        <f>AI46*VLOOKUP('Données projet'!$B$10,Paramètres!$A$1:$I$89,3,0)*VLOOKUP('Données projet'!$B$10,Paramètres!$A$1:$I$89,5,0)</f>
        <v>167.39230430991717</v>
      </c>
      <c r="AK46" s="13">
        <f t="shared" si="35"/>
        <v>42.505462096273163</v>
      </c>
      <c r="AL46" s="20">
        <f t="shared" si="4"/>
        <v>365.57194315744817</v>
      </c>
      <c r="AM46" s="59">
        <f t="shared" si="5"/>
        <v>658.90527649078149</v>
      </c>
      <c r="AN46" s="59">
        <f ca="1">AVERAGE(OFFSET($AM$3,0,0,'Données projet'!$E$10+1,1))-AVERAGE(OFFSET($H$3,0,0,'Données projet'!$E$10+1,1))</f>
        <v>253.62342381933348</v>
      </c>
      <c r="AO46" s="59">
        <f t="shared" si="36"/>
        <v>230.93438491775407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39.757586459051673</v>
      </c>
      <c r="AV46" s="21">
        <f>EXP(-LN(2)/25)*AV45+(1-EXP(-LN(2)/25))/(LN(2)/25)*Calculateur!AQ46*Calculateur!AS46*VLOOKUP('Données projet'!$B$10,Paramètres!$A$1:$I$89,3,0)*0.475*44/12</f>
        <v>25.359390023584599</v>
      </c>
      <c r="AW46" s="21">
        <f>EXP(-LN(2)/2)*AW45+(1-EXP(-LN(2)/2))/(LN(2)/2)*AQ46*AT46*VLOOKUP('Données projet'!$B$10,Paramètres!$A$1:$I$89,3,0)*0.475*44/12</f>
        <v>5.2239835401858521</v>
      </c>
      <c r="AX46" s="21">
        <f t="shared" si="6"/>
        <v>70.340960022822131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13.141346156249998</v>
      </c>
      <c r="BD46" s="12">
        <f>IF('Données projet'!$A$88&gt;35,BD45+BC46-BL45,IF(A46&lt;'Données projet'!$A$88,$BA$205^A46,IF(A46='Données projet'!$A$88,'Données projet'!$B$88,BD45+BC46-BL45)))</f>
        <v>290.01250004374992</v>
      </c>
      <c r="BE46" s="13">
        <f>BD46*VLOOKUP('Données projet'!$B$11,Paramètres!$A$1:$I$89,3,0)*VLOOKUP('Données projet'!$B$11,Paramètres!$A$1:$I$89,5,0)</f>
        <v>173.42747502616245</v>
      </c>
      <c r="BF46" s="13">
        <f t="shared" si="37"/>
        <v>43.856769907026361</v>
      </c>
      <c r="BG46" s="20">
        <f t="shared" si="7"/>
        <v>378.43672659197046</v>
      </c>
      <c r="BH46" s="59">
        <f t="shared" si="8"/>
        <v>671.77005992530371</v>
      </c>
      <c r="BI46" s="59">
        <f ca="1">AVERAGE(OFFSET($BH$3,0,0,'Données projet'!$E$11+1,1))-AVERAGE(OFFSET($H$3,0,0,'Données projet'!$E$11+1,1))</f>
        <v>199.27781324660782</v>
      </c>
      <c r="BJ46" s="59">
        <f t="shared" si="38"/>
        <v>199.82499536488524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23.068898190396169</v>
      </c>
      <c r="BQ46" s="21">
        <f>EXP(-LN(2)/25)*BQ45+(1-EXP(-LN(2)/25))/(LN(2)/25)*Calculateur!BL46*Calculateur!BN46*VLOOKUP('Données projet'!$B$11,Paramètres!$A$1:$I$89,3,0)*0.475*44/12</f>
        <v>15.40748129940043</v>
      </c>
      <c r="BR46" s="21">
        <f>EXP(-LN(2)/2)*BR45+(1-EXP(-LN(2)/2))/(LN(2)/2)*BL46*BO46*VLOOKUP('Données projet'!$B$11,Paramètres!$A$1:$I$89,3,0)*0.475*44/12</f>
        <v>0.55277240478258816</v>
      </c>
      <c r="BS46" s="22">
        <f t="shared" si="9"/>
        <v>39.029151894579186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13.14134615384615</v>
      </c>
      <c r="BY46" s="12">
        <f>IF('Données projet'!$A$114&gt;35,BY45+BX46-CG45,IF(A46&lt;'Données projet'!$A$114,$BV$205^A46,IF(A46='Données projet'!$A$114,'Données projet'!$B$114,BY45+BX46-CG45)))</f>
        <v>290.01249999999993</v>
      </c>
      <c r="BZ46" s="13">
        <f>BY46*VLOOKUP('Données projet'!$B$12,Paramètres!$A$1:$I$89,3,0)*VLOOKUP('Données projet'!$B$12,Paramètres!$A$1:$I$89,5,0)</f>
        <v>173.42747499999999</v>
      </c>
      <c r="CA46" s="13">
        <f t="shared" si="39"/>
        <v>43.856769901180428</v>
      </c>
      <c r="CB46" s="20">
        <f t="shared" si="10"/>
        <v>378.43672653622252</v>
      </c>
      <c r="CC46" s="59">
        <f t="shared" si="11"/>
        <v>671.77005986955578</v>
      </c>
      <c r="CD46" s="59">
        <f ca="1">AVERAGE(OFFSET($CC$3,0,0,'Données projet'!$E$12+1,1))-AVERAGE(OFFSET($H$3,0,0,'Données projet'!$E$12+1,1))</f>
        <v>199.27781323742636</v>
      </c>
      <c r="CE46" s="59">
        <f t="shared" si="40"/>
        <v>199.82499536063892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23.068898191232847</v>
      </c>
      <c r="CL46" s="21">
        <f>EXP(-LN(2)/25)*CL45+(1-EXP(-LN(2)/25))/(LN(2)/25)*Calculateur!CG46*Calculateur!CI46*VLOOKUP('Données projet'!$B$12,Paramètres!$A$1:$I$89,3,0)*0.475*44/12</f>
        <v>15.369672541192507</v>
      </c>
      <c r="CM46" s="21">
        <f>EXP(-LN(2)/2)*CM45+(1-EXP(-LN(2)/2))/(LN(2)/2)*CG46*CJ46*VLOOKUP('Données projet'!$B$12,Paramètres!$A$1:$I$89,3,0)*0.475*44/12</f>
        <v>0.56049892345700258</v>
      </c>
      <c r="CN46" s="22">
        <f t="shared" si="12"/>
        <v>38.999069655882359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11.861538461538462</v>
      </c>
      <c r="CT46" s="12">
        <f>IF('Données projet'!$A$140&gt;35,CT45+CS46-DB45,IF(A46&lt;'Données projet'!$A$140,$CQ$205^A46,IF(A46='Données projet'!$A$140,'Données projet'!$B$140,CT45+CS46-DB45)))</f>
        <v>208.05384615384614</v>
      </c>
      <c r="CU46" s="17">
        <f>CT46*VLOOKUP('Données projet'!$B$13,Paramètres!$A$1:$I$89,3,0)*VLOOKUP('Données projet'!$B$13,Paramètres!$A$1:$I$89,5,0)</f>
        <v>124.4162</v>
      </c>
      <c r="CV46" s="13">
        <f t="shared" si="41"/>
        <v>32.702828934083335</v>
      </c>
      <c r="CW46" s="20">
        <f t="shared" si="13"/>
        <v>273.64897539352847</v>
      </c>
      <c r="CX46" s="59">
        <f t="shared" si="14"/>
        <v>566.98230872686179</v>
      </c>
      <c r="CY46" s="59">
        <f ca="1">AVERAGE(OFFSET($CX$3,0,0,'Données projet'!$E$13+1,1))-AVERAGE(OFFSET($H$3,0,0,'Données projet'!$E$13+1,1))</f>
        <v>213.18424462765137</v>
      </c>
      <c r="CZ46" s="59">
        <f t="shared" si="42"/>
        <v>158.77848520346532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29.169406712763383</v>
      </c>
      <c r="DG46" s="21">
        <f>EXP(-LN(2)/25)*DG45+(1-EXP(-LN(2)/25))/(LN(2)/25)*Calculateur!DB46*Calculateur!DD46*VLOOKUP('Données projet'!$B$13,Paramètres!$A$1:$I$89,3,0)*0.475*44/12</f>
        <v>12.447687346734352</v>
      </c>
      <c r="DH46" s="21">
        <f>EXP(-LN(2)/2)*DH45+(1-EXP(-LN(2)/2))/(LN(2)/2)*DB46*DE46*VLOOKUP('Données projet'!$B$13,Paramètres!$A$1:$I$89,3,0)*0.475*44/12</f>
        <v>2.756562837917818</v>
      </c>
      <c r="DI46" s="22">
        <f t="shared" si="15"/>
        <v>44.37365689741555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11.443589743589744</v>
      </c>
      <c r="N47" s="13">
        <f>IF('Données projet'!$A$36&gt;35,N46+M47-V46,IF(A47&lt;'Données projet'!$A$36,$K$205^A47,IF(A47='Données projet'!$A$36,'Données projet'!$B$36,N46+M47-V46)))</f>
        <v>307.46410256410263</v>
      </c>
      <c r="O47" s="13">
        <f>N47*VLOOKUP('Données projet'!$B$9,Paramètres!$A$1:$I$89,3,0)*VLOOKUP('Données projet'!$B$9,Paramètres!$A$1:$I$89,5,0)</f>
        <v>143.89320000000004</v>
      </c>
      <c r="P47" s="13">
        <f t="shared" si="33"/>
        <v>37.187454199603145</v>
      </c>
      <c r="Q47" s="20">
        <f t="shared" si="53"/>
        <v>315.38213939764222</v>
      </c>
      <c r="R47" s="59">
        <f t="shared" si="0"/>
        <v>608.71547273097553</v>
      </c>
      <c r="S47" s="59">
        <f ca="1">AVERAGE(OFFSET($R$3,0,0,'Données projet'!$E$9+1,1))-AVERAGE(OFFSET($H$3,0,0,'Données projet'!$E$9+1,1))</f>
        <v>181.79645720099597</v>
      </c>
      <c r="T47" s="59">
        <f t="shared" si="34"/>
        <v>120.20040029102233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17.518791252857138</v>
      </c>
      <c r="AI47" s="13">
        <f>IF('Données projet'!$A$62&gt;35,AI46+AH47-AQ46,IF(A47&lt;'Données projet'!$A$62,$AF$205^A47,IF(A47='Données projet'!$A$62,'Données projet'!$B$62,AI46+AH47-AQ46)))</f>
        <v>316.96835173571424</v>
      </c>
      <c r="AJ47" s="13">
        <f>AI47*VLOOKUP('Données projet'!$B$10,Paramètres!$A$1:$I$89,3,0)*VLOOKUP('Données projet'!$B$10,Paramètres!$A$1:$I$89,5,0)</f>
        <v>177.18530862026427</v>
      </c>
      <c r="AK47" s="13">
        <f t="shared" si="35"/>
        <v>44.695395938341264</v>
      </c>
      <c r="AL47" s="20">
        <f t="shared" si="4"/>
        <v>386.44222710623802</v>
      </c>
      <c r="AM47" s="59">
        <f t="shared" si="5"/>
        <v>679.77556043957134</v>
      </c>
      <c r="AN47" s="59">
        <f ca="1">AVERAGE(OFFSET($AM$3,0,0,'Données projet'!$E$10+1,1))-AVERAGE(OFFSET($H$3,0,0,'Données projet'!$E$10+1,1))</f>
        <v>253.62342381933348</v>
      </c>
      <c r="AO47" s="59">
        <f t="shared" si="36"/>
        <v>230.93438491775407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38.97796443832295</v>
      </c>
      <c r="AV47" s="21">
        <f>EXP(-LN(2)/25)*AV46+(1-EXP(-LN(2)/25))/(LN(2)/25)*Calculateur!AQ47*Calculateur!AS47*VLOOKUP('Données projet'!$B$10,Paramètres!$A$1:$I$89,3,0)*0.475*44/12</f>
        <v>24.665936169797316</v>
      </c>
      <c r="AW47" s="21">
        <f>EXP(-LN(2)/2)*AW46+(1-EXP(-LN(2)/2))/(LN(2)/2)*AQ47*AT47*VLOOKUP('Données projet'!$B$10,Paramètres!$A$1:$I$89,3,0)*0.475*44/12</f>
        <v>3.6939141860723232</v>
      </c>
      <c r="AX47" s="21">
        <f t="shared" si="6"/>
        <v>67.337814794192582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303.15384619999998</v>
      </c>
      <c r="BB47" s="12">
        <f>VLOOKUP(A47,'Données projet'!$A$87:$I$107,9,0)</f>
        <v>13.141346156249998</v>
      </c>
      <c r="BC47" s="12">
        <f t="array" ref="BC47">INDEX(BB:BB,MIN(IF(ISNUMBER(BB47:BB243),ROW(BB47:BB243),"")))</f>
        <v>13.141346156249998</v>
      </c>
      <c r="BD47" s="12">
        <f>IF('Données projet'!$A$88&gt;35,BD46+BC47-BL46,IF(A47&lt;'Données projet'!$A$88,$BA$205^A47,IF(A47='Données projet'!$A$88,'Données projet'!$B$88,BD46+BC47-BL46)))</f>
        <v>303.15384619999992</v>
      </c>
      <c r="BE47" s="13">
        <f>BD47*VLOOKUP('Données projet'!$B$11,Paramètres!$A$1:$I$89,3,0)*VLOOKUP('Données projet'!$B$11,Paramètres!$A$1:$I$89,5,0)</f>
        <v>181.28600002759995</v>
      </c>
      <c r="BF47" s="13">
        <f t="shared" si="37"/>
        <v>45.608178827671999</v>
      </c>
      <c r="BG47" s="20">
        <f t="shared" si="7"/>
        <v>395.17402817293191</v>
      </c>
      <c r="BH47" s="59">
        <f t="shared" si="8"/>
        <v>688.50736150626517</v>
      </c>
      <c r="BI47" s="59">
        <f ca="1">AVERAGE(OFFSET($BH$3,0,0,'Données projet'!$E$11+1,1))-AVERAGE(OFFSET($H$3,0,0,'Données projet'!$E$11+1,1))</f>
        <v>199.27781324660782</v>
      </c>
      <c r="BJ47" s="59">
        <f t="shared" si="38"/>
        <v>199.82499536488524</v>
      </c>
      <c r="BK47" s="15">
        <f>IF(ISNA(VLOOKUP(A47,'Données projet'!$A$87:$I$107,3,0)),0,VLOOKUP(A47,'Données projet'!$A$87:$I$107,3,0))</f>
        <v>5</v>
      </c>
      <c r="BL47" s="15">
        <f>IF(ISNA(VLOOKUP(A47,'Données projet'!$A$87:$I$107,4,0)),0,VLOOKUP(A47,'Données projet'!$A$87:$I$107,4,0))</f>
        <v>64.476923080000006</v>
      </c>
      <c r="BM47" s="16">
        <f>IF(ISNA(VLOOKUP(A47,'Données projet'!$A$87:$I$107,5,0)),0%,VLOOKUP(A47,'Données projet'!$A$87:$I$107,5,0)*VLOOKUP('Données projet'!$B$11,Paramètres!$A$1:$I$89,7,0))</f>
        <v>0.315</v>
      </c>
      <c r="BN47" s="16">
        <f>IF(ISNA(VLOOKUP(A47,'Données projet'!$A$87:$I$107,6,0)),0%,VLOOKUP(A47,'Données projet'!$A$87:$I$107,6,0)*VLOOKUP('Données projet'!$B$11,Paramètres!$A$1:$I$89,7,0))</f>
        <v>7.5600000000000001E-2</v>
      </c>
      <c r="BO47" s="16">
        <f>IF(ISNA(VLOOKUP(A47,'Données projet'!$A$87:$I$107,7,0)),0%,VLOOKUP(A47,'Données projet'!$A$87:$I$107,7,0))</f>
        <v>0.13200000000000001</v>
      </c>
      <c r="BP47" s="21">
        <f>EXP(-LN(2)/35)*BP46+(1-EXP(-LN(2)/35))/(LN(2)/35)*BL47*BM47*VLOOKUP('Données projet'!$B$11,Paramètres!$A$1:$I$89,3,0)*0.475*44/12</f>
        <v>38.728343639991046</v>
      </c>
      <c r="BQ47" s="21">
        <f>EXP(-LN(2)/25)*BQ46+(1-EXP(-LN(2)/25))/(LN(2)/25)*Calculateur!BL47*Calculateur!BN47*VLOOKUP('Données projet'!$B$11,Paramètres!$A$1:$I$89,3,0)*0.475*44/12</f>
        <v>18.837772703668271</v>
      </c>
      <c r="BR47" s="21">
        <f>EXP(-LN(2)/2)*BR46+(1-EXP(-LN(2)/2))/(LN(2)/2)*BL47*BO47*VLOOKUP('Données projet'!$B$11,Paramètres!$A$1:$I$89,3,0)*0.475*44/12</f>
        <v>6.1534224589183051</v>
      </c>
      <c r="BS47" s="22">
        <f t="shared" si="9"/>
        <v>63.719538802577624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>
        <f>VLOOKUP(A47,'Données projet'!$A$113:$I$133,2,0)</f>
        <v>303.15384615384613</v>
      </c>
      <c r="BW47" s="12">
        <f>VLOOKUP(A47,'Données projet'!$A$113:$I$133,9,0)</f>
        <v>13.14134615384615</v>
      </c>
      <c r="BX47" s="12">
        <f t="array" ref="BX47">INDEX(BW:BW,MIN(IF(ISNUMBER(BW47:BW243),ROW(BW47:BW243),"")))</f>
        <v>13.14134615384615</v>
      </c>
      <c r="BY47" s="12">
        <f>IF('Données projet'!$A$114&gt;35,BY46+BX47-CG46,IF(A47&lt;'Données projet'!$A$114,$BV$205^A47,IF(A47='Données projet'!$A$114,'Données projet'!$B$114,BY46+BX47-CG46)))</f>
        <v>303.15384615384608</v>
      </c>
      <c r="BZ47" s="13">
        <f>BY47*VLOOKUP('Données projet'!$B$12,Paramètres!$A$1:$I$89,3,0)*VLOOKUP('Données projet'!$B$12,Paramètres!$A$1:$I$89,5,0)</f>
        <v>181.28599999999997</v>
      </c>
      <c r="CA47" s="13">
        <f t="shared" si="39"/>
        <v>45.608178821536583</v>
      </c>
      <c r="CB47" s="20">
        <f t="shared" si="10"/>
        <v>395.17402811417611</v>
      </c>
      <c r="CC47" s="59">
        <f t="shared" si="11"/>
        <v>688.50736144750942</v>
      </c>
      <c r="CD47" s="59">
        <f ca="1">AVERAGE(OFFSET($CC$3,0,0,'Données projet'!$E$12+1,1))-AVERAGE(OFFSET($H$3,0,0,'Données projet'!$E$12+1,1))</f>
        <v>199.27781323742636</v>
      </c>
      <c r="CE47" s="59">
        <f t="shared" si="40"/>
        <v>199.82499536063892</v>
      </c>
      <c r="CF47" s="15">
        <f>IF(ISNA(VLOOKUP(A47,'Données projet'!$A$113:$I$133,3,0)),0,VLOOKUP(A47,'Données projet'!$A$113:$I$133,3,0))</f>
        <v>5</v>
      </c>
      <c r="CG47" s="15">
        <f>IF(ISNA(VLOOKUP(A47,'Données projet'!$A$113:$I$133,4,0)),0,VLOOKUP(A47,'Données projet'!$A$113:$I$133,4,0))</f>
        <v>64.476923076923072</v>
      </c>
      <c r="CH47" s="16">
        <f>IF(ISNA(VLOOKUP(A47,'Données projet'!$A$113:$I$133,5,0)),0%,VLOOKUP(A47,'Données projet'!$A$113:$I$133,5,0)*VLOOKUP('Données projet'!$B$12,Paramètres!$A$1:$I$89,7,0))</f>
        <v>0.315</v>
      </c>
      <c r="CI47" s="16">
        <f>IF(ISNA(VLOOKUP(A47,'Données projet'!$A$113:$I$133,6,0)),0%,VLOOKUP(A47,'Données projet'!$A$113:$I$133,6,0)*VLOOKUP('Données projet'!$B$12,Paramètres!$A$1:$I$89,7,0))</f>
        <v>7.5600000000000001E-2</v>
      </c>
      <c r="CJ47" s="16">
        <f>IF(ISNA(VLOOKUP(A47,'Données projet'!$A$113:$I$133,7,0)),0%,VLOOKUP(A47,'Données projet'!$A$113:$I$133,7,0))</f>
        <v>0.13200000000000001</v>
      </c>
      <c r="CK47" s="21">
        <f>EXP(-LN(2)/35)*CK46+(1-EXP(-LN(2)/35))/(LN(2)/35)*CG47*CH47*VLOOKUP('Données projet'!$B$12,Paramètres!$A$1:$I$89,3,0)*0.475*44/12</f>
        <v>38.728343640042439</v>
      </c>
      <c r="CL47" s="21">
        <f>EXP(-LN(2)/25)*CL46+(1-EXP(-LN(2)/25))/(LN(2)/25)*Calculateur!CG47*Calculateur!CI47*VLOOKUP('Données projet'!$B$12,Paramètres!$A$1:$I$89,3,0)*0.475*44/12</f>
        <v>18.800997827758014</v>
      </c>
      <c r="CM47" s="21">
        <f>EXP(-LN(2)/2)*CM46+(1-EXP(-LN(2)/2))/(LN(2)/2)*CG47*CJ47*VLOOKUP('Données projet'!$B$12,Paramètres!$A$1:$I$89,3,0)*0.475*44/12</f>
        <v>6.1588859323929501</v>
      </c>
      <c r="CN47" s="22">
        <f t="shared" si="12"/>
        <v>63.688227400193398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11.861538461538462</v>
      </c>
      <c r="CT47" s="12">
        <f>IF('Données projet'!$A$140&gt;35,CT46+CS47-DB46,IF(A47&lt;'Données projet'!$A$140,$CQ$205^A47,IF(A47='Données projet'!$A$140,'Données projet'!$B$140,CT46+CS47-DB46)))</f>
        <v>219.9153846153846</v>
      </c>
      <c r="CU47" s="17">
        <f>CT47*VLOOKUP('Données projet'!$B$13,Paramètres!$A$1:$I$89,3,0)*VLOOKUP('Données projet'!$B$13,Paramètres!$A$1:$I$89,5,0)</f>
        <v>131.5094</v>
      </c>
      <c r="CV47" s="13">
        <f t="shared" si="41"/>
        <v>34.344902681781569</v>
      </c>
      <c r="CW47" s="20">
        <f t="shared" si="13"/>
        <v>288.8629105041029</v>
      </c>
      <c r="CX47" s="59">
        <f t="shared" si="14"/>
        <v>582.19624383743621</v>
      </c>
      <c r="CY47" s="59">
        <f ca="1">AVERAGE(OFFSET($CX$3,0,0,'Données projet'!$E$13+1,1))-AVERAGE(OFFSET($H$3,0,0,'Données projet'!$E$13+1,1))</f>
        <v>213.18424462765137</v>
      </c>
      <c r="CZ47" s="59">
        <f t="shared" si="42"/>
        <v>158.77848520346532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28.597412438707416</v>
      </c>
      <c r="DG47" s="21">
        <f>EXP(-LN(2)/25)*DG46+(1-EXP(-LN(2)/25))/(LN(2)/25)*Calculateur!DB47*Calculateur!DD47*VLOOKUP('Données projet'!$B$13,Paramètres!$A$1:$I$89,3,0)*0.475*44/12</f>
        <v>12.107304681642473</v>
      </c>
      <c r="DH47" s="21">
        <f>EXP(-LN(2)/2)*DH46+(1-EXP(-LN(2)/2))/(LN(2)/2)*DB47*DE47*VLOOKUP('Données projet'!$B$13,Paramètres!$A$1:$I$89,3,0)*0.475*44/12</f>
        <v>1.9491842754585231</v>
      </c>
      <c r="DI47" s="22">
        <f t="shared" si="15"/>
        <v>42.653901395808411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11.443589743589744</v>
      </c>
      <c r="N48" s="13">
        <f>IF('Données projet'!$A$36&gt;35,N47+M48-V47,IF(A48&lt;'Données projet'!$A$36,$K$205^A48,IF(A48='Données projet'!$A$36,'Données projet'!$B$36,N47+M48-V47)))</f>
        <v>318.9076923076924</v>
      </c>
      <c r="O48" s="13">
        <f>N48*VLOOKUP('Données projet'!$B$9,Paramètres!$A$1:$I$89,3,0)*VLOOKUP('Données projet'!$B$9,Paramètres!$A$1:$I$89,5,0)</f>
        <v>149.24880000000005</v>
      </c>
      <c r="P48" s="13">
        <f t="shared" si="33"/>
        <v>38.40782287536252</v>
      </c>
      <c r="Q48" s="20">
        <f t="shared" si="53"/>
        <v>326.83528484125645</v>
      </c>
      <c r="R48" s="59">
        <f t="shared" si="0"/>
        <v>620.16861817458971</v>
      </c>
      <c r="S48" s="59">
        <f ca="1">AVERAGE(OFFSET($R$3,0,0,'Données projet'!$E$9+1,1))-AVERAGE(OFFSET($H$3,0,0,'Données projet'!$E$9+1,1))</f>
        <v>181.79645720099597</v>
      </c>
      <c r="T48" s="59">
        <f t="shared" si="34"/>
        <v>120.20040029102233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17.518791252857138</v>
      </c>
      <c r="AI48" s="13">
        <f>IF('Données projet'!$A$62&gt;35,AI47+AH48-AQ47,IF(A48&lt;'Données projet'!$A$62,$AF$205^A48,IF(A48='Données projet'!$A$62,'Données projet'!$B$62,AI47+AH48-AQ47)))</f>
        <v>334.48714298857135</v>
      </c>
      <c r="AJ48" s="13">
        <f>AI48*VLOOKUP('Données projet'!$B$10,Paramètres!$A$1:$I$89,3,0)*VLOOKUP('Données projet'!$B$10,Paramètres!$A$1:$I$89,5,0)</f>
        <v>186.97831293061139</v>
      </c>
      <c r="AK48" s="13">
        <f t="shared" si="35"/>
        <v>46.871278709469145</v>
      </c>
      <c r="AL48" s="20">
        <f t="shared" si="4"/>
        <v>407.28803877314027</v>
      </c>
      <c r="AM48" s="59">
        <f t="shared" si="5"/>
        <v>700.62137210647359</v>
      </c>
      <c r="AN48" s="59">
        <f ca="1">AVERAGE(OFFSET($AM$3,0,0,'Données projet'!$E$10+1,1))-AVERAGE(OFFSET($H$3,0,0,'Données projet'!$E$10+1,1))</f>
        <v>253.62342381933348</v>
      </c>
      <c r="AO48" s="59">
        <f t="shared" si="36"/>
        <v>230.93438491775407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38.213630329898237</v>
      </c>
      <c r="AV48" s="21">
        <f>EXP(-LN(2)/25)*AV47+(1-EXP(-LN(2)/25))/(LN(2)/25)*Calculateur!AQ48*Calculateur!AS48*VLOOKUP('Données projet'!$B$10,Paramètres!$A$1:$I$89,3,0)*0.475*44/12</f>
        <v>23.991444848109001</v>
      </c>
      <c r="AW48" s="21">
        <f>EXP(-LN(2)/2)*AW47+(1-EXP(-LN(2)/2))/(LN(2)/2)*AQ48*AT48*VLOOKUP('Données projet'!$B$10,Paramètres!$A$1:$I$89,3,0)*0.475*44/12</f>
        <v>2.611991770092926</v>
      </c>
      <c r="AX48" s="21">
        <f t="shared" si="6"/>
        <v>64.817066948100162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11.642307685000006</v>
      </c>
      <c r="BD48" s="12">
        <f>IF('Données projet'!$A$88&gt;35,BD47+BC48-BL47,IF(A48&lt;'Données projet'!$A$88,$BA$205^A48,IF(A48='Données projet'!$A$88,'Données projet'!$B$88,BD47+BC48-BL47)))</f>
        <v>250.3192308049999</v>
      </c>
      <c r="BE48" s="13">
        <f>BD48*VLOOKUP('Données projet'!$B$11,Paramètres!$A$1:$I$89,3,0)*VLOOKUP('Données projet'!$B$11,Paramètres!$A$1:$I$89,5,0)</f>
        <v>149.69090002138995</v>
      </c>
      <c r="BF48" s="13">
        <f t="shared" si="37"/>
        <v>38.508333110656025</v>
      </c>
      <c r="BG48" s="20">
        <f t="shared" si="7"/>
        <v>327.78033103831336</v>
      </c>
      <c r="BH48" s="59">
        <f t="shared" si="8"/>
        <v>621.11366437164668</v>
      </c>
      <c r="BI48" s="59">
        <f ca="1">AVERAGE(OFFSET($BH$3,0,0,'Données projet'!$E$11+1,1))-AVERAGE(OFFSET($H$3,0,0,'Données projet'!$E$11+1,1))</f>
        <v>199.27781324660782</v>
      </c>
      <c r="BJ48" s="59">
        <f t="shared" si="38"/>
        <v>199.82499536488524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37.968904443167965</v>
      </c>
      <c r="BQ48" s="21">
        <f>EXP(-LN(2)/25)*BQ47+(1-EXP(-LN(2)/25))/(LN(2)/25)*Calculateur!BL48*Calculateur!BN48*VLOOKUP('Données projet'!$B$11,Paramètres!$A$1:$I$89,3,0)*0.475*44/12</f>
        <v>18.322652818451051</v>
      </c>
      <c r="BR48" s="21">
        <f>EXP(-LN(2)/2)*BR47+(1-EXP(-LN(2)/2))/(LN(2)/2)*BL48*BO48*VLOOKUP('Données projet'!$B$11,Paramètres!$A$1:$I$89,3,0)*0.475*44/12</f>
        <v>4.3511267482067337</v>
      </c>
      <c r="BS48" s="22">
        <f t="shared" si="9"/>
        <v>60.64268400982575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11.642307692307696</v>
      </c>
      <c r="BY48" s="12">
        <f>IF('Données projet'!$A$114&gt;35,BY47+BX48-CG47,IF(A48&lt;'Données projet'!$A$114,$BV$205^A48,IF(A48='Données projet'!$A$114,'Données projet'!$B$114,BY47+BX48-CG47)))</f>
        <v>250.31923076923067</v>
      </c>
      <c r="BZ48" s="13">
        <f>BY48*VLOOKUP('Données projet'!$B$12,Paramètres!$A$1:$I$89,3,0)*VLOOKUP('Données projet'!$B$12,Paramètres!$A$1:$I$89,5,0)</f>
        <v>149.69089999999994</v>
      </c>
      <c r="CA48" s="13">
        <f t="shared" si="39"/>
        <v>38.508333105793902</v>
      </c>
      <c r="CB48" s="20">
        <f t="shared" si="10"/>
        <v>327.7803309925909</v>
      </c>
      <c r="CC48" s="59">
        <f t="shared" si="11"/>
        <v>621.11366432592422</v>
      </c>
      <c r="CD48" s="59">
        <f ca="1">AVERAGE(OFFSET($CC$3,0,0,'Données projet'!$E$12+1,1))-AVERAGE(OFFSET($H$3,0,0,'Données projet'!$E$12+1,1))</f>
        <v>199.27781323742636</v>
      </c>
      <c r="CE48" s="59">
        <f t="shared" si="40"/>
        <v>199.82499536063892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37.968904443218349</v>
      </c>
      <c r="CL48" s="21">
        <f>EXP(-LN(2)/25)*CL47+(1-EXP(-LN(2)/25))/(LN(2)/25)*Calculateur!CG48*Calculateur!CI48*VLOOKUP('Données projet'!$B$12,Paramètres!$A$1:$I$89,3,0)*0.475*44/12</f>
        <v>18.286883553456466</v>
      </c>
      <c r="CM48" s="21">
        <f>EXP(-LN(2)/2)*CM47+(1-EXP(-LN(2)/2))/(LN(2)/2)*CG48*CJ48*VLOOKUP('Données projet'!$B$12,Paramètres!$A$1:$I$89,3,0)*0.475*44/12</f>
        <v>4.354990007349488</v>
      </c>
      <c r="CN48" s="22">
        <f t="shared" si="12"/>
        <v>60.610778004024297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11.861538461538462</v>
      </c>
      <c r="CT48" s="12">
        <f>IF('Données projet'!$A$140&gt;35,CT47+CS48-DB47,IF(A48&lt;'Données projet'!$A$140,$CQ$205^A48,IF(A48='Données projet'!$A$140,'Données projet'!$B$140,CT47+CS48-DB47)))</f>
        <v>231.77692307692305</v>
      </c>
      <c r="CU48" s="17">
        <f>CT48*VLOOKUP('Données projet'!$B$13,Paramètres!$A$1:$I$89,3,0)*VLOOKUP('Données projet'!$B$13,Paramètres!$A$1:$I$89,5,0)</f>
        <v>138.6026</v>
      </c>
      <c r="CV48" s="13">
        <f t="shared" si="41"/>
        <v>35.976694116938198</v>
      </c>
      <c r="CW48" s="20">
        <f t="shared" si="13"/>
        <v>304.05893725366735</v>
      </c>
      <c r="CX48" s="59">
        <f t="shared" si="14"/>
        <v>597.39227058700067</v>
      </c>
      <c r="CY48" s="59">
        <f ca="1">AVERAGE(OFFSET($CX$3,0,0,'Données projet'!$E$13+1,1))-AVERAGE(OFFSET($H$3,0,0,'Données projet'!$E$13+1,1))</f>
        <v>213.18424462765137</v>
      </c>
      <c r="CZ48" s="59">
        <f t="shared" si="42"/>
        <v>158.77848520346532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28.036634623483629</v>
      </c>
      <c r="DG48" s="21">
        <f>EXP(-LN(2)/25)*DG47+(1-EXP(-LN(2)/25))/(LN(2)/25)*Calculateur!DB48*Calculateur!DD48*VLOOKUP('Données projet'!$B$13,Paramètres!$A$1:$I$89,3,0)*0.475*44/12</f>
        <v>11.776229798427478</v>
      </c>
      <c r="DH48" s="21">
        <f>EXP(-LN(2)/2)*DH47+(1-EXP(-LN(2)/2))/(LN(2)/2)*DB48*DE48*VLOOKUP('Données projet'!$B$13,Paramètres!$A$1:$I$89,3,0)*0.475*44/12</f>
        <v>1.3782814189589092</v>
      </c>
      <c r="DI48" s="22">
        <f t="shared" si="15"/>
        <v>41.191145840870014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11.443589743589744</v>
      </c>
      <c r="N49" s="13">
        <f>IF('Données projet'!$A$36&gt;35,N48+M49-V48,IF(A49&lt;'Données projet'!$A$36,$K$205^A49,IF(A49='Données projet'!$A$36,'Données projet'!$B$36,N48+M49-V48)))</f>
        <v>330.35128205128217</v>
      </c>
      <c r="O49" s="13">
        <f>N49*VLOOKUP('Données projet'!$B$9,Paramètres!$A$1:$I$89,3,0)*VLOOKUP('Données projet'!$B$9,Paramètres!$A$1:$I$89,5,0)</f>
        <v>154.60440000000006</v>
      </c>
      <c r="P49" s="13">
        <f t="shared" si="33"/>
        <v>39.623103715153171</v>
      </c>
      <c r="Q49" s="20">
        <f t="shared" si="53"/>
        <v>338.2795689705585</v>
      </c>
      <c r="R49" s="59">
        <f t="shared" si="0"/>
        <v>631.61290230389181</v>
      </c>
      <c r="S49" s="59">
        <f ca="1">AVERAGE(OFFSET($R$3,0,0,'Données projet'!$E$9+1,1))-AVERAGE(OFFSET($H$3,0,0,'Données projet'!$E$9+1,1))</f>
        <v>181.79645720099597</v>
      </c>
      <c r="T49" s="59">
        <f t="shared" si="34"/>
        <v>120.20040029102233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17.518791252857138</v>
      </c>
      <c r="AI49" s="13">
        <f>IF('Données projet'!$A$62&gt;35,AI48+AH49-AQ48,IF(A49&lt;'Données projet'!$A$62,$AF$205^A49,IF(A49='Données projet'!$A$62,'Données projet'!$B$62,AI48+AH49-AQ48)))</f>
        <v>352.00593424142846</v>
      </c>
      <c r="AJ49" s="13">
        <f>AI49*VLOOKUP('Données projet'!$B$10,Paramètres!$A$1:$I$89,3,0)*VLOOKUP('Données projet'!$B$10,Paramètres!$A$1:$I$89,5,0)</f>
        <v>196.77131724095852</v>
      </c>
      <c r="AK49" s="13">
        <f t="shared" si="35"/>
        <v>49.033930266782868</v>
      </c>
      <c r="AL49" s="20">
        <f t="shared" si="4"/>
        <v>428.11080607598296</v>
      </c>
      <c r="AM49" s="59">
        <f t="shared" si="5"/>
        <v>721.44413940931622</v>
      </c>
      <c r="AN49" s="59">
        <f ca="1">AVERAGE(OFFSET($AM$3,0,0,'Données projet'!$E$10+1,1))-AVERAGE(OFFSET($H$3,0,0,'Données projet'!$E$10+1,1))</f>
        <v>253.62342381933348</v>
      </c>
      <c r="AO49" s="59">
        <f t="shared" si="36"/>
        <v>230.93438491775407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37.464284347141955</v>
      </c>
      <c r="AV49" s="21">
        <f>EXP(-LN(2)/25)*AV48+(1-EXP(-LN(2)/25))/(LN(2)/25)*Calculateur!AQ49*Calculateur!AS49*VLOOKUP('Données projet'!$B$10,Paramètres!$A$1:$I$89,3,0)*0.475*44/12</f>
        <v>23.335397527082208</v>
      </c>
      <c r="AW49" s="21">
        <f>EXP(-LN(2)/2)*AW48+(1-EXP(-LN(2)/2))/(LN(2)/2)*AQ49*AT49*VLOOKUP('Données projet'!$B$10,Paramètres!$A$1:$I$89,3,0)*0.475*44/12</f>
        <v>1.8469570930361616</v>
      </c>
      <c r="AX49" s="21">
        <f t="shared" si="6"/>
        <v>62.646638967260323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11.642307685000006</v>
      </c>
      <c r="BD49" s="12">
        <f>IF('Données projet'!$A$88&gt;35,BD48+BC49-BL48,IF(A49&lt;'Données projet'!$A$88,$BA$205^A49,IF(A49='Données projet'!$A$88,'Données projet'!$B$88,BD48+BC49-BL48)))</f>
        <v>261.9615384899999</v>
      </c>
      <c r="BE49" s="13">
        <f>BD49*VLOOKUP('Données projet'!$B$11,Paramètres!$A$1:$I$89,3,0)*VLOOKUP('Données projet'!$B$11,Paramètres!$A$1:$I$89,5,0)</f>
        <v>156.65300001701996</v>
      </c>
      <c r="BF49" s="13">
        <f t="shared" si="37"/>
        <v>40.086663883204878</v>
      </c>
      <c r="BG49" s="20">
        <f t="shared" si="7"/>
        <v>342.65491462622498</v>
      </c>
      <c r="BH49" s="59">
        <f t="shared" si="8"/>
        <v>635.98824795955829</v>
      </c>
      <c r="BI49" s="59">
        <f ca="1">AVERAGE(OFFSET($BH$3,0,0,'Données projet'!$E$11+1,1))-AVERAGE(OFFSET($H$3,0,0,'Données projet'!$E$11+1,1))</f>
        <v>199.27781324660782</v>
      </c>
      <c r="BJ49" s="59">
        <f t="shared" si="38"/>
        <v>199.82499536488524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37.224357385782412</v>
      </c>
      <c r="BQ49" s="21">
        <f>EXP(-LN(2)/25)*BQ48+(1-EXP(-LN(2)/25))/(LN(2)/25)*Calculateur!BL49*Calculateur!BN49*VLOOKUP('Données projet'!$B$11,Paramètres!$A$1:$I$89,3,0)*0.475*44/12</f>
        <v>17.821618913584071</v>
      </c>
      <c r="BR49" s="21">
        <f>EXP(-LN(2)/2)*BR48+(1-EXP(-LN(2)/2))/(LN(2)/2)*BL49*BO49*VLOOKUP('Données projet'!$B$11,Paramètres!$A$1:$I$89,3,0)*0.475*44/12</f>
        <v>3.076711229459153</v>
      </c>
      <c r="BS49" s="22">
        <f t="shared" si="9"/>
        <v>58.122687528825637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11.642307692307696</v>
      </c>
      <c r="BY49" s="12">
        <f>IF('Données projet'!$A$114&gt;35,BY48+BX49-CG48,IF(A49&lt;'Données projet'!$A$114,$BV$205^A49,IF(A49='Données projet'!$A$114,'Données projet'!$B$114,BY48+BX49-CG48)))</f>
        <v>261.96153846153834</v>
      </c>
      <c r="BZ49" s="13">
        <f>BY49*VLOOKUP('Données projet'!$B$12,Paramètres!$A$1:$I$89,3,0)*VLOOKUP('Données projet'!$B$12,Paramètres!$A$1:$I$89,5,0)</f>
        <v>156.65299999999993</v>
      </c>
      <c r="CA49" s="13">
        <f t="shared" si="39"/>
        <v>40.0866638793565</v>
      </c>
      <c r="CB49" s="20">
        <f t="shared" si="10"/>
        <v>342.65491458987913</v>
      </c>
      <c r="CC49" s="59">
        <f t="shared" si="11"/>
        <v>635.98824792321238</v>
      </c>
      <c r="CD49" s="59">
        <f ca="1">AVERAGE(OFFSET($CC$3,0,0,'Données projet'!$E$12+1,1))-AVERAGE(OFFSET($H$3,0,0,'Données projet'!$E$12+1,1))</f>
        <v>199.27781323742636</v>
      </c>
      <c r="CE49" s="59">
        <f t="shared" si="40"/>
        <v>199.82499536063892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37.224357385831809</v>
      </c>
      <c r="CL49" s="21">
        <f>EXP(-LN(2)/25)*CL48+(1-EXP(-LN(2)/25))/(LN(2)/25)*Calculateur!CG49*Calculateur!CI49*VLOOKUP('Données projet'!$B$12,Paramètres!$A$1:$I$89,3,0)*0.475*44/12</f>
        <v>17.786827761021787</v>
      </c>
      <c r="CM49" s="21">
        <f>EXP(-LN(2)/2)*CM48+(1-EXP(-LN(2)/2))/(LN(2)/2)*CG49*CJ49*VLOOKUP('Données projet'!$B$12,Paramètres!$A$1:$I$89,3,0)*0.475*44/12</f>
        <v>3.0794429661964755</v>
      </c>
      <c r="CN49" s="22">
        <f t="shared" si="12"/>
        <v>58.090628113050066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11.861538461538462</v>
      </c>
      <c r="CT49" s="12">
        <f>IF('Données projet'!$A$140&gt;35,CT48+CS49-DB48,IF(A49&lt;'Données projet'!$A$140,$CQ$205^A49,IF(A49='Données projet'!$A$140,'Données projet'!$B$140,CT48+CS49-DB48)))</f>
        <v>243.63846153846151</v>
      </c>
      <c r="CU49" s="17">
        <f>CT49*VLOOKUP('Données projet'!$B$13,Paramètres!$A$1:$I$89,3,0)*VLOOKUP('Données projet'!$B$13,Paramètres!$A$1:$I$89,5,0)</f>
        <v>145.69579999999999</v>
      </c>
      <c r="CV49" s="13">
        <f t="shared" si="41"/>
        <v>37.598789481990465</v>
      </c>
      <c r="CW49" s="20">
        <f t="shared" si="13"/>
        <v>319.23807668113335</v>
      </c>
      <c r="CX49" s="59">
        <f t="shared" si="14"/>
        <v>612.57141001446666</v>
      </c>
      <c r="CY49" s="59">
        <f ca="1">AVERAGE(OFFSET($CX$3,0,0,'Données projet'!$E$13+1,1))-AVERAGE(OFFSET($H$3,0,0,'Données projet'!$E$13+1,1))</f>
        <v>213.18424462765137</v>
      </c>
      <c r="CZ49" s="59">
        <f t="shared" si="42"/>
        <v>158.77848520346532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27.486853319175687</v>
      </c>
      <c r="DG49" s="21">
        <f>EXP(-LN(2)/25)*DG48+(1-EXP(-LN(2)/25))/(LN(2)/25)*Calculateur!DB49*Calculateur!DD49*VLOOKUP('Données projet'!$B$13,Paramètres!$A$1:$I$89,3,0)*0.475*44/12</f>
        <v>11.454208175304467</v>
      </c>
      <c r="DH49" s="21">
        <f>EXP(-LN(2)/2)*DH48+(1-EXP(-LN(2)/2))/(LN(2)/2)*DB49*DE49*VLOOKUP('Données projet'!$B$13,Paramètres!$A$1:$I$89,3,0)*0.475*44/12</f>
        <v>0.97459213772926168</v>
      </c>
      <c r="DI49" s="22">
        <f t="shared" si="15"/>
        <v>39.915653632209413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11.443589743589744</v>
      </c>
      <c r="N50" s="13">
        <f>IF('Données projet'!$A$36&gt;35,N49+M50-V49,IF(A50&lt;'Données projet'!$A$36,$K$205^A50,IF(A50='Données projet'!$A$36,'Données projet'!$B$36,N49+M50-V49)))</f>
        <v>341.79487179487194</v>
      </c>
      <c r="O50" s="13">
        <f>N50*VLOOKUP('Données projet'!$B$9,Paramètres!$A$1:$I$89,3,0)*VLOOKUP('Données projet'!$B$9,Paramètres!$A$1:$I$89,5,0)</f>
        <v>159.96000000000006</v>
      </c>
      <c r="P50" s="13">
        <f t="shared" si="33"/>
        <v>40.833493163758575</v>
      </c>
      <c r="Q50" s="20">
        <f t="shared" si="53"/>
        <v>349.71533392687957</v>
      </c>
      <c r="R50" s="59">
        <f t="shared" si="0"/>
        <v>643.04866726021282</v>
      </c>
      <c r="S50" s="59">
        <f ca="1">AVERAGE(OFFSET($R$3,0,0,'Données projet'!$E$9+1,1))-AVERAGE(OFFSET($H$3,0,0,'Données projet'!$E$9+1,1))</f>
        <v>181.79645720099597</v>
      </c>
      <c r="T50" s="59">
        <f t="shared" si="34"/>
        <v>120.20040029102233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17.518791252857138</v>
      </c>
      <c r="AI50" s="13">
        <f>IF('Données projet'!$A$62&gt;35,AI49+AH50-AQ49,IF(A50&lt;'Données projet'!$A$62,$AF$205^A50,IF(A50='Données projet'!$A$62,'Données projet'!$B$62,AI49+AH50-AQ49)))</f>
        <v>369.52472549428558</v>
      </c>
      <c r="AJ50" s="13">
        <f>AI50*VLOOKUP('Données projet'!$B$10,Paramètres!$A$1:$I$89,3,0)*VLOOKUP('Données projet'!$B$10,Paramètres!$A$1:$I$89,5,0)</f>
        <v>206.56432155130565</v>
      </c>
      <c r="AK50" s="13">
        <f t="shared" si="35"/>
        <v>51.184084251377328</v>
      </c>
      <c r="AL50" s="20">
        <f t="shared" si="4"/>
        <v>448.91180677300622</v>
      </c>
      <c r="AM50" s="59">
        <f t="shared" si="5"/>
        <v>742.24514010633948</v>
      </c>
      <c r="AN50" s="59">
        <f ca="1">AVERAGE(OFFSET($AM$3,0,0,'Données projet'!$E$10+1,1))-AVERAGE(OFFSET($H$3,0,0,'Données projet'!$E$10+1,1))</f>
        <v>253.62342381933348</v>
      </c>
      <c r="AO50" s="59">
        <f t="shared" si="36"/>
        <v>230.93438491775407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36.729632582051607</v>
      </c>
      <c r="AV50" s="21">
        <f>EXP(-LN(2)/25)*AV49+(1-EXP(-LN(2)/25))/(LN(2)/25)*Calculateur!AQ50*Calculateur!AS50*VLOOKUP('Données projet'!$B$10,Paramètres!$A$1:$I$89,3,0)*0.475*44/12</f>
        <v>22.697289854548924</v>
      </c>
      <c r="AW50" s="21">
        <f>EXP(-LN(2)/2)*AW49+(1-EXP(-LN(2)/2))/(LN(2)/2)*AQ50*AT50*VLOOKUP('Données projet'!$B$10,Paramètres!$A$1:$I$89,3,0)*0.475*44/12</f>
        <v>1.305995885046463</v>
      </c>
      <c r="AX50" s="21">
        <f t="shared" si="6"/>
        <v>60.732918321646999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11.642307685000006</v>
      </c>
      <c r="BD50" s="12">
        <f>IF('Données projet'!$A$88&gt;35,BD49+BC50-BL49,IF(A50&lt;'Données projet'!$A$88,$BA$205^A50,IF(A50='Données projet'!$A$88,'Données projet'!$B$88,BD49+BC50-BL49)))</f>
        <v>273.60384617499989</v>
      </c>
      <c r="BE50" s="13">
        <f>BD50*VLOOKUP('Données projet'!$B$11,Paramètres!$A$1:$I$89,3,0)*VLOOKUP('Données projet'!$B$11,Paramètres!$A$1:$I$89,5,0)</f>
        <v>163.61510001264995</v>
      </c>
      <c r="BF50" s="13">
        <f t="shared" si="37"/>
        <v>41.656847975137872</v>
      </c>
      <c r="BG50" s="20">
        <f t="shared" si="7"/>
        <v>357.5153094120638</v>
      </c>
      <c r="BH50" s="59">
        <f t="shared" si="8"/>
        <v>650.84864274539711</v>
      </c>
      <c r="BI50" s="59">
        <f ca="1">AVERAGE(OFFSET($BH$3,0,0,'Données projet'!$E$11+1,1))-AVERAGE(OFFSET($H$3,0,0,'Données projet'!$E$11+1,1))</f>
        <v>199.27781324660782</v>
      </c>
      <c r="BJ50" s="59">
        <f t="shared" si="38"/>
        <v>199.82499536488524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36.494410442063327</v>
      </c>
      <c r="BQ50" s="21">
        <f>EXP(-LN(2)/25)*BQ49+(1-EXP(-LN(2)/25))/(LN(2)/25)*Calculateur!BL50*Calculateur!BN50*VLOOKUP('Données projet'!$B$11,Paramètres!$A$1:$I$89,3,0)*0.475*44/12</f>
        <v>17.334285807193908</v>
      </c>
      <c r="BR50" s="21">
        <f>EXP(-LN(2)/2)*BR49+(1-EXP(-LN(2)/2))/(LN(2)/2)*BL50*BO50*VLOOKUP('Données projet'!$B$11,Paramètres!$A$1:$I$89,3,0)*0.475*44/12</f>
        <v>2.1755633741033669</v>
      </c>
      <c r="BS50" s="22">
        <f t="shared" si="9"/>
        <v>56.004259623360603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11.642307692307696</v>
      </c>
      <c r="BY50" s="12">
        <f>IF('Données projet'!$A$114&gt;35,BY49+BX50-CG49,IF(A50&lt;'Données projet'!$A$114,$BV$205^A50,IF(A50='Données projet'!$A$114,'Données projet'!$B$114,BY49+BX50-CG49)))</f>
        <v>273.60384615384601</v>
      </c>
      <c r="BZ50" s="13">
        <f>BY50*VLOOKUP('Données projet'!$B$12,Paramètres!$A$1:$I$89,3,0)*VLOOKUP('Données projet'!$B$12,Paramètres!$A$1:$I$89,5,0)</f>
        <v>163.61509999999993</v>
      </c>
      <c r="CA50" s="13">
        <f t="shared" si="39"/>
        <v>41.656847972292042</v>
      </c>
      <c r="CB50" s="20">
        <f t="shared" si="10"/>
        <v>357.51530938507517</v>
      </c>
      <c r="CC50" s="59">
        <f t="shared" si="11"/>
        <v>650.84864271840843</v>
      </c>
      <c r="CD50" s="59">
        <f ca="1">AVERAGE(OFFSET($CC$3,0,0,'Données projet'!$E$12+1,1))-AVERAGE(OFFSET($H$3,0,0,'Données projet'!$E$12+1,1))</f>
        <v>199.27781323742636</v>
      </c>
      <c r="CE50" s="59">
        <f t="shared" si="40"/>
        <v>199.82499536063892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36.494410442111757</v>
      </c>
      <c r="CL50" s="21">
        <f>EXP(-LN(2)/25)*CL49+(1-EXP(-LN(2)/25))/(LN(2)/25)*Calculateur!CG50*Calculateur!CI50*VLOOKUP('Données projet'!$B$12,Paramètres!$A$1:$I$89,3,0)*0.475*44/12</f>
        <v>17.300446020528025</v>
      </c>
      <c r="CM50" s="21">
        <f>EXP(-LN(2)/2)*CM49+(1-EXP(-LN(2)/2))/(LN(2)/2)*CG50*CJ50*VLOOKUP('Données projet'!$B$12,Paramètres!$A$1:$I$89,3,0)*0.475*44/12</f>
        <v>2.177495003674744</v>
      </c>
      <c r="CN50" s="22">
        <f t="shared" si="12"/>
        <v>55.972351466314528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11.861538461538462</v>
      </c>
      <c r="CT50" s="12">
        <f>IF('Données projet'!$A$140&gt;35,CT49+CS50-DB49,IF(A50&lt;'Données projet'!$A$140,$CQ$205^A50,IF(A50='Données projet'!$A$140,'Données projet'!$B$140,CT49+CS50-DB49)))</f>
        <v>255.49999999999997</v>
      </c>
      <c r="CU50" s="17">
        <f>CT50*VLOOKUP('Données projet'!$B$13,Paramètres!$A$1:$I$89,3,0)*VLOOKUP('Données projet'!$B$13,Paramètres!$A$1:$I$89,5,0)</f>
        <v>152.78899999999999</v>
      </c>
      <c r="CV50" s="13">
        <f t="shared" si="41"/>
        <v>39.211714711932316</v>
      </c>
      <c r="CW50" s="20">
        <f t="shared" si="13"/>
        <v>334.40124478994869</v>
      </c>
      <c r="CX50" s="59">
        <f t="shared" si="14"/>
        <v>627.73457812328206</v>
      </c>
      <c r="CY50" s="59">
        <f ca="1">AVERAGE(OFFSET($CX$3,0,0,'Données projet'!$E$13+1,1))-AVERAGE(OFFSET($H$3,0,0,'Données projet'!$E$13+1,1))</f>
        <v>213.18424462765137</v>
      </c>
      <c r="CZ50" s="59">
        <f t="shared" si="42"/>
        <v>158.77848520346532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26.947852890911737</v>
      </c>
      <c r="DG50" s="21">
        <f>EXP(-LN(2)/25)*DG49+(1-EXP(-LN(2)/25))/(LN(2)/25)*Calculateur!DB50*Calculateur!DD50*VLOOKUP('Données projet'!$B$13,Paramètres!$A$1:$I$89,3,0)*0.475*44/12</f>
        <v>11.140992250400137</v>
      </c>
      <c r="DH50" s="21">
        <f>EXP(-LN(2)/2)*DH49+(1-EXP(-LN(2)/2))/(LN(2)/2)*DB50*DE50*VLOOKUP('Données projet'!$B$13,Paramètres!$A$1:$I$89,3,0)*0.475*44/12</f>
        <v>0.68914070947945472</v>
      </c>
      <c r="DI50" s="22">
        <f t="shared" si="15"/>
        <v>38.777985850791325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11.443589743589744</v>
      </c>
      <c r="N51" s="13">
        <f>IF('Données projet'!$A$36&gt;35,N50+M51-V50,IF(A51&lt;'Données projet'!$A$36,$K$205^A51,IF(A51='Données projet'!$A$36,'Données projet'!$B$36,N50+M51-V50)))</f>
        <v>353.23846153846171</v>
      </c>
      <c r="O51" s="13">
        <f>N51*VLOOKUP('Données projet'!$B$9,Paramètres!$A$1:$I$89,3,0)*VLOOKUP('Données projet'!$B$9,Paramètres!$A$1:$I$89,5,0)</f>
        <v>165.31560000000007</v>
      </c>
      <c r="P51" s="13">
        <f t="shared" si="33"/>
        <v>42.039173765288623</v>
      </c>
      <c r="Q51" s="20">
        <f t="shared" si="53"/>
        <v>361.14289764121116</v>
      </c>
      <c r="R51" s="59">
        <f t="shared" si="0"/>
        <v>654.47623097454448</v>
      </c>
      <c r="S51" s="59">
        <f ca="1">AVERAGE(OFFSET($R$3,0,0,'Données projet'!$E$9+1,1))-AVERAGE(OFFSET($H$3,0,0,'Données projet'!$E$9+1,1))</f>
        <v>181.79645720099597</v>
      </c>
      <c r="T51" s="59">
        <f t="shared" si="34"/>
        <v>120.20040029102233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17.518791252857138</v>
      </c>
      <c r="AI51" s="13">
        <f>IF('Données projet'!$A$62&gt;35,AI50+AH51-AQ50,IF(A51&lt;'Données projet'!$A$62,$AF$205^A51,IF(A51='Données projet'!$A$62,'Données projet'!$B$62,AI50+AH51-AQ50)))</f>
        <v>387.04351674714269</v>
      </c>
      <c r="AJ51" s="13">
        <f>AI51*VLOOKUP('Données projet'!$B$10,Paramètres!$A$1:$I$89,3,0)*VLOOKUP('Données projet'!$B$10,Paramètres!$A$1:$I$89,5,0)</f>
        <v>216.35732586165278</v>
      </c>
      <c r="AK51" s="13">
        <f t="shared" si="35"/>
        <v>53.32240081120468</v>
      </c>
      <c r="AL51" s="20">
        <f t="shared" si="4"/>
        <v>469.69219062189342</v>
      </c>
      <c r="AM51" s="59">
        <f t="shared" si="5"/>
        <v>763.02552395522673</v>
      </c>
      <c r="AN51" s="59">
        <f ca="1">AVERAGE(OFFSET($AM$3,0,0,'Données projet'!$E$10+1,1))-AVERAGE(OFFSET($H$3,0,0,'Données projet'!$E$10+1,1))</f>
        <v>253.62342381933348</v>
      </c>
      <c r="AO51" s="59">
        <f t="shared" si="36"/>
        <v>230.93438491775407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36.00938688998135</v>
      </c>
      <c r="AV51" s="21">
        <f>EXP(-LN(2)/25)*AV50+(1-EXP(-LN(2)/25))/(LN(2)/25)*Calculateur!AQ51*Calculateur!AS51*VLOOKUP('Données projet'!$B$10,Paramètres!$A$1:$I$89,3,0)*0.475*44/12</f>
        <v>22.076631269877684</v>
      </c>
      <c r="AW51" s="21">
        <f>EXP(-LN(2)/2)*AW50+(1-EXP(-LN(2)/2))/(LN(2)/2)*AQ51*AT51*VLOOKUP('Données projet'!$B$10,Paramètres!$A$1:$I$89,3,0)*0.475*44/12</f>
        <v>0.92347854651808081</v>
      </c>
      <c r="AX51" s="21">
        <f t="shared" si="6"/>
        <v>59.009496706377121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11.642307685000006</v>
      </c>
      <c r="BD51" s="12">
        <f>IF('Données projet'!$A$88&gt;35,BD50+BC51-BL50,IF(A51&lt;'Données projet'!$A$88,$BA$205^A51,IF(A51='Données projet'!$A$88,'Données projet'!$B$88,BD50+BC51-BL50)))</f>
        <v>285.24615385999988</v>
      </c>
      <c r="BE51" s="13">
        <f>BD51*VLOOKUP('Données projet'!$B$11,Paramètres!$A$1:$I$89,3,0)*VLOOKUP('Données projet'!$B$11,Paramètres!$A$1:$I$89,5,0)</f>
        <v>170.57720000827996</v>
      </c>
      <c r="BF51" s="13">
        <f t="shared" si="37"/>
        <v>43.219271673198911</v>
      </c>
      <c r="BG51" s="20">
        <f t="shared" si="7"/>
        <v>372.36218817857565</v>
      </c>
      <c r="BH51" s="59">
        <f t="shared" si="8"/>
        <v>665.69552151190896</v>
      </c>
      <c r="BI51" s="59">
        <f ca="1">AVERAGE(OFFSET($BH$3,0,0,'Données projet'!$E$11+1,1))-AVERAGE(OFFSET($H$3,0,0,'Données projet'!$E$11+1,1))</f>
        <v>199.27781324660782</v>
      </c>
      <c r="BJ51" s="59">
        <f t="shared" si="38"/>
        <v>199.82499536488524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35.778777312686906</v>
      </c>
      <c r="BQ51" s="21">
        <f>EXP(-LN(2)/25)*BQ50+(1-EXP(-LN(2)/25))/(LN(2)/25)*Calculateur!BL51*Calculateur!BN51*VLOOKUP('Données projet'!$B$11,Paramètres!$A$1:$I$89,3,0)*0.475*44/12</f>
        <v>16.860278850225718</v>
      </c>
      <c r="BR51" s="21">
        <f>EXP(-LN(2)/2)*BR50+(1-EXP(-LN(2)/2))/(LN(2)/2)*BL51*BO51*VLOOKUP('Données projet'!$B$11,Paramètres!$A$1:$I$89,3,0)*0.475*44/12</f>
        <v>1.5383556147295765</v>
      </c>
      <c r="BS51" s="22">
        <f t="shared" si="9"/>
        <v>54.177411777642199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11.642307692307696</v>
      </c>
      <c r="BY51" s="12">
        <f>IF('Données projet'!$A$114&gt;35,BY50+BX51-CG50,IF(A51&lt;'Données projet'!$A$114,$BV$205^A51,IF(A51='Données projet'!$A$114,'Données projet'!$B$114,BY50+BX51-CG50)))</f>
        <v>285.24615384615367</v>
      </c>
      <c r="BZ51" s="13">
        <f>BY51*VLOOKUP('Données projet'!$B$12,Paramètres!$A$1:$I$89,3,0)*VLOOKUP('Données projet'!$B$12,Paramètres!$A$1:$I$89,5,0)</f>
        <v>170.57719999999992</v>
      </c>
      <c r="CA51" s="13">
        <f t="shared" si="39"/>
        <v>43.219271671345155</v>
      </c>
      <c r="CB51" s="20">
        <f t="shared" si="10"/>
        <v>372.362188160926</v>
      </c>
      <c r="CC51" s="59">
        <f t="shared" si="11"/>
        <v>665.69552149425931</v>
      </c>
      <c r="CD51" s="59">
        <f ca="1">AVERAGE(OFFSET($CC$3,0,0,'Données projet'!$E$12+1,1))-AVERAGE(OFFSET($H$3,0,0,'Données projet'!$E$12+1,1))</f>
        <v>199.27781323742636</v>
      </c>
      <c r="CE51" s="59">
        <f t="shared" si="40"/>
        <v>199.82499536063892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35.778777312734384</v>
      </c>
      <c r="CL51" s="21">
        <f>EXP(-LN(2)/25)*CL50+(1-EXP(-LN(2)/25))/(LN(2)/25)*Calculateur!CG51*Calculateur!CI51*VLOOKUP('Données projet'!$B$12,Paramètres!$A$1:$I$89,3,0)*0.475*44/12</f>
        <v>16.827364414305769</v>
      </c>
      <c r="CM51" s="21">
        <f>EXP(-LN(2)/2)*CM50+(1-EXP(-LN(2)/2))/(LN(2)/2)*CG51*CJ51*VLOOKUP('Données projet'!$B$12,Paramètres!$A$1:$I$89,3,0)*0.475*44/12</f>
        <v>1.5397214830982378</v>
      </c>
      <c r="CN51" s="22">
        <f t="shared" si="12"/>
        <v>54.145863210138394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11.861538461538462</v>
      </c>
      <c r="CT51" s="12">
        <f>IF('Données projet'!$A$140&gt;35,CT50+CS51-DB50,IF(A51&lt;'Données projet'!$A$140,$CQ$205^A51,IF(A51='Données projet'!$A$140,'Données projet'!$B$140,CT50+CS51-DB50)))</f>
        <v>267.36153846153843</v>
      </c>
      <c r="CU51" s="17">
        <f>CT51*VLOOKUP('Données projet'!$B$13,Paramètres!$A$1:$I$89,3,0)*VLOOKUP('Données projet'!$B$13,Paramètres!$A$1:$I$89,5,0)</f>
        <v>159.88219999999998</v>
      </c>
      <c r="CV51" s="13">
        <f t="shared" si="41"/>
        <v>40.815944149041762</v>
      </c>
      <c r="CW51" s="20">
        <f t="shared" si="13"/>
        <v>349.54926772624771</v>
      </c>
      <c r="CX51" s="59">
        <f t="shared" si="14"/>
        <v>642.88260105958102</v>
      </c>
      <c r="CY51" s="59">
        <f ca="1">AVERAGE(OFFSET($CX$3,0,0,'Données projet'!$E$13+1,1))-AVERAGE(OFFSET($H$3,0,0,'Données projet'!$E$13+1,1))</f>
        <v>213.18424462765137</v>
      </c>
      <c r="CZ51" s="59">
        <f t="shared" si="42"/>
        <v>158.77848520346532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26.419421932288245</v>
      </c>
      <c r="DG51" s="21">
        <f>EXP(-LN(2)/25)*DG50+(1-EXP(-LN(2)/25))/(LN(2)/25)*Calculateur!DB51*Calculateur!DD51*VLOOKUP('Données projet'!$B$13,Paramètres!$A$1:$I$89,3,0)*0.475*44/12</f>
        <v>10.836341231433625</v>
      </c>
      <c r="DH51" s="21">
        <f>EXP(-LN(2)/2)*DH50+(1-EXP(-LN(2)/2))/(LN(2)/2)*DB51*DE51*VLOOKUP('Données projet'!$B$13,Paramètres!$A$1:$I$89,3,0)*0.475*44/12</f>
        <v>0.48729606886463095</v>
      </c>
      <c r="DI51" s="22">
        <f t="shared" si="15"/>
        <v>37.743059232586496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11.443589743589744</v>
      </c>
      <c r="N52" s="13">
        <f>IF('Données projet'!$A$36&gt;35,N51+M52-V51,IF(A52&lt;'Données projet'!$A$36,$K$205^A52,IF(A52='Données projet'!$A$36,'Données projet'!$B$36,N51+M52-V51)))</f>
        <v>364.68205128205148</v>
      </c>
      <c r="O52" s="13">
        <f>N52*VLOOKUP('Données projet'!$B$9,Paramètres!$A$1:$I$89,3,0)*VLOOKUP('Données projet'!$B$9,Paramètres!$A$1:$I$89,5,0)</f>
        <v>170.67120000000008</v>
      </c>
      <c r="P52" s="13">
        <f t="shared" si="33"/>
        <v>43.240315564943899</v>
      </c>
      <c r="Q52" s="20">
        <f t="shared" si="53"/>
        <v>372.56255627561069</v>
      </c>
      <c r="R52" s="59">
        <f t="shared" si="0"/>
        <v>665.895889608944</v>
      </c>
      <c r="S52" s="59">
        <f ca="1">AVERAGE(OFFSET($R$3,0,0,'Données projet'!$E$9+1,1))-AVERAGE(OFFSET($H$3,0,0,'Données projet'!$E$9+1,1))</f>
        <v>181.79645720099597</v>
      </c>
      <c r="T52" s="59">
        <f t="shared" si="34"/>
        <v>120.20040029102233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404.56230799999997</v>
      </c>
      <c r="AG52" s="12">
        <f>VLOOKUP(A52,'Données projet'!$A$61:$I$81,9,0)</f>
        <v>17.518791252857138</v>
      </c>
      <c r="AH52" s="12">
        <f t="array" ref="AH52">INDEX(AG:AG,MIN(IF(ISNUMBER(AG52:AG248),ROW(AG52:AG248),"")))</f>
        <v>17.518791252857138</v>
      </c>
      <c r="AI52" s="13">
        <f>IF('Données projet'!$A$62&gt;35,AI51+AH52-AQ51,IF(A52&lt;'Données projet'!$A$62,$AF$205^A52,IF(A52='Données projet'!$A$62,'Données projet'!$B$62,AI51+AH52-AQ51)))</f>
        <v>404.5623079999998</v>
      </c>
      <c r="AJ52" s="13">
        <f>AI52*VLOOKUP('Données projet'!$B$10,Paramètres!$A$1:$I$89,3,0)*VLOOKUP('Données projet'!$B$10,Paramètres!$A$1:$I$89,5,0)</f>
        <v>226.15033017199991</v>
      </c>
      <c r="AK52" s="13">
        <f t="shared" si="35"/>
        <v>55.449476955350846</v>
      </c>
      <c r="AL52" s="20">
        <f t="shared" si="4"/>
        <v>490.45299741346918</v>
      </c>
      <c r="AM52" s="59">
        <f t="shared" si="5"/>
        <v>783.78633074680249</v>
      </c>
      <c r="AN52" s="59">
        <f ca="1">AVERAGE(OFFSET($AM$3,0,0,'Données projet'!$E$10+1,1))-AVERAGE(OFFSET($H$3,0,0,'Données projet'!$E$10+1,1))</f>
        <v>253.62342381933348</v>
      </c>
      <c r="AO52" s="59">
        <f t="shared" si="36"/>
        <v>230.93438491775407</v>
      </c>
      <c r="AP52" s="15">
        <f>IF(ISNA(VLOOKUP(A52,'Données projet'!$A$61:$I$81,3,0)),0,VLOOKUP(A52,'Données projet'!$A$61:$I$81,3,0))</f>
        <v>5</v>
      </c>
      <c r="AQ52" s="15">
        <f>IF(ISNA(VLOOKUP(A52,'Données projet'!$A$61:$I$81,4,0)),0,VLOOKUP(A52,'Données projet'!$A$61:$I$81,4,0))</f>
        <v>90.453846150000004</v>
      </c>
      <c r="AR52" s="16">
        <f>IF(ISNA(VLOOKUP(A52,'Données projet'!$A$61:$I$81,5,0)),0%,VLOOKUP(A52,'Données projet'!$A$61:$I$81,5,0)*VLOOKUP('Données projet'!$B$10,Paramètres!$A$1:$I$89,7,0))</f>
        <v>0.38500000000000001</v>
      </c>
      <c r="AS52" s="16">
        <f>IF(ISNA(VLOOKUP(A52,'Données projet'!$A$61:$I$81,6,0)),0%,VLOOKUP(A52,'Données projet'!$A$61:$I$81,6,0)*VLOOKUP('Données projet'!$B$10,Paramètres!$A$1:$I$89,7,0))</f>
        <v>9.240000000000001E-2</v>
      </c>
      <c r="AT52" s="16">
        <f>IF(ISNA(VLOOKUP(A52,'Données projet'!$A$61:$I$81,7,0)),0%,VLOOKUP(A52,'Données projet'!$A$61:$I$81,7,0))</f>
        <v>0.13200000000000001</v>
      </c>
      <c r="AU52" s="21">
        <f>EXP(-LN(2)/35)*AU51+(1-EXP(-LN(2)/35))/(LN(2)/35)*AQ52*AR52*VLOOKUP('Données projet'!$B$10,Paramètres!$A$1:$I$89,3,0)*0.475*44/12</f>
        <v>61.127527530398723</v>
      </c>
      <c r="AV52" s="21">
        <f>EXP(-LN(2)/25)*AV51+(1-EXP(-LN(2)/25))/(LN(2)/25)*Calculateur!AQ52*Calculateur!AS52*VLOOKUP('Données projet'!$B$10,Paramètres!$A$1:$I$89,3,0)*0.475*44/12</f>
        <v>27.646364496802214</v>
      </c>
      <c r="AW52" s="21">
        <f>EXP(-LN(2)/2)*AW51+(1-EXP(-LN(2)/2))/(LN(2)/2)*AQ52*AT52*VLOOKUP('Données projet'!$B$10,Paramètres!$A$1:$I$89,3,0)*0.475*44/12</f>
        <v>8.2099786995638446</v>
      </c>
      <c r="AX52" s="21">
        <f t="shared" si="6"/>
        <v>96.983870726764778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11.642307685000006</v>
      </c>
      <c r="BD52" s="12">
        <f>IF('Données projet'!$A$88&gt;35,BD51+BC52-BL51,IF(A52&lt;'Données projet'!$A$88,$BA$205^A52,IF(A52='Données projet'!$A$88,'Données projet'!$B$88,BD51+BC52-BL51)))</f>
        <v>296.88846154499987</v>
      </c>
      <c r="BE52" s="13">
        <f>BD52*VLOOKUP('Données projet'!$B$11,Paramètres!$A$1:$I$89,3,0)*VLOOKUP('Données projet'!$B$11,Paramètres!$A$1:$I$89,5,0)</f>
        <v>177.53930000390994</v>
      </c>
      <c r="BF52" s="13">
        <f t="shared" si="37"/>
        <v>44.774287947173278</v>
      </c>
      <c r="BG52" s="20">
        <f t="shared" si="7"/>
        <v>387.19616568146989</v>
      </c>
      <c r="BH52" s="59">
        <f t="shared" si="8"/>
        <v>680.52949901480315</v>
      </c>
      <c r="BI52" s="59">
        <f ca="1">AVERAGE(OFFSET($BH$3,0,0,'Données projet'!$E$11+1,1))-AVERAGE(OFFSET($H$3,0,0,'Données projet'!$E$11+1,1))</f>
        <v>199.27781324660782</v>
      </c>
      <c r="BJ52" s="59">
        <f t="shared" si="38"/>
        <v>199.82499536488524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35.077177312484444</v>
      </c>
      <c r="BQ52" s="21">
        <f>EXP(-LN(2)/25)*BQ51+(1-EXP(-LN(2)/25))/(LN(2)/25)*Calculateur!BL52*Calculateur!BN52*VLOOKUP('Données projet'!$B$11,Paramètres!$A$1:$I$89,3,0)*0.475*44/12</f>
        <v>16.399233638422768</v>
      </c>
      <c r="BR52" s="21">
        <f>EXP(-LN(2)/2)*BR51+(1-EXP(-LN(2)/2))/(LN(2)/2)*BL52*BO52*VLOOKUP('Données projet'!$B$11,Paramètres!$A$1:$I$89,3,0)*0.475*44/12</f>
        <v>1.0877816870516834</v>
      </c>
      <c r="BS52" s="22">
        <f t="shared" si="9"/>
        <v>52.56419263795889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11.642307692307696</v>
      </c>
      <c r="BY52" s="12">
        <f>IF('Données projet'!$A$114&gt;35,BY51+BX52-CG51,IF(A52&lt;'Données projet'!$A$114,$BV$205^A52,IF(A52='Données projet'!$A$114,'Données projet'!$B$114,BY51+BX52-CG51)))</f>
        <v>296.88846153846134</v>
      </c>
      <c r="BZ52" s="13">
        <f>BY52*VLOOKUP('Données projet'!$B$12,Paramètres!$A$1:$I$89,3,0)*VLOOKUP('Données projet'!$B$12,Paramètres!$A$1:$I$89,5,0)</f>
        <v>177.53929999999991</v>
      </c>
      <c r="CA52" s="13">
        <f t="shared" si="39"/>
        <v>44.774287946301975</v>
      </c>
      <c r="CB52" s="20">
        <f t="shared" si="10"/>
        <v>387.1961656731425</v>
      </c>
      <c r="CC52" s="59">
        <f t="shared" si="11"/>
        <v>680.52949900647582</v>
      </c>
      <c r="CD52" s="59">
        <f ca="1">AVERAGE(OFFSET($CC$3,0,0,'Données projet'!$E$12+1,1))-AVERAGE(OFFSET($H$3,0,0,'Données projet'!$E$12+1,1))</f>
        <v>199.27781323742636</v>
      </c>
      <c r="CE52" s="59">
        <f t="shared" si="40"/>
        <v>199.82499536063892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35.077177312530992</v>
      </c>
      <c r="CL52" s="21">
        <f>EXP(-LN(2)/25)*CL51+(1-EXP(-LN(2)/25))/(LN(2)/25)*Calculateur!CG52*Calculateur!CI52*VLOOKUP('Données projet'!$B$12,Paramètres!$A$1:$I$89,3,0)*0.475*44/12</f>
        <v>16.367219249483941</v>
      </c>
      <c r="CM52" s="21">
        <f>EXP(-LN(2)/2)*CM51+(1-EXP(-LN(2)/2))/(LN(2)/2)*CG52*CJ52*VLOOKUP('Données projet'!$B$12,Paramètres!$A$1:$I$89,3,0)*0.475*44/12</f>
        <v>1.088747501837372</v>
      </c>
      <c r="CN52" s="22">
        <f t="shared" si="12"/>
        <v>52.533144063852305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11.861538461538462</v>
      </c>
      <c r="CT52" s="12">
        <f>IF('Données projet'!$A$140&gt;35,CT51+CS52-DB51,IF(A52&lt;'Données projet'!$A$140,$CQ$205^A52,IF(A52='Données projet'!$A$140,'Données projet'!$B$140,CT51+CS52-DB51)))</f>
        <v>279.22307692307692</v>
      </c>
      <c r="CU52" s="17">
        <f>CT52*VLOOKUP('Données projet'!$B$13,Paramètres!$A$1:$I$89,3,0)*VLOOKUP('Données projet'!$B$13,Paramètres!$A$1:$I$89,5,0)</f>
        <v>166.97540000000001</v>
      </c>
      <c r="CV52" s="13">
        <f t="shared" si="41"/>
        <v>42.411907667415186</v>
      </c>
      <c r="CW52" s="20">
        <f t="shared" si="13"/>
        <v>364.68289418741483</v>
      </c>
      <c r="CX52" s="59">
        <f t="shared" si="14"/>
        <v>658.01622752074809</v>
      </c>
      <c r="CY52" s="59">
        <f ca="1">AVERAGE(OFFSET($CX$3,0,0,'Données projet'!$E$13+1,1))-AVERAGE(OFFSET($H$3,0,0,'Données projet'!$E$13+1,1))</f>
        <v>213.18424462765137</v>
      </c>
      <c r="CZ52" s="59">
        <f t="shared" si="42"/>
        <v>158.77848520346532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25.901353182452301</v>
      </c>
      <c r="DG52" s="21">
        <f>EXP(-LN(2)/25)*DG51+(1-EXP(-LN(2)/25))/(LN(2)/25)*Calculateur!DB52*Calculateur!DD52*VLOOKUP('Données projet'!$B$13,Paramètres!$A$1:$I$89,3,0)*0.475*44/12</f>
        <v>10.540020910601655</v>
      </c>
      <c r="DH52" s="21">
        <f>EXP(-LN(2)/2)*DH51+(1-EXP(-LN(2)/2))/(LN(2)/2)*DB52*DE52*VLOOKUP('Données projet'!$B$13,Paramètres!$A$1:$I$89,3,0)*0.475*44/12</f>
        <v>0.34457035473972741</v>
      </c>
      <c r="DI52" s="22">
        <f t="shared" si="15"/>
        <v>36.785944447793682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11.443589743589744</v>
      </c>
      <c r="N53" s="13">
        <f>IF('Données projet'!$A$36&gt;35,N52+M53-V52,IF(A53&lt;'Données projet'!$A$36,$K$205^A53,IF(A53='Données projet'!$A$36,'Données projet'!$B$36,N52+M53-V52)))</f>
        <v>376.12564102564124</v>
      </c>
      <c r="O53" s="13">
        <f>N53*VLOOKUP('Données projet'!$B$9,Paramètres!$A$1:$I$89,3,0)*VLOOKUP('Données projet'!$B$9,Paramètres!$A$1:$I$89,5,0)</f>
        <v>176.02680000000012</v>
      </c>
      <c r="P53" s="13">
        <f t="shared" si="33"/>
        <v>44.437077329889675</v>
      </c>
      <c r="Q53" s="20">
        <f t="shared" si="53"/>
        <v>383.97458634955802</v>
      </c>
      <c r="R53" s="59">
        <f t="shared" si="0"/>
        <v>677.30791968289134</v>
      </c>
      <c r="S53" s="59">
        <f ca="1">AVERAGE(OFFSET($R$3,0,0,'Données projet'!$E$9+1,1))-AVERAGE(OFFSET($H$3,0,0,'Données projet'!$E$9+1,1))</f>
        <v>181.79645720099597</v>
      </c>
      <c r="T53" s="59">
        <f t="shared" si="34"/>
        <v>120.20040029102233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16.22846149285715</v>
      </c>
      <c r="AI53" s="13">
        <f>IF('Données projet'!$A$62&gt;35,AI52+AH53-AQ52,IF(A53&lt;'Données projet'!$A$62,$AF$205^A53,IF(A53='Données projet'!$A$62,'Données projet'!$B$62,AI52+AH53-AQ52)))</f>
        <v>330.33692334285695</v>
      </c>
      <c r="AJ53" s="13">
        <f>AI53*VLOOKUP('Données projet'!$B$10,Paramètres!$A$1:$I$89,3,0)*VLOOKUP('Données projet'!$B$10,Paramètres!$A$1:$I$89,5,0)</f>
        <v>184.65834014865703</v>
      </c>
      <c r="AK53" s="13">
        <f t="shared" si="35"/>
        <v>46.35703484140344</v>
      </c>
      <c r="AL53" s="20">
        <f t="shared" si="4"/>
        <v>402.35177810768869</v>
      </c>
      <c r="AM53" s="59">
        <f t="shared" si="5"/>
        <v>695.68511144102195</v>
      </c>
      <c r="AN53" s="59">
        <f ca="1">AVERAGE(OFFSET($AM$3,0,0,'Données projet'!$E$10+1,1))-AVERAGE(OFFSET($H$3,0,0,'Données projet'!$E$10+1,1))</f>
        <v>253.62342381933348</v>
      </c>
      <c r="AO53" s="59">
        <f t="shared" si="36"/>
        <v>230.93438491775407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59.928853999637894</v>
      </c>
      <c r="AV53" s="21">
        <f>EXP(-LN(2)/25)*AV52+(1-EXP(-LN(2)/25))/(LN(2)/25)*Calculateur!AQ53*Calculateur!AS53*VLOOKUP('Données projet'!$B$10,Paramètres!$A$1:$I$89,3,0)*0.475*44/12</f>
        <v>26.890373205778037</v>
      </c>
      <c r="AW53" s="21">
        <f>EXP(-LN(2)/2)*AW52+(1-EXP(-LN(2)/2))/(LN(2)/2)*AQ53*AT53*VLOOKUP('Données projet'!$B$10,Paramètres!$A$1:$I$89,3,0)*0.475*44/12</f>
        <v>5.8053316118587075</v>
      </c>
      <c r="AX53" s="21">
        <f t="shared" si="6"/>
        <v>92.624558817274632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11.642307685000006</v>
      </c>
      <c r="BD53" s="12">
        <f>IF('Données projet'!$A$88&gt;35,BD52+BC53-BL52,IF(A53&lt;'Données projet'!$A$88,$BA$205^A53,IF(A53='Données projet'!$A$88,'Données projet'!$B$88,BD52+BC53-BL52)))</f>
        <v>308.53076922999986</v>
      </c>
      <c r="BE53" s="13">
        <f>BD53*VLOOKUP('Données projet'!$B$11,Paramètres!$A$1:$I$89,3,0)*VLOOKUP('Données projet'!$B$11,Paramètres!$A$1:$I$89,5,0)</f>
        <v>184.50139999953993</v>
      </c>
      <c r="BF53" s="13">
        <f t="shared" si="37"/>
        <v>46.322220516504473</v>
      </c>
      <c r="BG53" s="20">
        <f t="shared" si="7"/>
        <v>402.01780573211067</v>
      </c>
      <c r="BH53" s="59">
        <f t="shared" si="8"/>
        <v>695.35113906544393</v>
      </c>
      <c r="BI53" s="59">
        <f ca="1">AVERAGE(OFFSET($BH$3,0,0,'Données projet'!$E$11+1,1))-AVERAGE(OFFSET($H$3,0,0,'Données projet'!$E$11+1,1))</f>
        <v>199.27781324660782</v>
      </c>
      <c r="BJ53" s="59">
        <f t="shared" si="38"/>
        <v>199.82499536488524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34.389335260352205</v>
      </c>
      <c r="BQ53" s="21">
        <f>EXP(-LN(2)/25)*BQ52+(1-EXP(-LN(2)/25))/(LN(2)/25)*Calculateur!BL53*Calculateur!BN53*VLOOKUP('Données projet'!$B$11,Paramètres!$A$1:$I$89,3,0)*0.475*44/12</f>
        <v>15.950795732181881</v>
      </c>
      <c r="BR53" s="21">
        <f>EXP(-LN(2)/2)*BR52+(1-EXP(-LN(2)/2))/(LN(2)/2)*BL53*BO53*VLOOKUP('Données projet'!$B$11,Paramètres!$A$1:$I$89,3,0)*0.475*44/12</f>
        <v>0.76917780736478825</v>
      </c>
      <c r="BS53" s="22">
        <f t="shared" si="9"/>
        <v>51.109308799898876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11.642307692307696</v>
      </c>
      <c r="BY53" s="12">
        <f>IF('Données projet'!$A$114&gt;35,BY52+BX53-CG52,IF(A53&lt;'Données projet'!$A$114,$BV$205^A53,IF(A53='Données projet'!$A$114,'Données projet'!$B$114,BY52+BX53-CG52)))</f>
        <v>308.53076923076901</v>
      </c>
      <c r="BZ53" s="13">
        <f>BY53*VLOOKUP('Données projet'!$B$12,Paramètres!$A$1:$I$89,3,0)*VLOOKUP('Données projet'!$B$12,Paramètres!$A$1:$I$89,5,0)</f>
        <v>184.5013999999999</v>
      </c>
      <c r="CA53" s="13">
        <f t="shared" si="39"/>
        <v>46.322220516606542</v>
      </c>
      <c r="CB53" s="20">
        <f t="shared" si="10"/>
        <v>402.01780573308952</v>
      </c>
      <c r="CC53" s="59">
        <f t="shared" si="11"/>
        <v>695.35113906642277</v>
      </c>
      <c r="CD53" s="59">
        <f ca="1">AVERAGE(OFFSET($CC$3,0,0,'Données projet'!$E$12+1,1))-AVERAGE(OFFSET($H$3,0,0,'Données projet'!$E$12+1,1))</f>
        <v>199.27781323742636</v>
      </c>
      <c r="CE53" s="59">
        <f t="shared" si="40"/>
        <v>199.82499536063892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34.389335260397843</v>
      </c>
      <c r="CL53" s="21">
        <f>EXP(-LN(2)/25)*CL52+(1-EXP(-LN(2)/25))/(LN(2)/25)*Calculateur!CG53*Calculateur!CI53*VLOOKUP('Données projet'!$B$12,Paramètres!$A$1:$I$89,3,0)*0.475*44/12</f>
        <v>15.919656778392151</v>
      </c>
      <c r="CM53" s="21">
        <f>EXP(-LN(2)/2)*CM52+(1-EXP(-LN(2)/2))/(LN(2)/2)*CG53*CJ53*VLOOKUP('Données projet'!$B$12,Paramètres!$A$1:$I$89,3,0)*0.475*44/12</f>
        <v>0.76986074154911888</v>
      </c>
      <c r="CN53" s="22">
        <f t="shared" si="12"/>
        <v>51.078852780339112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291.08461538461535</v>
      </c>
      <c r="CR53" s="12">
        <f>VLOOKUP(A53,'Données projet'!$A$139:$I$159,9,0)</f>
        <v>11.861538461538462</v>
      </c>
      <c r="CS53" s="12">
        <f t="array" ref="CS53">INDEX(CR:CR,MIN(IF(ISNUMBER(CR53:CR249),ROW(CR53:CR249),"")))</f>
        <v>11.861538461538462</v>
      </c>
      <c r="CT53" s="12">
        <f>IF('Données projet'!$A$140&gt;35,CT52+CS53-DB52,IF(A53&lt;'Données projet'!$A$140,$CQ$205^A53,IF(A53='Données projet'!$A$140,'Données projet'!$B$140,CT52+CS53-DB52)))</f>
        <v>291.0846153846154</v>
      </c>
      <c r="CU53" s="17">
        <f>CT53*VLOOKUP('Données projet'!$B$13,Paramètres!$A$1:$I$89,3,0)*VLOOKUP('Données projet'!$B$13,Paramètres!$A$1:$I$89,5,0)</f>
        <v>174.06860000000003</v>
      </c>
      <c r="CV53" s="13">
        <f t="shared" si="41"/>
        <v>43.999996552753835</v>
      </c>
      <c r="CW53" s="20">
        <f t="shared" si="13"/>
        <v>379.80280566271296</v>
      </c>
      <c r="CX53" s="59">
        <f t="shared" si="14"/>
        <v>673.13613899604627</v>
      </c>
      <c r="CY53" s="59">
        <f ca="1">AVERAGE(OFFSET($CX$3,0,0,'Données projet'!$E$13+1,1))-AVERAGE(OFFSET($H$3,0,0,'Données projet'!$E$13+1,1))</f>
        <v>213.18424462765137</v>
      </c>
      <c r="CZ53" s="59">
        <f t="shared" si="42"/>
        <v>158.77848520346532</v>
      </c>
      <c r="DA53" s="15">
        <f>IF(ISNA(VLOOKUP(A53,'Données projet'!$A$139:$I$159,3,0)),0,VLOOKUP(A53,'Données projet'!$A$139:$I$159,3,0))</f>
        <v>5</v>
      </c>
      <c r="DB53" s="15">
        <f>IF(ISNA(VLOOKUP(A53,'Données projet'!$A$139:$I$159,4,0)),0,VLOOKUP(A53,'Données projet'!$A$139:$I$159,4,0))</f>
        <v>55.292307692307688</v>
      </c>
      <c r="DC53" s="16">
        <f>IF(ISNA(VLOOKUP(A53,'Données projet'!$A$139:$I$159,5,0)),0%,VLOOKUP(A53,'Données projet'!$A$139:$I$159,5,0)*VLOOKUP('Données projet'!$B$13,Paramètres!$A$1:$I$89,7,0))</f>
        <v>0.315</v>
      </c>
      <c r="DD53" s="16">
        <f>IF(ISNA(VLOOKUP(A53,'Données projet'!$A$139:$I$159,6,0)),0%,VLOOKUP(A53,'Données projet'!$A$139:$I$159,6,0)*VLOOKUP('Données projet'!$B$13,Paramètres!$A$1:$I$89,7,0))</f>
        <v>7.5600000000000001E-2</v>
      </c>
      <c r="DE53" s="16">
        <f>IF(ISNA(VLOOKUP(A53,'Données projet'!$A$139:$I$159,7,0)),0%,VLOOKUP(A53,'Données projet'!$A$139:$I$159,7,0))</f>
        <v>0.13200000000000001</v>
      </c>
      <c r="DF53" s="21">
        <f>EXP(-LN(2)/35)*DF52+(1-EXP(-LN(2)/35))/(LN(2)/35)*DB53*DC53*VLOOKUP('Données projet'!$B$13,Paramètres!$A$1:$I$89,3,0)*0.475*44/12</f>
        <v>39.210158792768354</v>
      </c>
      <c r="DG53" s="21">
        <f>EXP(-LN(2)/25)*DG52+(1-EXP(-LN(2)/25))/(LN(2)/25)*Calculateur!DB53*Calculateur!DD53*VLOOKUP('Données projet'!$B$13,Paramètres!$A$1:$I$89,3,0)*0.475*44/12</f>
        <v>13.554758766538184</v>
      </c>
      <c r="DH53" s="21">
        <f>EXP(-LN(2)/2)*DH52+(1-EXP(-LN(2)/2))/(LN(2)/2)*DB53*DE53*VLOOKUP('Données projet'!$B$13,Paramètres!$A$1:$I$89,3,0)*0.475*44/12</f>
        <v>5.1853365846377217</v>
      </c>
      <c r="DI53" s="22">
        <f t="shared" si="15"/>
        <v>57.950254143944264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387.56923076923078</v>
      </c>
      <c r="L54" s="12">
        <f>VLOOKUP(A54,'Données projet'!$A$35:$I$55,9,0)</f>
        <v>11.443589743589744</v>
      </c>
      <c r="M54" s="12">
        <f t="array" ref="M54">INDEX(L:L,MIN(IF(ISNUMBER(L54:L250),ROW(L54:L250),"")))</f>
        <v>11.443589743589744</v>
      </c>
      <c r="N54" s="13">
        <f>IF('Données projet'!$A$36&gt;35,N53+M54-V53,IF(A54&lt;'Données projet'!$A$36,$K$205^A54,IF(A54='Données projet'!$A$36,'Données projet'!$B$36,N53+M54-V53)))</f>
        <v>387.56923076923101</v>
      </c>
      <c r="O54" s="13">
        <f>N54*VLOOKUP('Données projet'!$B$9,Paramètres!$A$1:$I$89,3,0)*VLOOKUP('Données projet'!$B$9,Paramètres!$A$1:$I$89,5,0)</f>
        <v>181.3824000000001</v>
      </c>
      <c r="P54" s="13">
        <f t="shared" si="33"/>
        <v>45.629607617375228</v>
      </c>
      <c r="Q54" s="20">
        <f t="shared" si="53"/>
        <v>395.37924660026198</v>
      </c>
      <c r="R54" s="59">
        <f t="shared" si="0"/>
        <v>688.71257993359529</v>
      </c>
      <c r="S54" s="59">
        <f ca="1">AVERAGE(OFFSET($R$3,0,0,'Données projet'!$E$9+1,1))-AVERAGE(OFFSET($H$3,0,0,'Données projet'!$E$9+1,1))</f>
        <v>181.79645720099597</v>
      </c>
      <c r="T54" s="59">
        <f t="shared" si="34"/>
        <v>120.20040029102233</v>
      </c>
      <c r="U54" s="15">
        <f>IF(ISNA(VLOOKUP(A54,'Données projet'!$A$35:$I$55,3,0)),0,VLOOKUP(A54,'Données projet'!$A$35:$I$55,3,0))</f>
        <v>1</v>
      </c>
      <c r="V54" s="15">
        <f>IF(ISNA(VLOOKUP(A54,'Données projet'!$A$35:$I$55,4,0)),0,VLOOKUP(A54,'Données projet'!$A$35:$I$55,4,0))</f>
        <v>170.16153846153847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0.30800000000000005</v>
      </c>
      <c r="Y54" s="16">
        <f>IF(ISNA(VLOOKUP(A54,'Données projet'!$A$35:$I$55,7,0)),0%,VLOOKUP(A54,'Données projet'!$A$35:$I$55,7,0))</f>
        <v>0.44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32.409547786060251</v>
      </c>
      <c r="AB54" s="21">
        <f>EXP(-LN(2)/2)*AB53+(1-EXP(-LN(2)/2))/(LN(2)/2)*V54*Y54*VLOOKUP('Données projet'!$B$9,Paramètres!$A$1:$I$89,3,0)*0.475*44/12</f>
        <v>39.673039275275386</v>
      </c>
      <c r="AC54" s="22">
        <f t="shared" si="3"/>
        <v>72.08258706133563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16.22846149285715</v>
      </c>
      <c r="AI54" s="13">
        <f>IF('Données projet'!$A$62&gt;35,AI53+AH54-AQ53,IF(A54&lt;'Données projet'!$A$62,$AF$205^A54,IF(A54='Données projet'!$A$62,'Données projet'!$B$62,AI53+AH54-AQ53)))</f>
        <v>346.5653848357141</v>
      </c>
      <c r="AJ54" s="13">
        <f>AI54*VLOOKUP('Données projet'!$B$10,Paramètres!$A$1:$I$89,3,0)*VLOOKUP('Données projet'!$B$10,Paramètres!$A$1:$I$89,5,0)</f>
        <v>193.7300501231642</v>
      </c>
      <c r="AK54" s="13">
        <f t="shared" si="35"/>
        <v>48.363678550690942</v>
      </c>
      <c r="AL54" s="20">
        <f t="shared" si="4"/>
        <v>421.64657744029768</v>
      </c>
      <c r="AM54" s="59">
        <f t="shared" si="5"/>
        <v>714.97991077363099</v>
      </c>
      <c r="AN54" s="59">
        <f ca="1">AVERAGE(OFFSET($AM$3,0,0,'Données projet'!$E$10+1,1))-AVERAGE(OFFSET($H$3,0,0,'Données projet'!$E$10+1,1))</f>
        <v>253.62342381933348</v>
      </c>
      <c r="AO54" s="59">
        <f t="shared" si="36"/>
        <v>230.93438491775407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58.753685725696627</v>
      </c>
      <c r="AV54" s="21">
        <f>EXP(-LN(2)/25)*AV53+(1-EXP(-LN(2)/25))/(LN(2)/25)*Calculateur!AQ54*Calculateur!AS54*VLOOKUP('Données projet'!$B$10,Paramètres!$A$1:$I$89,3,0)*0.475*44/12</f>
        <v>26.155054536362769</v>
      </c>
      <c r="AW54" s="21">
        <f>EXP(-LN(2)/2)*AW53+(1-EXP(-LN(2)/2))/(LN(2)/2)*AQ54*AT54*VLOOKUP('Données projet'!$B$10,Paramètres!$A$1:$I$89,3,0)*0.475*44/12</f>
        <v>4.1049893497819223</v>
      </c>
      <c r="AX54" s="21">
        <f t="shared" si="6"/>
        <v>89.013729611841313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11.642307685000006</v>
      </c>
      <c r="BD54" s="12">
        <f>IF('Données projet'!$A$88&gt;35,BD53+BC54-BL53,IF(A54&lt;'Données projet'!$A$88,$BA$205^A54,IF(A54='Données projet'!$A$88,'Données projet'!$B$88,BD53+BC54-BL53)))</f>
        <v>320.17307691499985</v>
      </c>
      <c r="BE54" s="13">
        <f>BD54*VLOOKUP('Données projet'!$B$11,Paramètres!$A$1:$I$89,3,0)*VLOOKUP('Données projet'!$B$11,Paramètres!$A$1:$I$89,5,0)</f>
        <v>191.46349999516994</v>
      </c>
      <c r="BF54" s="13">
        <f t="shared" si="37"/>
        <v>47.863367285841179</v>
      </c>
      <c r="BG54" s="20">
        <f t="shared" si="7"/>
        <v>416.82762718109433</v>
      </c>
      <c r="BH54" s="59">
        <f t="shared" si="8"/>
        <v>710.16096051442764</v>
      </c>
      <c r="BI54" s="59">
        <f ca="1">AVERAGE(OFFSET($BH$3,0,0,'Données projet'!$E$11+1,1))-AVERAGE(OFFSET($H$3,0,0,'Données projet'!$E$11+1,1))</f>
        <v>199.27781324660782</v>
      </c>
      <c r="BJ54" s="59">
        <f t="shared" si="38"/>
        <v>199.82499536488524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33.714981371320057</v>
      </c>
      <c r="BQ54" s="21">
        <f>EXP(-LN(2)/25)*BQ53+(1-EXP(-LN(2)/25))/(LN(2)/25)*Calculateur!BL54*Calculateur!BN54*VLOOKUP('Données projet'!$B$11,Paramètres!$A$1:$I$89,3,0)*0.475*44/12</f>
        <v>15.514620384069476</v>
      </c>
      <c r="BR54" s="21">
        <f>EXP(-LN(2)/2)*BR53+(1-EXP(-LN(2)/2))/(LN(2)/2)*BL54*BO54*VLOOKUP('Données projet'!$B$11,Paramètres!$A$1:$I$89,3,0)*0.475*44/12</f>
        <v>0.54389084352584172</v>
      </c>
      <c r="BS54" s="22">
        <f t="shared" si="9"/>
        <v>49.773492598915375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11.642307692307696</v>
      </c>
      <c r="BY54" s="12">
        <f>IF('Données projet'!$A$114&gt;35,BY53+BX54-CG53,IF(A54&lt;'Données projet'!$A$114,$BV$205^A54,IF(A54='Données projet'!$A$114,'Données projet'!$B$114,BY53+BX54-CG53)))</f>
        <v>320.17307692307668</v>
      </c>
      <c r="BZ54" s="13">
        <f>BY54*VLOOKUP('Données projet'!$B$12,Paramètres!$A$1:$I$89,3,0)*VLOOKUP('Données projet'!$B$12,Paramètres!$A$1:$I$89,5,0)</f>
        <v>191.46349999999987</v>
      </c>
      <c r="CA54" s="13">
        <f t="shared" si="39"/>
        <v>47.863367286908087</v>
      </c>
      <c r="CB54" s="20">
        <f t="shared" si="10"/>
        <v>416.82762719136463</v>
      </c>
      <c r="CC54" s="59">
        <f t="shared" si="11"/>
        <v>710.16096052469788</v>
      </c>
      <c r="CD54" s="59">
        <f ca="1">AVERAGE(OFFSET($CC$3,0,0,'Données projet'!$E$12+1,1))-AVERAGE(OFFSET($H$3,0,0,'Données projet'!$E$12+1,1))</f>
        <v>199.27781323742636</v>
      </c>
      <c r="CE54" s="59">
        <f t="shared" si="40"/>
        <v>199.82499536063892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33.7149813713648</v>
      </c>
      <c r="CL54" s="21">
        <f>EXP(-LN(2)/25)*CL53+(1-EXP(-LN(2)/25))/(LN(2)/25)*Calculateur!CG54*Calculateur!CI54*VLOOKUP('Données projet'!$B$12,Paramètres!$A$1:$I$89,3,0)*0.475*44/12</f>
        <v>15.484332926608651</v>
      </c>
      <c r="CM54" s="21">
        <f>EXP(-LN(2)/2)*CM53+(1-EXP(-LN(2)/2))/(LN(2)/2)*CG54*CJ54*VLOOKUP('Données projet'!$B$12,Paramètres!$A$1:$I$89,3,0)*0.475*44/12</f>
        <v>0.54437375091868601</v>
      </c>
      <c r="CN54" s="22">
        <f t="shared" si="12"/>
        <v>49.743688048892139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10.663076923076932</v>
      </c>
      <c r="CT54" s="12">
        <f>IF('Données projet'!$A$140&gt;35,CT53+CS54-DB53,IF(A54&lt;'Données projet'!$A$140,$CQ$205^A54,IF(A54='Données projet'!$A$140,'Données projet'!$B$140,CT53+CS54-DB53)))</f>
        <v>246.45538461538462</v>
      </c>
      <c r="CU54" s="17">
        <f>CT54*VLOOKUP('Données projet'!$B$13,Paramètres!$A$1:$I$89,3,0)*VLOOKUP('Données projet'!$B$13,Paramètres!$A$1:$I$89,5,0)</f>
        <v>147.38032000000001</v>
      </c>
      <c r="CV54" s="13">
        <f t="shared" si="41"/>
        <v>37.982644854557613</v>
      </c>
      <c r="CW54" s="20">
        <f t="shared" si="13"/>
        <v>322.84049712168786</v>
      </c>
      <c r="CX54" s="59">
        <f t="shared" si="14"/>
        <v>616.17383045502118</v>
      </c>
      <c r="CY54" s="59">
        <f ca="1">AVERAGE(OFFSET($CX$3,0,0,'Données projet'!$E$13+1,1))-AVERAGE(OFFSET($H$3,0,0,'Données projet'!$E$13+1,1))</f>
        <v>213.18424462765137</v>
      </c>
      <c r="CZ54" s="59">
        <f t="shared" si="42"/>
        <v>158.77848520346532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38.441271494677537</v>
      </c>
      <c r="DG54" s="21">
        <f>EXP(-LN(2)/25)*DG53+(1-EXP(-LN(2)/25))/(LN(2)/25)*Calculateur!DB54*Calculateur!DD54*VLOOKUP('Données projet'!$B$13,Paramètres!$A$1:$I$89,3,0)*0.475*44/12</f>
        <v>13.184103175253414</v>
      </c>
      <c r="DH54" s="21">
        <f>EXP(-LN(2)/2)*DH53+(1-EXP(-LN(2)/2))/(LN(2)/2)*DB54*DE54*VLOOKUP('Données projet'!$B$13,Paramètres!$A$1:$I$89,3,0)*0.475*44/12</f>
        <v>3.6665866617320253</v>
      </c>
      <c r="DI54" s="22">
        <f t="shared" si="15"/>
        <v>55.291961331662975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11.170769230769233</v>
      </c>
      <c r="N55" s="13">
        <f>IF('Données projet'!$A$36&gt;35,N54+M55-V54,IF(A55&lt;'Données projet'!$A$36,$K$205^A55,IF(A55='Données projet'!$A$36,'Données projet'!$B$36,N54+M55-V54)))</f>
        <v>228.57846153846177</v>
      </c>
      <c r="O55" s="13">
        <f>N55*VLOOKUP('Données projet'!$B$9,Paramètres!$A$1:$I$89,3,0)*VLOOKUP('Données projet'!$B$9,Paramètres!$A$1:$I$89,5,0)</f>
        <v>106.9747200000001</v>
      </c>
      <c r="P55" s="13">
        <f t="shared" si="33"/>
        <v>28.617052249308387</v>
      </c>
      <c r="Q55" s="20">
        <f t="shared" si="53"/>
        <v>236.15567000087893</v>
      </c>
      <c r="R55" s="59">
        <f t="shared" si="0"/>
        <v>529.48900333421227</v>
      </c>
      <c r="S55" s="59">
        <f ca="1">AVERAGE(OFFSET($R$3,0,0,'Données projet'!$E$9+1,1))-AVERAGE(OFFSET($H$3,0,0,'Données projet'!$E$9+1,1))</f>
        <v>181.79645720099597</v>
      </c>
      <c r="T55" s="59">
        <f t="shared" si="34"/>
        <v>120.20040029102233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31.523306997506388</v>
      </c>
      <c r="AB55" s="21">
        <f>EXP(-LN(2)/2)*AB54+(1-EXP(-LN(2)/2))/(LN(2)/2)*V55*Y55*VLOOKUP('Données projet'!$B$9,Paramètres!$A$1:$I$89,3,0)*0.475*44/12</f>
        <v>28.05307510182746</v>
      </c>
      <c r="AC55" s="22">
        <f t="shared" si="3"/>
        <v>59.576382099333848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16.22846149285715</v>
      </c>
      <c r="AI55" s="13">
        <f>IF('Données projet'!$A$62&gt;35,AI54+AH55-AQ54,IF(A55&lt;'Données projet'!$A$62,$AF$205^A55,IF(A55='Données projet'!$A$62,'Données projet'!$B$62,AI54+AH55-AQ54)))</f>
        <v>362.79384632857125</v>
      </c>
      <c r="AJ55" s="13">
        <f>AI55*VLOOKUP('Données projet'!$B$10,Paramètres!$A$1:$I$89,3,0)*VLOOKUP('Données projet'!$B$10,Paramètres!$A$1:$I$89,5,0)</f>
        <v>202.80176009767135</v>
      </c>
      <c r="AK55" s="13">
        <f t="shared" si="35"/>
        <v>50.359410369876528</v>
      </c>
      <c r="AL55" s="20">
        <f t="shared" si="4"/>
        <v>440.92237189764592</v>
      </c>
      <c r="AM55" s="59">
        <f t="shared" si="5"/>
        <v>734.25570523097917</v>
      </c>
      <c r="AN55" s="59">
        <f ca="1">AVERAGE(OFFSET($AM$3,0,0,'Données projet'!$E$10+1,1))-AVERAGE(OFFSET($H$3,0,0,'Données projet'!$E$10+1,1))</f>
        <v>253.62342381933348</v>
      </c>
      <c r="AO55" s="59">
        <f t="shared" si="36"/>
        <v>230.93438491775407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57.601561784825478</v>
      </c>
      <c r="AV55" s="21">
        <f>EXP(-LN(2)/25)*AV54+(1-EXP(-LN(2)/25))/(LN(2)/25)*Calculateur!AQ55*Calculateur!AS55*VLOOKUP('Données projet'!$B$10,Paramètres!$A$1:$I$89,3,0)*0.475*44/12</f>
        <v>25.43984319463139</v>
      </c>
      <c r="AW55" s="21">
        <f>EXP(-LN(2)/2)*AW54+(1-EXP(-LN(2)/2))/(LN(2)/2)*AQ55*AT55*VLOOKUP('Données projet'!$B$10,Paramètres!$A$1:$I$89,3,0)*0.475*44/12</f>
        <v>2.9026658059293537</v>
      </c>
      <c r="AX55" s="21">
        <f t="shared" si="6"/>
        <v>85.944070785386231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331.81538460000002</v>
      </c>
      <c r="BB55" s="12">
        <f>VLOOKUP(A55,'Données projet'!$A$87:$I$107,9,0)</f>
        <v>11.642307685000006</v>
      </c>
      <c r="BC55" s="12">
        <f t="array" ref="BC55">INDEX(BB:BB,MIN(IF(ISNUMBER(BB55:BB251),ROW(BB55:BB251),"")))</f>
        <v>11.642307685000006</v>
      </c>
      <c r="BD55" s="12">
        <f>IF('Données projet'!$A$88&gt;35,BD54+BC55-BL54,IF(A55&lt;'Données projet'!$A$88,$BA$205^A55,IF(A55='Données projet'!$A$88,'Données projet'!$B$88,BD54+BC55-BL54)))</f>
        <v>331.81538459999985</v>
      </c>
      <c r="BE55" s="13">
        <f>BD55*VLOOKUP('Données projet'!$B$11,Paramètres!$A$1:$I$89,3,0)*VLOOKUP('Données projet'!$B$11,Paramètres!$A$1:$I$89,5,0)</f>
        <v>198.42559999079992</v>
      </c>
      <c r="BF55" s="13">
        <f t="shared" si="37"/>
        <v>49.39800326683892</v>
      </c>
      <c r="BG55" s="20">
        <f t="shared" si="7"/>
        <v>431.62610900705425</v>
      </c>
      <c r="BH55" s="59">
        <f t="shared" si="8"/>
        <v>724.95944234038757</v>
      </c>
      <c r="BI55" s="59">
        <f ca="1">AVERAGE(OFFSET($BH$3,0,0,'Données projet'!$E$11+1,1))-AVERAGE(OFFSET($H$3,0,0,'Données projet'!$E$11+1,1))</f>
        <v>199.27781324660782</v>
      </c>
      <c r="BJ55" s="59">
        <f t="shared" si="38"/>
        <v>199.82499536488524</v>
      </c>
      <c r="BK55" s="15">
        <f>IF(ISNA(VLOOKUP(A55,'Données projet'!$A$87:$I$107,3,0)),0,VLOOKUP(A55,'Données projet'!$A$87:$I$107,3,0))</f>
        <v>6</v>
      </c>
      <c r="BL55" s="15">
        <f>IF(ISNA(VLOOKUP(A55,'Données projet'!$A$87:$I$107,4,0)),0,VLOOKUP(A55,'Données projet'!$A$87:$I$107,4,0))</f>
        <v>61.784615379999998</v>
      </c>
      <c r="BM55" s="16">
        <f>IF(ISNA(VLOOKUP(A55,'Données projet'!$A$87:$I$107,5,0)),0%,VLOOKUP(A55,'Données projet'!$A$87:$I$107,5,0)*VLOOKUP('Données projet'!$B$11,Paramètres!$A$1:$I$89,7,0))</f>
        <v>0.315</v>
      </c>
      <c r="BN55" s="16">
        <f>IF(ISNA(VLOOKUP(A55,'Données projet'!$A$87:$I$107,6,0)),0%,VLOOKUP(A55,'Données projet'!$A$87:$I$107,6,0)*VLOOKUP('Données projet'!$B$11,Paramètres!$A$1:$I$89,7,0))</f>
        <v>7.5600000000000001E-2</v>
      </c>
      <c r="BO55" s="16">
        <f>IF(ISNA(VLOOKUP(A55,'Données projet'!$A$87:$I$107,7,0)),0%,VLOOKUP(A55,'Données projet'!$A$87:$I$107,7,0))</f>
        <v>0.13200000000000001</v>
      </c>
      <c r="BP55" s="21">
        <f>EXP(-LN(2)/35)*BP54+(1-EXP(-LN(2)/35))/(LN(2)/35)*BL55*BM55*VLOOKUP('Données projet'!$B$11,Paramètres!$A$1:$I$89,3,0)*0.475*44/12</f>
        <v>48.492896457708227</v>
      </c>
      <c r="BQ55" s="21">
        <f>EXP(-LN(2)/25)*BQ54+(1-EXP(-LN(2)/25))/(LN(2)/25)*Calculateur!BL55*Calculateur!BN55*VLOOKUP('Données projet'!$B$11,Paramètres!$A$1:$I$89,3,0)*0.475*44/12</f>
        <v>18.781153690475222</v>
      </c>
      <c r="BR55" s="21">
        <f>EXP(-LN(2)/2)*BR54+(1-EXP(-LN(2)/2))/(LN(2)/2)*BL55*BO55*VLOOKUP('Données projet'!$B$11,Paramètres!$A$1:$I$89,3,0)*0.475*44/12</f>
        <v>5.9065202381683175</v>
      </c>
      <c r="BS55" s="22">
        <f t="shared" si="9"/>
        <v>73.180570386351761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>
        <f>VLOOKUP(A55,'Données projet'!$A$113:$I$133,2,0)</f>
        <v>331.81538461538463</v>
      </c>
      <c r="BW55" s="12">
        <f>VLOOKUP(A55,'Données projet'!$A$113:$I$133,9,0)</f>
        <v>11.642307692307696</v>
      </c>
      <c r="BX55" s="12">
        <f t="array" ref="BX55">INDEX(BW:BW,MIN(IF(ISNUMBER(BW55:BW251),ROW(BW55:BW251),"")))</f>
        <v>11.642307692307696</v>
      </c>
      <c r="BY55" s="12">
        <f>IF('Données projet'!$A$114&gt;35,BY54+BX55-CG54,IF(A55&lt;'Données projet'!$A$114,$BV$205^A55,IF(A55='Données projet'!$A$114,'Données projet'!$B$114,BY54+BX55-CG54)))</f>
        <v>331.81538461538435</v>
      </c>
      <c r="BZ55" s="13">
        <f>BY55*VLOOKUP('Données projet'!$B$12,Paramètres!$A$1:$I$89,3,0)*VLOOKUP('Données projet'!$B$12,Paramètres!$A$1:$I$89,5,0)</f>
        <v>198.42559999999986</v>
      </c>
      <c r="CA55" s="13">
        <f t="shared" si="39"/>
        <v>49.398003268862659</v>
      </c>
      <c r="CB55" s="20">
        <f t="shared" si="10"/>
        <v>431.62610902660225</v>
      </c>
      <c r="CC55" s="59">
        <f t="shared" si="11"/>
        <v>724.95944235993557</v>
      </c>
      <c r="CD55" s="59">
        <f ca="1">AVERAGE(OFFSET($CC$3,0,0,'Données projet'!$E$12+1,1))-AVERAGE(OFFSET($H$3,0,0,'Données projet'!$E$12+1,1))</f>
        <v>199.27781323742636</v>
      </c>
      <c r="CE55" s="59">
        <f t="shared" si="40"/>
        <v>199.82499536063892</v>
      </c>
      <c r="CF55" s="15">
        <f>IF(ISNA(VLOOKUP(A55,'Données projet'!$A$113:$I$133,3,0)),0,VLOOKUP(A55,'Données projet'!$A$113:$I$133,3,0))</f>
        <v>6</v>
      </c>
      <c r="CG55" s="15">
        <f>IF(ISNA(VLOOKUP(A55,'Données projet'!$A$113:$I$133,4,0)),0,VLOOKUP(A55,'Données projet'!$A$113:$I$133,4,0))</f>
        <v>61.784615384615378</v>
      </c>
      <c r="CH55" s="16">
        <f>IF(ISNA(VLOOKUP(A55,'Données projet'!$A$113:$I$133,5,0)),0%,VLOOKUP(A55,'Données projet'!$A$113:$I$133,5,0)*VLOOKUP('Données projet'!$B$12,Paramètres!$A$1:$I$89,7,0))</f>
        <v>0.315</v>
      </c>
      <c r="CI55" s="16">
        <f>IF(ISNA(VLOOKUP(A55,'Données projet'!$A$113:$I$133,6,0)),0%,VLOOKUP(A55,'Données projet'!$A$113:$I$133,6,0)*VLOOKUP('Données projet'!$B$12,Paramètres!$A$1:$I$89,7,0))</f>
        <v>7.5600000000000001E-2</v>
      </c>
      <c r="CJ55" s="16">
        <f>IF(ISNA(VLOOKUP(A55,'Données projet'!$A$113:$I$133,7,0)),0%,VLOOKUP(A55,'Données projet'!$A$113:$I$133,7,0))</f>
        <v>0.13200000000000001</v>
      </c>
      <c r="CK55" s="21">
        <f>EXP(-LN(2)/35)*CK54+(1-EXP(-LN(2)/35))/(LN(2)/35)*CG55*CH55*VLOOKUP('Données projet'!$B$12,Paramètres!$A$1:$I$89,3,0)*0.475*44/12</f>
        <v>48.492896458905406</v>
      </c>
      <c r="CL55" s="21">
        <f>EXP(-LN(2)/25)*CL54+(1-EXP(-LN(2)/25))/(LN(2)/25)*Calculateur!CG55*Calculateur!CI55*VLOOKUP('Données projet'!$B$12,Paramètres!$A$1:$I$89,3,0)*0.475*44/12</f>
        <v>18.751694445407118</v>
      </c>
      <c r="CM55" s="21">
        <f>EXP(-LN(2)/2)*CM54+(1-EXP(-LN(2)/2))/(LN(2)/2)*CG55*CJ55*VLOOKUP('Données projet'!$B$12,Paramètres!$A$1:$I$89,3,0)*0.475*44/12</f>
        <v>5.906861705672978</v>
      </c>
      <c r="CN55" s="22">
        <f t="shared" si="12"/>
        <v>73.151452609985512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10.663076923076932</v>
      </c>
      <c r="CT55" s="12">
        <f>IF('Données projet'!$A$140&gt;35,CT54+CS55-DB54,IF(A55&lt;'Données projet'!$A$140,$CQ$205^A55,IF(A55='Données projet'!$A$140,'Données projet'!$B$140,CT54+CS55-DB54)))</f>
        <v>257.11846153846153</v>
      </c>
      <c r="CU55" s="17">
        <f>CT55*VLOOKUP('Données projet'!$B$13,Paramètres!$A$1:$I$89,3,0)*VLOOKUP('Données projet'!$B$13,Paramètres!$A$1:$I$89,5,0)</f>
        <v>153.75684000000001</v>
      </c>
      <c r="CV55" s="13">
        <f t="shared" si="41"/>
        <v>39.431107959482766</v>
      </c>
      <c r="CW55" s="20">
        <f t="shared" si="13"/>
        <v>336.4690093627658</v>
      </c>
      <c r="CX55" s="59">
        <f t="shared" si="14"/>
        <v>629.80234269609912</v>
      </c>
      <c r="CY55" s="59">
        <f ca="1">AVERAGE(OFFSET($CX$3,0,0,'Données projet'!$E$13+1,1))-AVERAGE(OFFSET($H$3,0,0,'Données projet'!$E$13+1,1))</f>
        <v>213.18424462765137</v>
      </c>
      <c r="CZ55" s="59">
        <f t="shared" si="42"/>
        <v>158.77848520346532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37.687461607527339</v>
      </c>
      <c r="DG55" s="21">
        <f>EXP(-LN(2)/25)*DG54+(1-EXP(-LN(2)/25))/(LN(2)/25)*Calculateur!DB55*Calculateur!DD55*VLOOKUP('Données projet'!$B$13,Paramètres!$A$1:$I$89,3,0)*0.475*44/12</f>
        <v>12.823583180604256</v>
      </c>
      <c r="DH55" s="21">
        <f>EXP(-LN(2)/2)*DH54+(1-EXP(-LN(2)/2))/(LN(2)/2)*DB55*DE55*VLOOKUP('Données projet'!$B$13,Paramètres!$A$1:$I$89,3,0)*0.475*44/12</f>
        <v>2.5926682923188613</v>
      </c>
      <c r="DI55" s="22">
        <f t="shared" si="15"/>
        <v>53.103713080450461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11.170769230769233</v>
      </c>
      <c r="N56" s="13">
        <f>IF('Données projet'!$A$36&gt;35,N55+M56-V55,IF(A56&lt;'Données projet'!$A$36,$K$205^A56,IF(A56='Données projet'!$A$36,'Données projet'!$B$36,N55+M56-V55)))</f>
        <v>239.74923076923099</v>
      </c>
      <c r="O56" s="13">
        <f>N56*VLOOKUP('Données projet'!$B$9,Paramètres!$A$1:$I$89,3,0)*VLOOKUP('Données projet'!$B$9,Paramètres!$A$1:$I$89,5,0)</f>
        <v>112.2026400000001</v>
      </c>
      <c r="P56" s="13">
        <f t="shared" si="33"/>
        <v>29.84934340268536</v>
      </c>
      <c r="Q56" s="20">
        <f t="shared" si="53"/>
        <v>247.40720442634384</v>
      </c>
      <c r="R56" s="59">
        <f t="shared" si="0"/>
        <v>540.74053775967718</v>
      </c>
      <c r="S56" s="59">
        <f ca="1">AVERAGE(OFFSET($R$3,0,0,'Données projet'!$E$9+1,1))-AVERAGE(OFFSET($H$3,0,0,'Données projet'!$E$9+1,1))</f>
        <v>181.79645720099597</v>
      </c>
      <c r="T56" s="59">
        <f t="shared" si="34"/>
        <v>120.20040029102233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30.66130050992091</v>
      </c>
      <c r="AB56" s="21">
        <f>EXP(-LN(2)/2)*AB55+(1-EXP(-LN(2)/2))/(LN(2)/2)*V56*Y56*VLOOKUP('Données projet'!$B$9,Paramètres!$A$1:$I$89,3,0)*0.475*44/12</f>
        <v>19.836519637637696</v>
      </c>
      <c r="AC56" s="22">
        <f t="shared" si="3"/>
        <v>50.497820147558606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16.22846149285715</v>
      </c>
      <c r="AI56" s="13">
        <f>IF('Données projet'!$A$62&gt;35,AI55+AH56-AQ55,IF(A56&lt;'Données projet'!$A$62,$AF$205^A56,IF(A56='Données projet'!$A$62,'Données projet'!$B$62,AI55+AH56-AQ55)))</f>
        <v>379.0223078214284</v>
      </c>
      <c r="AJ56" s="13">
        <f>AI56*VLOOKUP('Données projet'!$B$10,Paramètres!$A$1:$I$89,3,0)*VLOOKUP('Données projet'!$B$10,Paramètres!$A$1:$I$89,5,0)</f>
        <v>211.87347007217849</v>
      </c>
      <c r="AK56" s="13">
        <f t="shared" si="35"/>
        <v>52.34477417891037</v>
      </c>
      <c r="AL56" s="20">
        <f t="shared" si="4"/>
        <v>460.18010873731311</v>
      </c>
      <c r="AM56" s="59">
        <f t="shared" si="5"/>
        <v>753.51344207064642</v>
      </c>
      <c r="AN56" s="59">
        <f ca="1">AVERAGE(OFFSET($AM$3,0,0,'Données projet'!$E$10+1,1))-AVERAGE(OFFSET($H$3,0,0,'Données projet'!$E$10+1,1))</f>
        <v>253.62342381933348</v>
      </c>
      <c r="AO56" s="59">
        <f t="shared" si="36"/>
        <v>230.93438491775407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56.472030291708599</v>
      </c>
      <c r="AV56" s="21">
        <f>EXP(-LN(2)/25)*AV55+(1-EXP(-LN(2)/25))/(LN(2)/25)*Calculateur!AQ56*Calculateur!AS56*VLOOKUP('Données projet'!$B$10,Paramètres!$A$1:$I$89,3,0)*0.475*44/12</f>
        <v>24.744189344650984</v>
      </c>
      <c r="AW56" s="21">
        <f>EXP(-LN(2)/2)*AW55+(1-EXP(-LN(2)/2))/(LN(2)/2)*AQ56*AT56*VLOOKUP('Données projet'!$B$10,Paramètres!$A$1:$I$89,3,0)*0.475*44/12</f>
        <v>2.0524946748909612</v>
      </c>
      <c r="AX56" s="21">
        <f t="shared" si="6"/>
        <v>83.268714311250548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10.433653847499997</v>
      </c>
      <c r="BD56" s="12">
        <f>IF('Données projet'!$A$88&gt;35,BD55+BC56-BL55,IF(A56&lt;'Données projet'!$A$88,$BA$205^A56,IF(A56='Données projet'!$A$88,'Données projet'!$B$88,BD55+BC56-BL55)))</f>
        <v>280.46442306749987</v>
      </c>
      <c r="BE56" s="13">
        <f>BD56*VLOOKUP('Données projet'!$B$11,Paramètres!$A$1:$I$89,3,0)*VLOOKUP('Données projet'!$B$11,Paramètres!$A$1:$I$89,5,0)</f>
        <v>167.71772499436494</v>
      </c>
      <c r="BF56" s="13">
        <f t="shared" si="37"/>
        <v>42.578468509162143</v>
      </c>
      <c r="BG56" s="20">
        <f t="shared" si="7"/>
        <v>366.26587035197628</v>
      </c>
      <c r="BH56" s="59">
        <f t="shared" si="8"/>
        <v>659.59920368530959</v>
      </c>
      <c r="BI56" s="59">
        <f ca="1">AVERAGE(OFFSET($BH$3,0,0,'Données projet'!$E$11+1,1))-AVERAGE(OFFSET($H$3,0,0,'Données projet'!$E$11+1,1))</f>
        <v>199.27781324660782</v>
      </c>
      <c r="BJ56" s="59">
        <f t="shared" si="38"/>
        <v>199.82499536488524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47.541980335918851</v>
      </c>
      <c r="BQ56" s="21">
        <f>EXP(-LN(2)/25)*BQ55+(1-EXP(-LN(2)/25))/(LN(2)/25)*Calculateur!BL56*Calculateur!BN56*VLOOKUP('Données projet'!$B$11,Paramètres!$A$1:$I$89,3,0)*0.475*44/12</f>
        <v>18.26758205515123</v>
      </c>
      <c r="BR56" s="21">
        <f>EXP(-LN(2)/2)*BR55+(1-EXP(-LN(2)/2))/(LN(2)/2)*BL56*BO56*VLOOKUP('Données projet'!$B$11,Paramètres!$A$1:$I$89,3,0)*0.475*44/12</f>
        <v>4.1765405136243992</v>
      </c>
      <c r="BS56" s="22">
        <f t="shared" si="9"/>
        <v>69.986102904694476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10.433653846153845</v>
      </c>
      <c r="BY56" s="12">
        <f>IF('Données projet'!$A$114&gt;35,BY55+BX56-CG55,IF(A56&lt;'Données projet'!$A$114,$BV$205^A56,IF(A56='Données projet'!$A$114,'Données projet'!$B$114,BY55+BX56-CG55)))</f>
        <v>280.4644230769228</v>
      </c>
      <c r="BZ56" s="13">
        <f>BY56*VLOOKUP('Données projet'!$B$12,Paramètres!$A$1:$I$89,3,0)*VLOOKUP('Données projet'!$B$12,Paramètres!$A$1:$I$89,5,0)</f>
        <v>167.71772499999983</v>
      </c>
      <c r="CA56" s="13">
        <f t="shared" si="39"/>
        <v>42.578468510426148</v>
      </c>
      <c r="CB56" s="20">
        <f t="shared" si="10"/>
        <v>366.26587036399184</v>
      </c>
      <c r="CC56" s="59">
        <f t="shared" si="11"/>
        <v>659.59920369732515</v>
      </c>
      <c r="CD56" s="59">
        <f ca="1">AVERAGE(OFFSET($CC$3,0,0,'Données projet'!$E$12+1,1))-AVERAGE(OFFSET($H$3,0,0,'Données projet'!$E$12+1,1))</f>
        <v>199.27781323742636</v>
      </c>
      <c r="CE56" s="59">
        <f t="shared" si="40"/>
        <v>199.82499536063892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47.541980337092554</v>
      </c>
      <c r="CL56" s="21">
        <f>EXP(-LN(2)/25)*CL55+(1-EXP(-LN(2)/25))/(LN(2)/25)*Calculateur!CG56*Calculateur!CI56*VLOOKUP('Données projet'!$B$12,Paramètres!$A$1:$I$89,3,0)*0.475*44/12</f>
        <v>18.238928374688708</v>
      </c>
      <c r="CM56" s="21">
        <f>EXP(-LN(2)/2)*CM55+(1-EXP(-LN(2)/2))/(LN(2)/2)*CG56*CJ56*VLOOKUP('Données projet'!$B$12,Paramètres!$A$1:$I$89,3,0)*0.475*44/12</f>
        <v>4.1767819676124995</v>
      </c>
      <c r="CN56" s="22">
        <f t="shared" si="12"/>
        <v>69.957690679393764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10.663076923076932</v>
      </c>
      <c r="CT56" s="12">
        <f>IF('Données projet'!$A$140&gt;35,CT55+CS56-DB55,IF(A56&lt;'Données projet'!$A$140,$CQ$205^A56,IF(A56='Données projet'!$A$140,'Données projet'!$B$140,CT55+CS56-DB55)))</f>
        <v>267.78153846153845</v>
      </c>
      <c r="CU56" s="17">
        <f>CT56*VLOOKUP('Données projet'!$B$13,Paramètres!$A$1:$I$89,3,0)*VLOOKUP('Données projet'!$B$13,Paramètres!$A$1:$I$89,5,0)</f>
        <v>160.13336000000001</v>
      </c>
      <c r="CV56" s="13">
        <f t="shared" si="41"/>
        <v>40.872593668242253</v>
      </c>
      <c r="CW56" s="20">
        <f t="shared" si="13"/>
        <v>350.08536930552191</v>
      </c>
      <c r="CX56" s="59">
        <f t="shared" si="14"/>
        <v>643.41870263885517</v>
      </c>
      <c r="CY56" s="59">
        <f ca="1">AVERAGE(OFFSET($CX$3,0,0,'Données projet'!$E$13+1,1))-AVERAGE(OFFSET($H$3,0,0,'Données projet'!$E$13+1,1))</f>
        <v>213.18424462765137</v>
      </c>
      <c r="CZ56" s="59">
        <f t="shared" si="42"/>
        <v>158.77848520346532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36.948433472485526</v>
      </c>
      <c r="DG56" s="21">
        <f>EXP(-LN(2)/25)*DG55+(1-EXP(-LN(2)/25))/(LN(2)/25)*Calculateur!DB56*Calculateur!DD56*VLOOKUP('Données projet'!$B$13,Paramètres!$A$1:$I$89,3,0)*0.475*44/12</f>
        <v>12.472921624167702</v>
      </c>
      <c r="DH56" s="21">
        <f>EXP(-LN(2)/2)*DH55+(1-EXP(-LN(2)/2))/(LN(2)/2)*DB56*DE56*VLOOKUP('Données projet'!$B$13,Paramètres!$A$1:$I$89,3,0)*0.475*44/12</f>
        <v>1.8332933308660131</v>
      </c>
      <c r="DI56" s="22">
        <f t="shared" si="15"/>
        <v>51.254648427519243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11.170769230769233</v>
      </c>
      <c r="N57" s="13">
        <f>IF('Données projet'!$A$36&gt;35,N56+M57-V56,IF(A57&lt;'Données projet'!$A$36,$K$205^A57,IF(A57='Données projet'!$A$36,'Données projet'!$B$36,N56+M57-V56)))</f>
        <v>250.92000000000021</v>
      </c>
      <c r="O57" s="13">
        <f>N57*VLOOKUP('Données projet'!$B$9,Paramètres!$A$1:$I$89,3,0)*VLOOKUP('Données projet'!$B$9,Paramètres!$A$1:$I$89,5,0)</f>
        <v>117.43056000000011</v>
      </c>
      <c r="P57" s="13">
        <f t="shared" si="33"/>
        <v>31.074966780724139</v>
      </c>
      <c r="Q57" s="20">
        <f t="shared" si="53"/>
        <v>258.64712580976141</v>
      </c>
      <c r="R57" s="59">
        <f t="shared" si="0"/>
        <v>551.98045914309478</v>
      </c>
      <c r="S57" s="59">
        <f ca="1">AVERAGE(OFFSET($R$3,0,0,'Données projet'!$E$9+1,1))-AVERAGE(OFFSET($H$3,0,0,'Données projet'!$E$9+1,1))</f>
        <v>181.79645720099597</v>
      </c>
      <c r="T57" s="59">
        <f t="shared" si="34"/>
        <v>120.20040029102233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29.822865635069405</v>
      </c>
      <c r="AB57" s="21">
        <f>EXP(-LN(2)/2)*AB56+(1-EXP(-LN(2)/2))/(LN(2)/2)*V57*Y57*VLOOKUP('Données projet'!$B$9,Paramètres!$A$1:$I$89,3,0)*0.475*44/12</f>
        <v>14.026537550913732</v>
      </c>
      <c r="AC57" s="22">
        <f t="shared" si="3"/>
        <v>43.849403185983135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16.22846149285715</v>
      </c>
      <c r="AI57" s="13">
        <f>IF('Données projet'!$A$62&gt;35,AI56+AH57-AQ56,IF(A57&lt;'Données projet'!$A$62,$AF$205^A57,IF(A57='Données projet'!$A$62,'Données projet'!$B$62,AI56+AH57-AQ56)))</f>
        <v>395.25076931428555</v>
      </c>
      <c r="AJ57" s="13">
        <f>AI57*VLOOKUP('Données projet'!$B$10,Paramètres!$A$1:$I$89,3,0)*VLOOKUP('Données projet'!$B$10,Paramètres!$A$1:$I$89,5,0)</f>
        <v>220.94518004668561</v>
      </c>
      <c r="AK57" s="13">
        <f t="shared" si="35"/>
        <v>54.320264649325523</v>
      </c>
      <c r="AL57" s="20">
        <f t="shared" si="4"/>
        <v>479.42064951221931</v>
      </c>
      <c r="AM57" s="59">
        <f t="shared" si="5"/>
        <v>772.75398284555263</v>
      </c>
      <c r="AN57" s="59">
        <f ca="1">AVERAGE(OFFSET($AM$3,0,0,'Données projet'!$E$10+1,1))-AVERAGE(OFFSET($H$3,0,0,'Données projet'!$E$10+1,1))</f>
        <v>253.62342381933348</v>
      </c>
      <c r="AO57" s="59">
        <f t="shared" si="36"/>
        <v>230.93438491775407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55.364648222225554</v>
      </c>
      <c r="AV57" s="21">
        <f>EXP(-LN(2)/25)*AV56+(1-EXP(-LN(2)/25))/(LN(2)/25)*Calculateur!AQ57*Calculateur!AS57*VLOOKUP('Données projet'!$B$10,Paramètres!$A$1:$I$89,3,0)*0.475*44/12</f>
        <v>24.067558185781138</v>
      </c>
      <c r="AW57" s="21">
        <f>EXP(-LN(2)/2)*AW56+(1-EXP(-LN(2)/2))/(LN(2)/2)*AQ57*AT57*VLOOKUP('Données projet'!$B$10,Paramètres!$A$1:$I$89,3,0)*0.475*44/12</f>
        <v>1.4513329029646769</v>
      </c>
      <c r="AX57" s="21">
        <f t="shared" si="6"/>
        <v>80.883539310971372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10.433653847499997</v>
      </c>
      <c r="BD57" s="12">
        <f>IF('Données projet'!$A$88&gt;35,BD56+BC57-BL56,IF(A57&lt;'Données projet'!$A$88,$BA$205^A57,IF(A57='Données projet'!$A$88,'Données projet'!$B$88,BD56+BC57-BL56)))</f>
        <v>290.89807691499988</v>
      </c>
      <c r="BE57" s="13">
        <f>BD57*VLOOKUP('Données projet'!$B$11,Paramètres!$A$1:$I$89,3,0)*VLOOKUP('Données projet'!$B$11,Paramètres!$A$1:$I$89,5,0)</f>
        <v>173.95704999516994</v>
      </c>
      <c r="BF57" s="13">
        <f t="shared" si="37"/>
        <v>43.975080817470442</v>
      </c>
      <c r="BG57" s="20">
        <f t="shared" si="7"/>
        <v>379.56512783201532</v>
      </c>
      <c r="BH57" s="59">
        <f t="shared" si="8"/>
        <v>672.89846116534864</v>
      </c>
      <c r="BI57" s="59">
        <f ca="1">AVERAGE(OFFSET($BH$3,0,0,'Données projet'!$E$11+1,1))-AVERAGE(OFFSET($H$3,0,0,'Données projet'!$E$11+1,1))</f>
        <v>199.27781324660782</v>
      </c>
      <c r="BJ57" s="59">
        <f t="shared" si="38"/>
        <v>199.82499536488524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46.609711099276197</v>
      </c>
      <c r="BQ57" s="21">
        <f>EXP(-LN(2)/25)*BQ56+(1-EXP(-LN(2)/25))/(LN(2)/25)*Calculateur!BL57*Calculateur!BN57*VLOOKUP('Données projet'!$B$11,Paramètres!$A$1:$I$89,3,0)*0.475*44/12</f>
        <v>17.76805406320273</v>
      </c>
      <c r="BR57" s="21">
        <f>EXP(-LN(2)/2)*BR56+(1-EXP(-LN(2)/2))/(LN(2)/2)*BL57*BO57*VLOOKUP('Données projet'!$B$11,Paramètres!$A$1:$I$89,3,0)*0.475*44/12</f>
        <v>2.9532601190841592</v>
      </c>
      <c r="BS57" s="22">
        <f t="shared" si="9"/>
        <v>67.331025281563086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10.433653846153845</v>
      </c>
      <c r="BY57" s="12">
        <f>IF('Données projet'!$A$114&gt;35,BY56+BX57-CG56,IF(A57&lt;'Données projet'!$A$114,$BV$205^A57,IF(A57='Données projet'!$A$114,'Données projet'!$B$114,BY56+BX57-CG56)))</f>
        <v>290.89807692307664</v>
      </c>
      <c r="BZ57" s="13">
        <f>BY57*VLOOKUP('Données projet'!$B$12,Paramètres!$A$1:$I$89,3,0)*VLOOKUP('Données projet'!$B$12,Paramètres!$A$1:$I$89,5,0)</f>
        <v>173.95704999999984</v>
      </c>
      <c r="CA57" s="13">
        <f t="shared" si="39"/>
        <v>43.975080818549294</v>
      </c>
      <c r="CB57" s="20">
        <f t="shared" si="10"/>
        <v>379.56512784230637</v>
      </c>
      <c r="CC57" s="59">
        <f t="shared" si="11"/>
        <v>672.89846117563968</v>
      </c>
      <c r="CD57" s="59">
        <f ca="1">AVERAGE(OFFSET($CC$3,0,0,'Données projet'!$E$12+1,1))-AVERAGE(OFFSET($H$3,0,0,'Données projet'!$E$12+1,1))</f>
        <v>199.27781323742636</v>
      </c>
      <c r="CE57" s="59">
        <f t="shared" si="40"/>
        <v>199.82499536063892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46.609711100426885</v>
      </c>
      <c r="CL57" s="21">
        <f>EXP(-LN(2)/25)*CL56+(1-EXP(-LN(2)/25))/(LN(2)/25)*Calculateur!CG57*Calculateur!CI57*VLOOKUP('Données projet'!$B$12,Paramètres!$A$1:$I$89,3,0)*0.475*44/12</f>
        <v>17.740183919139287</v>
      </c>
      <c r="CM57" s="21">
        <f>EXP(-LN(2)/2)*CM56+(1-EXP(-LN(2)/2))/(LN(2)/2)*CG57*CJ57*VLOOKUP('Données projet'!$B$12,Paramètres!$A$1:$I$89,3,0)*0.475*44/12</f>
        <v>2.9534308528364894</v>
      </c>
      <c r="CN57" s="22">
        <f t="shared" si="12"/>
        <v>67.303325872402667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10.663076923076932</v>
      </c>
      <c r="CT57" s="12">
        <f>IF('Données projet'!$A$140&gt;35,CT56+CS57-DB56,IF(A57&lt;'Données projet'!$A$140,$CQ$205^A57,IF(A57='Données projet'!$A$140,'Données projet'!$B$140,CT56+CS57-DB56)))</f>
        <v>278.44461538461536</v>
      </c>
      <c r="CU57" s="17">
        <f>CT57*VLOOKUP('Données projet'!$B$13,Paramètres!$A$1:$I$89,3,0)*VLOOKUP('Données projet'!$B$13,Paramètres!$A$1:$I$89,5,0)</f>
        <v>166.50987999999998</v>
      </c>
      <c r="CV57" s="13">
        <f t="shared" si="41"/>
        <v>42.307411610776938</v>
      </c>
      <c r="CW57" s="20">
        <f t="shared" si="13"/>
        <v>363.69011622210314</v>
      </c>
      <c r="CX57" s="59">
        <f t="shared" si="14"/>
        <v>657.0234495554364</v>
      </c>
      <c r="CY57" s="59">
        <f ca="1">AVERAGE(OFFSET($CX$3,0,0,'Données projet'!$E$13+1,1))-AVERAGE(OFFSET($H$3,0,0,'Données projet'!$E$13+1,1))</f>
        <v>213.18424462765137</v>
      </c>
      <c r="CZ57" s="59">
        <f t="shared" si="42"/>
        <v>158.77848520346532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36.223897228409228</v>
      </c>
      <c r="DG57" s="21">
        <f>EXP(-LN(2)/25)*DG56+(1-EXP(-LN(2)/25))/(LN(2)/25)*Calculateur!DB57*Calculateur!DD57*VLOOKUP('Données projet'!$B$13,Paramètres!$A$1:$I$89,3,0)*0.475*44/12</f>
        <v>12.131848926432395</v>
      </c>
      <c r="DH57" s="21">
        <f>EXP(-LN(2)/2)*DH56+(1-EXP(-LN(2)/2))/(LN(2)/2)*DB57*DE57*VLOOKUP('Données projet'!$B$13,Paramètres!$A$1:$I$89,3,0)*0.475*44/12</f>
        <v>1.2963341461594309</v>
      </c>
      <c r="DI57" s="22">
        <f t="shared" si="15"/>
        <v>49.652080301001057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11.170769230769233</v>
      </c>
      <c r="N58" s="13">
        <f>IF('Données projet'!$A$36&gt;35,N57+M58-V57,IF(A58&lt;'Données projet'!$A$36,$K$205^A58,IF(A58='Données projet'!$A$36,'Données projet'!$B$36,N57+M58-V57)))</f>
        <v>262.09076923076947</v>
      </c>
      <c r="O58" s="13">
        <f>N58*VLOOKUP('Données projet'!$B$9,Paramètres!$A$1:$I$89,3,0)*VLOOKUP('Données projet'!$B$9,Paramètres!$A$1:$I$89,5,0)</f>
        <v>122.6584800000001</v>
      </c>
      <c r="P58" s="13">
        <f t="shared" si="33"/>
        <v>32.294253146422101</v>
      </c>
      <c r="Q58" s="20">
        <f t="shared" si="53"/>
        <v>269.87601023001861</v>
      </c>
      <c r="R58" s="59">
        <f t="shared" si="0"/>
        <v>563.20934356335192</v>
      </c>
      <c r="S58" s="59">
        <f ca="1">AVERAGE(OFFSET($R$3,0,0,'Données projet'!$E$9+1,1))-AVERAGE(OFFSET($H$3,0,0,'Données projet'!$E$9+1,1))</f>
        <v>181.79645720099597</v>
      </c>
      <c r="T58" s="59">
        <f t="shared" si="34"/>
        <v>120.20040029102233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29.007357805962091</v>
      </c>
      <c r="AB58" s="21">
        <f>EXP(-LN(2)/2)*AB57+(1-EXP(-LN(2)/2))/(LN(2)/2)*V58*Y58*VLOOKUP('Données projet'!$B$9,Paramètres!$A$1:$I$89,3,0)*0.475*44/12</f>
        <v>9.9182598188188482</v>
      </c>
      <c r="AC58" s="22">
        <f t="shared" si="3"/>
        <v>38.925617624780941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16.22846149285715</v>
      </c>
      <c r="AI58" s="13">
        <f>IF('Données projet'!$A$62&gt;35,AI57+AH58-AQ57,IF(A58&lt;'Données projet'!$A$62,$AF$205^A58,IF(A58='Données projet'!$A$62,'Données projet'!$B$62,AI57+AH58-AQ57)))</f>
        <v>411.4792308071427</v>
      </c>
      <c r="AJ58" s="13">
        <f>AI58*VLOOKUP('Données projet'!$B$10,Paramètres!$A$1:$I$89,3,0)*VLOOKUP('Données projet'!$B$10,Paramètres!$A$1:$I$89,5,0)</f>
        <v>230.01689002119275</v>
      </c>
      <c r="AK58" s="13">
        <f t="shared" si="35"/>
        <v>56.286333533003663</v>
      </c>
      <c r="AL58" s="20">
        <f t="shared" si="4"/>
        <v>498.64478102355866</v>
      </c>
      <c r="AM58" s="59">
        <f t="shared" si="5"/>
        <v>791.97811435689198</v>
      </c>
      <c r="AN58" s="59">
        <f ca="1">AVERAGE(OFFSET($AM$3,0,0,'Données projet'!$E$10+1,1))-AVERAGE(OFFSET($H$3,0,0,'Données projet'!$E$10+1,1))</f>
        <v>253.62342381933348</v>
      </c>
      <c r="AO58" s="59">
        <f t="shared" si="36"/>
        <v>230.93438491775407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54.278981239688704</v>
      </c>
      <c r="AV58" s="21">
        <f>EXP(-LN(2)/25)*AV57+(1-EXP(-LN(2)/25))/(LN(2)/25)*Calculateur!AQ58*Calculateur!AS58*VLOOKUP('Données projet'!$B$10,Paramètres!$A$1:$I$89,3,0)*0.475*44/12</f>
        <v>23.409429541533076</v>
      </c>
      <c r="AW58" s="21">
        <f>EXP(-LN(2)/2)*AW57+(1-EXP(-LN(2)/2))/(LN(2)/2)*AQ58*AT58*VLOOKUP('Données projet'!$B$10,Paramètres!$A$1:$I$89,3,0)*0.475*44/12</f>
        <v>1.0262473374454806</v>
      </c>
      <c r="AX58" s="21">
        <f t="shared" si="6"/>
        <v>78.714658118667259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10.433653847499997</v>
      </c>
      <c r="BD58" s="12">
        <f>IF('Données projet'!$A$88&gt;35,BD57+BC58-BL57,IF(A58&lt;'Données projet'!$A$88,$BA$205^A58,IF(A58='Données projet'!$A$88,'Données projet'!$B$88,BD57+BC58-BL57)))</f>
        <v>301.33173076249989</v>
      </c>
      <c r="BE58" s="13">
        <f>BD58*VLOOKUP('Données projet'!$B$11,Paramètres!$A$1:$I$89,3,0)*VLOOKUP('Données projet'!$B$11,Paramètres!$A$1:$I$89,5,0)</f>
        <v>180.19637499597496</v>
      </c>
      <c r="BF58" s="13">
        <f t="shared" si="37"/>
        <v>45.365873212232607</v>
      </c>
      <c r="BG58" s="20">
        <f t="shared" si="7"/>
        <v>392.85424896262816</v>
      </c>
      <c r="BH58" s="59">
        <f t="shared" si="8"/>
        <v>686.18758229596142</v>
      </c>
      <c r="BI58" s="59">
        <f ca="1">AVERAGE(OFFSET($BH$3,0,0,'Données projet'!$E$11+1,1))-AVERAGE(OFFSET($H$3,0,0,'Données projet'!$E$11+1,1))</f>
        <v>199.27781324660782</v>
      </c>
      <c r="BJ58" s="59">
        <f t="shared" si="38"/>
        <v>199.82499536488524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45.695723093736021</v>
      </c>
      <c r="BQ58" s="21">
        <f>EXP(-LN(2)/25)*BQ57+(1-EXP(-LN(2)/25))/(LN(2)/25)*Calculateur!BL58*Calculateur!BN58*VLOOKUP('Données projet'!$B$11,Paramètres!$A$1:$I$89,3,0)*0.475*44/12</f>
        <v>17.282185690463098</v>
      </c>
      <c r="BR58" s="21">
        <f>EXP(-LN(2)/2)*BR57+(1-EXP(-LN(2)/2))/(LN(2)/2)*BL58*BO58*VLOOKUP('Données projet'!$B$11,Paramètres!$A$1:$I$89,3,0)*0.475*44/12</f>
        <v>2.0882702568122</v>
      </c>
      <c r="BS58" s="22">
        <f t="shared" si="9"/>
        <v>65.06617904101131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10.433653846153845</v>
      </c>
      <c r="BY58" s="12">
        <f>IF('Données projet'!$A$114&gt;35,BY57+BX58-CG57,IF(A58&lt;'Données projet'!$A$114,$BV$205^A58,IF(A58='Données projet'!$A$114,'Données projet'!$B$114,BY57+BX58-CG57)))</f>
        <v>301.33173076923049</v>
      </c>
      <c r="BZ58" s="13">
        <f>BY58*VLOOKUP('Données projet'!$B$12,Paramètres!$A$1:$I$89,3,0)*VLOOKUP('Données projet'!$B$12,Paramètres!$A$1:$I$89,5,0)</f>
        <v>180.19637499999985</v>
      </c>
      <c r="CA58" s="13">
        <f t="shared" si="39"/>
        <v>45.365873213127998</v>
      </c>
      <c r="CB58" s="20">
        <f t="shared" si="10"/>
        <v>392.85424897119765</v>
      </c>
      <c r="CC58" s="59">
        <f t="shared" si="11"/>
        <v>686.18758230453091</v>
      </c>
      <c r="CD58" s="59">
        <f ca="1">AVERAGE(OFFSET($CC$3,0,0,'Données projet'!$E$12+1,1))-AVERAGE(OFFSET($H$3,0,0,'Données projet'!$E$12+1,1))</f>
        <v>199.27781323742636</v>
      </c>
      <c r="CE58" s="59">
        <f t="shared" si="40"/>
        <v>199.82499536063892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45.695723094864142</v>
      </c>
      <c r="CL58" s="21">
        <f>EXP(-LN(2)/25)*CL57+(1-EXP(-LN(2)/25))/(LN(2)/25)*Calculateur!CG58*Calculateur!CI58*VLOOKUP('Données projet'!$B$12,Paramètres!$A$1:$I$89,3,0)*0.475*44/12</f>
        <v>17.255077656954697</v>
      </c>
      <c r="CM58" s="21">
        <f>EXP(-LN(2)/2)*CM57+(1-EXP(-LN(2)/2))/(LN(2)/2)*CG58*CJ58*VLOOKUP('Données projet'!$B$12,Paramètres!$A$1:$I$89,3,0)*0.475*44/12</f>
        <v>2.0883909838062502</v>
      </c>
      <c r="CN58" s="22">
        <f t="shared" si="12"/>
        <v>65.039191735625096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10.663076923076932</v>
      </c>
      <c r="CT58" s="12">
        <f>IF('Données projet'!$A$140&gt;35,CT57+CS58-DB57,IF(A58&lt;'Données projet'!$A$140,$CQ$205^A58,IF(A58='Données projet'!$A$140,'Données projet'!$B$140,CT57+CS58-DB57)))</f>
        <v>289.10769230769228</v>
      </c>
      <c r="CU58" s="17">
        <f>CT58*VLOOKUP('Données projet'!$B$13,Paramètres!$A$1:$I$89,3,0)*VLOOKUP('Données projet'!$B$13,Paramètres!$A$1:$I$89,5,0)</f>
        <v>172.88639999999998</v>
      </c>
      <c r="CV58" s="13">
        <f t="shared" si="41"/>
        <v>43.735846359314316</v>
      </c>
      <c r="CW58" s="20">
        <f t="shared" si="13"/>
        <v>377.28374574247232</v>
      </c>
      <c r="CX58" s="59">
        <f t="shared" si="14"/>
        <v>670.61707907580558</v>
      </c>
      <c r="CY58" s="59">
        <f ca="1">AVERAGE(OFFSET($CX$3,0,0,'Données projet'!$E$13+1,1))-AVERAGE(OFFSET($H$3,0,0,'Données projet'!$E$13+1,1))</f>
        <v>213.18424462765137</v>
      </c>
      <c r="CZ58" s="59">
        <f t="shared" si="42"/>
        <v>158.77848520346532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35.513568698155794</v>
      </c>
      <c r="DG58" s="21">
        <f>EXP(-LN(2)/25)*DG57+(1-EXP(-LN(2)/25))/(LN(2)/25)*Calculateur!DB58*Calculateur!DD58*VLOOKUP('Données projet'!$B$13,Paramètres!$A$1:$I$89,3,0)*0.475*44/12</f>
        <v>11.800102879552893</v>
      </c>
      <c r="DH58" s="21">
        <f>EXP(-LN(2)/2)*DH57+(1-EXP(-LN(2)/2))/(LN(2)/2)*DB58*DE58*VLOOKUP('Données projet'!$B$13,Paramètres!$A$1:$I$89,3,0)*0.475*44/12</f>
        <v>0.91664666543300666</v>
      </c>
      <c r="DI58" s="22">
        <f t="shared" si="15"/>
        <v>48.230318243141696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11.170769230769233</v>
      </c>
      <c r="N59" s="13">
        <f>IF('Données projet'!$A$36&gt;35,N58+M59-V58,IF(A59&lt;'Données projet'!$A$36,$K$205^A59,IF(A59='Données projet'!$A$36,'Données projet'!$B$36,N58+M59-V58)))</f>
        <v>273.26153846153869</v>
      </c>
      <c r="O59" s="13">
        <f>N59*VLOOKUP('Données projet'!$B$9,Paramètres!$A$1:$I$89,3,0)*VLOOKUP('Données projet'!$B$9,Paramètres!$A$1:$I$89,5,0)</f>
        <v>127.88640000000011</v>
      </c>
      <c r="P59" s="13">
        <f t="shared" si="33"/>
        <v>33.507503472593491</v>
      </c>
      <c r="Q59" s="20">
        <f t="shared" si="53"/>
        <v>281.09438188143378</v>
      </c>
      <c r="R59" s="59">
        <f t="shared" si="0"/>
        <v>574.42771521476709</v>
      </c>
      <c r="S59" s="59">
        <f ca="1">AVERAGE(OFFSET($R$3,0,0,'Données projet'!$E$9+1,1))-AVERAGE(OFFSET($H$3,0,0,'Données projet'!$E$9+1,1))</f>
        <v>181.79645720099597</v>
      </c>
      <c r="T59" s="59">
        <f t="shared" si="34"/>
        <v>120.20040029102233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28.214150081327407</v>
      </c>
      <c r="AB59" s="21">
        <f>EXP(-LN(2)/2)*AB58+(1-EXP(-LN(2)/2))/(LN(2)/2)*V59*Y59*VLOOKUP('Données projet'!$B$9,Paramètres!$A$1:$I$89,3,0)*0.475*44/12</f>
        <v>7.0132687754568659</v>
      </c>
      <c r="AC59" s="22">
        <f t="shared" si="3"/>
        <v>35.227418856784276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427.70769230000002</v>
      </c>
      <c r="AG59" s="12">
        <f>VLOOKUP(A59,'Données projet'!$A$61:$I$81,9,0)</f>
        <v>16.22846149285715</v>
      </c>
      <c r="AH59" s="12">
        <f t="array" ref="AH59">INDEX(AG:AG,MIN(IF(ISNUMBER(AG59:AG255),ROW(AG59:AG255),"")))</f>
        <v>16.22846149285715</v>
      </c>
      <c r="AI59" s="13">
        <f>IF('Données projet'!$A$62&gt;35,AI58+AH59-AQ58,IF(A59&lt;'Données projet'!$A$62,$AF$205^A59,IF(A59='Données projet'!$A$62,'Données projet'!$B$62,AI58+AH59-AQ58)))</f>
        <v>427.70769229999985</v>
      </c>
      <c r="AJ59" s="13">
        <f>AI59*VLOOKUP('Données projet'!$B$10,Paramètres!$A$1:$I$89,3,0)*VLOOKUP('Données projet'!$B$10,Paramètres!$A$1:$I$89,5,0)</f>
        <v>239.08859999569992</v>
      </c>
      <c r="AK59" s="13">
        <f t="shared" si="35"/>
        <v>58.243394930924545</v>
      </c>
      <c r="AL59" s="20">
        <f t="shared" si="4"/>
        <v>517.85322449720422</v>
      </c>
      <c r="AM59" s="59">
        <f t="shared" si="5"/>
        <v>811.18655783053759</v>
      </c>
      <c r="AN59" s="59">
        <f ca="1">AVERAGE(OFFSET($AM$3,0,0,'Données projet'!$E$10+1,1))-AVERAGE(OFFSET($H$3,0,0,'Données projet'!$E$10+1,1))</f>
        <v>253.62342381933348</v>
      </c>
      <c r="AO59" s="59">
        <f t="shared" si="36"/>
        <v>230.93438491775407</v>
      </c>
      <c r="AP59" s="15">
        <f>IF(ISNA(VLOOKUP(A59,'Données projet'!$A$61:$I$81,3,0)),0,VLOOKUP(A59,'Données projet'!$A$61:$I$81,3,0))</f>
        <v>6</v>
      </c>
      <c r="AQ59" s="15">
        <f>IF(ISNA(VLOOKUP(A59,'Données projet'!$A$61:$I$81,4,0)),0,VLOOKUP(A59,'Données projet'!$A$61:$I$81,4,0))</f>
        <v>75.869230770000001</v>
      </c>
      <c r="AR59" s="16">
        <f>IF(ISNA(VLOOKUP(A59,'Données projet'!$A$61:$I$81,5,0)),0%,VLOOKUP(A59,'Données projet'!$A$61:$I$81,5,0)*VLOOKUP('Données projet'!$B$10,Paramètres!$A$1:$I$89,7,0))</f>
        <v>0.38500000000000001</v>
      </c>
      <c r="AS59" s="16">
        <f>IF(ISNA(VLOOKUP(A59,'Données projet'!$A$61:$I$81,6,0)),0%,VLOOKUP(A59,'Données projet'!$A$61:$I$81,6,0)*VLOOKUP('Données projet'!$B$10,Paramètres!$A$1:$I$89,7,0))</f>
        <v>9.240000000000001E-2</v>
      </c>
      <c r="AT59" s="16">
        <f>IF(ISNA(VLOOKUP(A59,'Données projet'!$A$61:$I$81,7,0)),0%,VLOOKUP(A59,'Données projet'!$A$61:$I$81,7,0))</f>
        <v>0.13200000000000001</v>
      </c>
      <c r="AU59" s="21">
        <f>EXP(-LN(2)/35)*AU58+(1-EXP(-LN(2)/35))/(LN(2)/35)*AQ59*AR59*VLOOKUP('Données projet'!$B$10,Paramètres!$A$1:$I$89,3,0)*0.475*44/12</f>
        <v>74.875008623039847</v>
      </c>
      <c r="AV59" s="21">
        <f>EXP(-LN(2)/25)*AV58+(1-EXP(-LN(2)/25))/(LN(2)/25)*Calculateur!AQ59*Calculateur!AS59*VLOOKUP('Données projet'!$B$10,Paramètres!$A$1:$I$89,3,0)*0.475*44/12</f>
        <v>27.947326218971664</v>
      </c>
      <c r="AW59" s="21">
        <f>EXP(-LN(2)/2)*AW58+(1-EXP(-LN(2)/2))/(LN(2)/2)*AQ59*AT59*VLOOKUP('Données projet'!$B$10,Paramètres!$A$1:$I$89,3,0)*0.475*44/12</f>
        <v>7.0641732301724085</v>
      </c>
      <c r="AX59" s="21">
        <f t="shared" si="6"/>
        <v>109.88650807218393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10.433653847499997</v>
      </c>
      <c r="BD59" s="12">
        <f>IF('Données projet'!$A$88&gt;35,BD58+BC59-BL58,IF(A59&lt;'Données projet'!$A$88,$BA$205^A59,IF(A59='Données projet'!$A$88,'Données projet'!$B$88,BD58+BC59-BL58)))</f>
        <v>311.7653846099999</v>
      </c>
      <c r="BE59" s="13">
        <f>BD59*VLOOKUP('Données projet'!$B$11,Paramètres!$A$1:$I$89,3,0)*VLOOKUP('Données projet'!$B$11,Paramètres!$A$1:$I$89,5,0)</f>
        <v>186.43569999677996</v>
      </c>
      <c r="BF59" s="13">
        <f t="shared" si="37"/>
        <v>46.751070303630897</v>
      </c>
      <c r="BG59" s="20">
        <f t="shared" si="7"/>
        <v>406.13362493988217</v>
      </c>
      <c r="BH59" s="59">
        <f t="shared" si="8"/>
        <v>699.46695827321548</v>
      </c>
      <c r="BI59" s="59">
        <f ca="1">AVERAGE(OFFSET($BH$3,0,0,'Données projet'!$E$11+1,1))-AVERAGE(OFFSET($H$3,0,0,'Données projet'!$E$11+1,1))</f>
        <v>199.27781324660782</v>
      </c>
      <c r="BJ59" s="59">
        <f t="shared" si="38"/>
        <v>199.82499536488524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44.799657835506849</v>
      </c>
      <c r="BQ59" s="21">
        <f>EXP(-LN(2)/25)*BQ58+(1-EXP(-LN(2)/25))/(LN(2)/25)*Calculateur!BL59*Calculateur!BN59*VLOOKUP('Données projet'!$B$11,Paramètres!$A$1:$I$89,3,0)*0.475*44/12</f>
        <v>16.809603413926737</v>
      </c>
      <c r="BR59" s="21">
        <f>EXP(-LN(2)/2)*BR58+(1-EXP(-LN(2)/2))/(LN(2)/2)*BL59*BO59*VLOOKUP('Données projet'!$B$11,Paramètres!$A$1:$I$89,3,0)*0.475*44/12</f>
        <v>1.4766300595420798</v>
      </c>
      <c r="BS59" s="22">
        <f t="shared" si="9"/>
        <v>63.085891308975668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10.433653846153845</v>
      </c>
      <c r="BY59" s="12">
        <f>IF('Données projet'!$A$114&gt;35,BY58+BX59-CG58,IF(A59&lt;'Données projet'!$A$114,$BV$205^A59,IF(A59='Données projet'!$A$114,'Données projet'!$B$114,BY58+BX59-CG58)))</f>
        <v>311.76538461538433</v>
      </c>
      <c r="BZ59" s="13">
        <f>BY59*VLOOKUP('Données projet'!$B$12,Paramètres!$A$1:$I$89,3,0)*VLOOKUP('Données projet'!$B$12,Paramètres!$A$1:$I$89,5,0)</f>
        <v>186.43569999999985</v>
      </c>
      <c r="CA59" s="13">
        <f t="shared" si="39"/>
        <v>46.751070304344353</v>
      </c>
      <c r="CB59" s="20">
        <f t="shared" si="10"/>
        <v>406.13362494673282</v>
      </c>
      <c r="CC59" s="59">
        <f t="shared" si="11"/>
        <v>699.46695828006614</v>
      </c>
      <c r="CD59" s="59">
        <f ca="1">AVERAGE(OFFSET($CC$3,0,0,'Données projet'!$E$12+1,1))-AVERAGE(OFFSET($H$3,0,0,'Données projet'!$E$12+1,1))</f>
        <v>199.27781323742636</v>
      </c>
      <c r="CE59" s="59">
        <f t="shared" si="40"/>
        <v>199.82499536063892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44.799657836612852</v>
      </c>
      <c r="CL59" s="21">
        <f>EXP(-LN(2)/25)*CL58+(1-EXP(-LN(2)/25))/(LN(2)/25)*Calculateur!CG59*Calculateur!CI59*VLOOKUP('Données projet'!$B$12,Paramètres!$A$1:$I$89,3,0)*0.475*44/12</f>
        <v>16.783236651020175</v>
      </c>
      <c r="CM59" s="21">
        <f>EXP(-LN(2)/2)*CM58+(1-EXP(-LN(2)/2))/(LN(2)/2)*CG59*CJ59*VLOOKUP('Données projet'!$B$12,Paramètres!$A$1:$I$89,3,0)*0.475*44/12</f>
        <v>1.4767154264182449</v>
      </c>
      <c r="CN59" s="22">
        <f t="shared" si="12"/>
        <v>63.059609914051272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10.663076923076932</v>
      </c>
      <c r="CT59" s="12">
        <f>IF('Données projet'!$A$140&gt;35,CT58+CS59-DB58,IF(A59&lt;'Données projet'!$A$140,$CQ$205^A59,IF(A59='Données projet'!$A$140,'Données projet'!$B$140,CT58+CS59-DB58)))</f>
        <v>299.77076923076919</v>
      </c>
      <c r="CU59" s="17">
        <f>CT59*VLOOKUP('Données projet'!$B$13,Paramètres!$A$1:$I$89,3,0)*VLOOKUP('Données projet'!$B$13,Paramètres!$A$1:$I$89,5,0)</f>
        <v>179.26291999999998</v>
      </c>
      <c r="CV59" s="13">
        <f t="shared" si="41"/>
        <v>45.158160305042841</v>
      </c>
      <c r="CW59" s="20">
        <f t="shared" si="13"/>
        <v>390.8667148646162</v>
      </c>
      <c r="CX59" s="59">
        <f t="shared" si="14"/>
        <v>684.20004819794951</v>
      </c>
      <c r="CY59" s="59">
        <f ca="1">AVERAGE(OFFSET($CX$3,0,0,'Données projet'!$E$13+1,1))-AVERAGE(OFFSET($H$3,0,0,'Données projet'!$E$13+1,1))</f>
        <v>213.18424462765137</v>
      </c>
      <c r="CZ59" s="59">
        <f t="shared" si="42"/>
        <v>158.77848520346532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34.817169277123007</v>
      </c>
      <c r="DG59" s="21">
        <f>EXP(-LN(2)/25)*DG58+(1-EXP(-LN(2)/25))/(LN(2)/25)*Calculateur!DB59*Calculateur!DD59*VLOOKUP('Données projet'!$B$13,Paramètres!$A$1:$I$89,3,0)*0.475*44/12</f>
        <v>11.477428445771078</v>
      </c>
      <c r="DH59" s="21">
        <f>EXP(-LN(2)/2)*DH58+(1-EXP(-LN(2)/2))/(LN(2)/2)*DB59*DE59*VLOOKUP('Données projet'!$B$13,Paramètres!$A$1:$I$89,3,0)*0.475*44/12</f>
        <v>0.64816707307971555</v>
      </c>
      <c r="DI59" s="22">
        <f t="shared" si="15"/>
        <v>46.942764795973801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11.170769230769233</v>
      </c>
      <c r="N60" s="13">
        <f>IF('Données projet'!$A$36&gt;35,N59+M60-V59,IF(A60&lt;'Données projet'!$A$36,$K$205^A60,IF(A60='Données projet'!$A$36,'Données projet'!$B$36,N59+M60-V59)))</f>
        <v>284.43230769230792</v>
      </c>
      <c r="O60" s="13">
        <f>N60*VLOOKUP('Données projet'!$B$9,Paramètres!$A$1:$I$89,3,0)*VLOOKUP('Données projet'!$B$9,Paramètres!$A$1:$I$89,5,0)</f>
        <v>133.11432000000011</v>
      </c>
      <c r="P60" s="13">
        <f t="shared" si="33"/>
        <v>34.714992732392233</v>
      </c>
      <c r="Q60" s="20">
        <f t="shared" si="53"/>
        <v>292.30271967558332</v>
      </c>
      <c r="R60" s="59">
        <f t="shared" si="0"/>
        <v>585.63605300891663</v>
      </c>
      <c r="S60" s="59">
        <f ca="1">AVERAGE(OFFSET($R$3,0,0,'Données projet'!$E$9+1,1))-AVERAGE(OFFSET($H$3,0,0,'Données projet'!$E$9+1,1))</f>
        <v>181.79645720099597</v>
      </c>
      <c r="T60" s="59">
        <f t="shared" si="34"/>
        <v>120.20040029102233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27.442632663635841</v>
      </c>
      <c r="AB60" s="21">
        <f>EXP(-LN(2)/2)*AB59+(1-EXP(-LN(2)/2))/(LN(2)/2)*V60*Y60*VLOOKUP('Données projet'!$B$9,Paramètres!$A$1:$I$89,3,0)*0.475*44/12</f>
        <v>4.9591299094094241</v>
      </c>
      <c r="AC60" s="22">
        <f t="shared" si="3"/>
        <v>32.401762573045268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14.839560438571425</v>
      </c>
      <c r="AI60" s="13">
        <f>IF('Données projet'!$A$62&gt;35,AI59+AH60-AQ59,IF(A60&lt;'Données projet'!$A$62,$AF$205^A60,IF(A60='Données projet'!$A$62,'Données projet'!$B$62,AI59+AH60-AQ59)))</f>
        <v>366.67802196857127</v>
      </c>
      <c r="AJ60" s="13">
        <f>AI60*VLOOKUP('Données projet'!$B$10,Paramètres!$A$1:$I$89,3,0)*VLOOKUP('Données projet'!$B$10,Paramètres!$A$1:$I$89,5,0)</f>
        <v>204.97301428043133</v>
      </c>
      <c r="AK60" s="13">
        <f t="shared" si="35"/>
        <v>50.835518578103155</v>
      </c>
      <c r="AL60" s="20">
        <f t="shared" si="4"/>
        <v>445.53319472861421</v>
      </c>
      <c r="AM60" s="59">
        <f t="shared" si="5"/>
        <v>738.86652806194752</v>
      </c>
      <c r="AN60" s="59">
        <f ca="1">AVERAGE(OFFSET($AM$3,0,0,'Données projet'!$E$10+1,1))-AVERAGE(OFFSET($H$3,0,0,'Données projet'!$E$10+1,1))</f>
        <v>253.62342381933348</v>
      </c>
      <c r="AO60" s="59">
        <f t="shared" si="36"/>
        <v>230.93438491775407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73.406755373187835</v>
      </c>
      <c r="AV60" s="21">
        <f>EXP(-LN(2)/25)*AV59+(1-EXP(-LN(2)/25))/(LN(2)/25)*Calculateur!AQ60*Calculateur!AS60*VLOOKUP('Données projet'!$B$10,Paramètres!$A$1:$I$89,3,0)*0.475*44/12</f>
        <v>27.183105113827871</v>
      </c>
      <c r="AW60" s="21">
        <f>EXP(-LN(2)/2)*AW59+(1-EXP(-LN(2)/2))/(LN(2)/2)*AQ60*AT60*VLOOKUP('Données projet'!$B$10,Paramètres!$A$1:$I$89,3,0)*0.475*44/12</f>
        <v>4.9951247945313879</v>
      </c>
      <c r="AX60" s="21">
        <f t="shared" si="6"/>
        <v>105.58498528154709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10.433653847499997</v>
      </c>
      <c r="BD60" s="12">
        <f>IF('Données projet'!$A$88&gt;35,BD59+BC60-BL59,IF(A60&lt;'Données projet'!$A$88,$BA$205^A60,IF(A60='Données projet'!$A$88,'Données projet'!$B$88,BD59+BC60-BL59)))</f>
        <v>322.19903845749991</v>
      </c>
      <c r="BE60" s="13">
        <f>BD60*VLOOKUP('Données projet'!$B$11,Paramètres!$A$1:$I$89,3,0)*VLOOKUP('Données projet'!$B$11,Paramètres!$A$1:$I$89,5,0)</f>
        <v>192.67502499758498</v>
      </c>
      <c r="BF60" s="13">
        <f t="shared" si="37"/>
        <v>48.130880815036747</v>
      </c>
      <c r="BG60" s="20">
        <f t="shared" si="7"/>
        <v>419.40361929031616</v>
      </c>
      <c r="BH60" s="59">
        <f t="shared" si="8"/>
        <v>712.73695262364947</v>
      </c>
      <c r="BI60" s="59">
        <f ca="1">AVERAGE(OFFSET($BH$3,0,0,'Données projet'!$E$11+1,1))-AVERAGE(OFFSET($H$3,0,0,'Données projet'!$E$11+1,1))</f>
        <v>199.27781324660782</v>
      </c>
      <c r="BJ60" s="59">
        <f t="shared" si="38"/>
        <v>199.82499536488524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43.92116387044571</v>
      </c>
      <c r="BQ60" s="21">
        <f>EXP(-LN(2)/25)*BQ59+(1-EXP(-LN(2)/25))/(LN(2)/25)*Calculateur!BL60*Calculateur!BN60*VLOOKUP('Données projet'!$B$11,Paramètres!$A$1:$I$89,3,0)*0.475*44/12</f>
        <v>16.349943924594285</v>
      </c>
      <c r="BR60" s="21">
        <f>EXP(-LN(2)/2)*BR59+(1-EXP(-LN(2)/2))/(LN(2)/2)*BL60*BO60*VLOOKUP('Données projet'!$B$11,Paramètres!$A$1:$I$89,3,0)*0.475*44/12</f>
        <v>1.0441351284061002</v>
      </c>
      <c r="BS60" s="22">
        <f t="shared" si="9"/>
        <v>61.315242923446093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10.433653846153845</v>
      </c>
      <c r="BY60" s="12">
        <f>IF('Données projet'!$A$114&gt;35,BY59+BX60-CG59,IF(A60&lt;'Données projet'!$A$114,$BV$205^A60,IF(A60='Données projet'!$A$114,'Données projet'!$B$114,BY59+BX60-CG59)))</f>
        <v>322.19903846153818</v>
      </c>
      <c r="BZ60" s="13">
        <f>BY60*VLOOKUP('Données projet'!$B$12,Paramètres!$A$1:$I$89,3,0)*VLOOKUP('Données projet'!$B$12,Paramètres!$A$1:$I$89,5,0)</f>
        <v>192.67502499999983</v>
      </c>
      <c r="CA60" s="13">
        <f t="shared" si="39"/>
        <v>48.130880815569739</v>
      </c>
      <c r="CB60" s="20">
        <f t="shared" si="10"/>
        <v>419.40361929545037</v>
      </c>
      <c r="CC60" s="59">
        <f t="shared" si="11"/>
        <v>712.73695262878368</v>
      </c>
      <c r="CD60" s="59">
        <f ca="1">AVERAGE(OFFSET($CC$3,0,0,'Données projet'!$E$12+1,1))-AVERAGE(OFFSET($H$3,0,0,'Données projet'!$E$12+1,1))</f>
        <v>199.27781323742636</v>
      </c>
      <c r="CE60" s="59">
        <f t="shared" si="40"/>
        <v>199.82499536063892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43.921163871530027</v>
      </c>
      <c r="CL60" s="21">
        <f>EXP(-LN(2)/25)*CL59+(1-EXP(-LN(2)/25))/(LN(2)/25)*Calculateur!CG60*Calculateur!CI60*VLOOKUP('Données projet'!$B$12,Paramètres!$A$1:$I$89,3,0)*0.475*44/12</f>
        <v>16.32429816220597</v>
      </c>
      <c r="CM60" s="21">
        <f>EXP(-LN(2)/2)*CM59+(1-EXP(-LN(2)/2))/(LN(2)/2)*CG60*CJ60*VLOOKUP('Données projet'!$B$12,Paramètres!$A$1:$I$89,3,0)*0.475*44/12</f>
        <v>1.0441954919031251</v>
      </c>
      <c r="CN60" s="22">
        <f t="shared" si="12"/>
        <v>61.289657525639122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10.663076923076932</v>
      </c>
      <c r="CT60" s="12">
        <f>IF('Données projet'!$A$140&gt;35,CT59+CS60-DB59,IF(A60&lt;'Données projet'!$A$140,$CQ$205^A60,IF(A60='Données projet'!$A$140,'Données projet'!$B$140,CT59+CS60-DB59)))</f>
        <v>310.4338461538461</v>
      </c>
      <c r="CU60" s="17">
        <f>CT60*VLOOKUP('Données projet'!$B$13,Paramètres!$A$1:$I$89,3,0)*VLOOKUP('Données projet'!$B$13,Paramètres!$A$1:$I$89,5,0)</f>
        <v>185.63943999999998</v>
      </c>
      <c r="CV60" s="13">
        <f t="shared" si="41"/>
        <v>46.574596113982338</v>
      </c>
      <c r="CW60" s="20">
        <f t="shared" si="13"/>
        <v>404.43944623185251</v>
      </c>
      <c r="CX60" s="59">
        <f t="shared" si="14"/>
        <v>697.77277956518583</v>
      </c>
      <c r="CY60" s="59">
        <f ca="1">AVERAGE(OFFSET($CX$3,0,0,'Données projet'!$E$13+1,1))-AVERAGE(OFFSET($H$3,0,0,'Données projet'!$E$13+1,1))</f>
        <v>213.18424462765137</v>
      </c>
      <c r="CZ60" s="59">
        <f t="shared" si="42"/>
        <v>158.77848520346532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34.134425823974965</v>
      </c>
      <c r="DG60" s="21">
        <f>EXP(-LN(2)/25)*DG59+(1-EXP(-LN(2)/25))/(LN(2)/25)*Calculateur!DB60*Calculateur!DD60*VLOOKUP('Données projet'!$B$13,Paramètres!$A$1:$I$89,3,0)*0.475*44/12</f>
        <v>11.163577561349738</v>
      </c>
      <c r="DH60" s="21">
        <f>EXP(-LN(2)/2)*DH59+(1-EXP(-LN(2)/2))/(LN(2)/2)*DB60*DE60*VLOOKUP('Données projet'!$B$13,Paramètres!$A$1:$I$89,3,0)*0.475*44/12</f>
        <v>0.45832333271650344</v>
      </c>
      <c r="DI60" s="22">
        <f t="shared" si="15"/>
        <v>45.756326718041208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11.170769230769233</v>
      </c>
      <c r="N61" s="13">
        <f>IF('Données projet'!$A$36&gt;35,N60+M61-V60,IF(A61&lt;'Données projet'!$A$36,$K$205^A61,IF(A61='Données projet'!$A$36,'Données projet'!$B$36,N60+M61-V60)))</f>
        <v>295.60307692307714</v>
      </c>
      <c r="O61" s="13">
        <f>N61*VLOOKUP('Données projet'!$B$9,Paramètres!$A$1:$I$89,3,0)*VLOOKUP('Données projet'!$B$9,Paramètres!$A$1:$I$89,5,0)</f>
        <v>138.34224000000009</v>
      </c>
      <c r="P61" s="13">
        <f t="shared" si="33"/>
        <v>35.916973077604602</v>
      </c>
      <c r="Q61" s="20">
        <f t="shared" si="53"/>
        <v>303.50146277682819</v>
      </c>
      <c r="R61" s="59">
        <f t="shared" si="0"/>
        <v>596.83479611016151</v>
      </c>
      <c r="S61" s="59">
        <f ca="1">AVERAGE(OFFSET($R$3,0,0,'Données projet'!$E$9+1,1))-AVERAGE(OFFSET($H$3,0,0,'Données projet'!$E$9+1,1))</f>
        <v>181.79645720099597</v>
      </c>
      <c r="T61" s="59">
        <f t="shared" si="34"/>
        <v>120.20040029102233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26.692212430303389</v>
      </c>
      <c r="AB61" s="21">
        <f>EXP(-LN(2)/2)*AB60+(1-EXP(-LN(2)/2))/(LN(2)/2)*V61*Y61*VLOOKUP('Données projet'!$B$9,Paramètres!$A$1:$I$89,3,0)*0.475*44/12</f>
        <v>3.5066343877284329</v>
      </c>
      <c r="AC61" s="22">
        <f t="shared" si="3"/>
        <v>30.198846818031821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14.839560438571425</v>
      </c>
      <c r="AI61" s="13">
        <f>IF('Données projet'!$A$62&gt;35,AI60+AH61-AQ60,IF(A61&lt;'Données projet'!$A$62,$AF$205^A61,IF(A61='Données projet'!$A$62,'Données projet'!$B$62,AI60+AH61-AQ60)))</f>
        <v>381.5175824071427</v>
      </c>
      <c r="AJ61" s="13">
        <f>AI61*VLOOKUP('Données projet'!$B$10,Paramètres!$A$1:$I$89,3,0)*VLOOKUP('Données projet'!$B$10,Paramètres!$A$1:$I$89,5,0)</f>
        <v>213.26832856559278</v>
      </c>
      <c r="AK61" s="13">
        <f t="shared" si="35"/>
        <v>52.649154507178629</v>
      </c>
      <c r="AL61" s="20">
        <f t="shared" si="4"/>
        <v>463.13961635174354</v>
      </c>
      <c r="AM61" s="59">
        <f t="shared" si="5"/>
        <v>756.47294968507686</v>
      </c>
      <c r="AN61" s="59">
        <f ca="1">AVERAGE(OFFSET($AM$3,0,0,'Données projet'!$E$10+1,1))-AVERAGE(OFFSET($H$3,0,0,'Données projet'!$E$10+1,1))</f>
        <v>253.62342381933348</v>
      </c>
      <c r="AO61" s="59">
        <f t="shared" si="36"/>
        <v>230.93438491775407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71.967293674019359</v>
      </c>
      <c r="AV61" s="21">
        <f>EXP(-LN(2)/25)*AV60+(1-EXP(-LN(2)/25))/(LN(2)/25)*Calculateur!AQ61*Calculateur!AS61*VLOOKUP('Données projet'!$B$10,Paramètres!$A$1:$I$89,3,0)*0.475*44/12</f>
        <v>26.439781674992879</v>
      </c>
      <c r="AW61" s="21">
        <f>EXP(-LN(2)/2)*AW60+(1-EXP(-LN(2)/2))/(LN(2)/2)*AQ61*AT61*VLOOKUP('Données projet'!$B$10,Paramètres!$A$1:$I$89,3,0)*0.475*44/12</f>
        <v>3.5320866150862047</v>
      </c>
      <c r="AX61" s="21">
        <f t="shared" si="6"/>
        <v>101.93916196409845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10.433653847499997</v>
      </c>
      <c r="BD61" s="12">
        <f>IF('Données projet'!$A$88&gt;35,BD60+BC61-BL60,IF(A61&lt;'Données projet'!$A$88,$BA$205^A61,IF(A61='Données projet'!$A$88,'Données projet'!$B$88,BD60+BC61-BL60)))</f>
        <v>332.63269230499992</v>
      </c>
      <c r="BE61" s="13">
        <f>BD61*VLOOKUP('Données projet'!$B$11,Paramètres!$A$1:$I$89,3,0)*VLOOKUP('Données projet'!$B$11,Paramètres!$A$1:$I$89,5,0)</f>
        <v>198.91434999838998</v>
      </c>
      <c r="BF61" s="13">
        <f t="shared" si="37"/>
        <v>49.505499184388505</v>
      </c>
      <c r="BG61" s="20">
        <f t="shared" si="7"/>
        <v>432.66457066000584</v>
      </c>
      <c r="BH61" s="59">
        <f t="shared" si="8"/>
        <v>725.99790399333915</v>
      </c>
      <c r="BI61" s="59">
        <f ca="1">AVERAGE(OFFSET($BH$3,0,0,'Données projet'!$E$11+1,1))-AVERAGE(OFFSET($H$3,0,0,'Données projet'!$E$11+1,1))</f>
        <v>199.27781324660782</v>
      </c>
      <c r="BJ61" s="59">
        <f t="shared" si="38"/>
        <v>199.82499536488524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43.059896636211008</v>
      </c>
      <c r="BQ61" s="21">
        <f>EXP(-LN(2)/25)*BQ60+(1-EXP(-LN(2)/25))/(LN(2)/25)*Calculateur!BL61*Calculateur!BN61*VLOOKUP('Données projet'!$B$11,Paramètres!$A$1:$I$89,3,0)*0.475*44/12</f>
        <v>15.902853848170071</v>
      </c>
      <c r="BR61" s="21">
        <f>EXP(-LN(2)/2)*BR60+(1-EXP(-LN(2)/2))/(LN(2)/2)*BL61*BO61*VLOOKUP('Données projet'!$B$11,Paramètres!$A$1:$I$89,3,0)*0.475*44/12</f>
        <v>0.73831502977104002</v>
      </c>
      <c r="BS61" s="22">
        <f t="shared" si="9"/>
        <v>59.701065514152113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10.433653846153845</v>
      </c>
      <c r="BY61" s="12">
        <f>IF('Données projet'!$A$114&gt;35,BY60+BX61-CG60,IF(A61&lt;'Données projet'!$A$114,$BV$205^A61,IF(A61='Données projet'!$A$114,'Données projet'!$B$114,BY60+BX61-CG60)))</f>
        <v>332.63269230769203</v>
      </c>
      <c r="BZ61" s="13">
        <f>BY61*VLOOKUP('Données projet'!$B$12,Paramètres!$A$1:$I$89,3,0)*VLOOKUP('Données projet'!$B$12,Paramètres!$A$1:$I$89,5,0)</f>
        <v>198.91434999999984</v>
      </c>
      <c r="CA61" s="13">
        <f t="shared" si="39"/>
        <v>49.505499184742547</v>
      </c>
      <c r="CB61" s="20">
        <f t="shared" si="10"/>
        <v>432.66457066342628</v>
      </c>
      <c r="CC61" s="59">
        <f t="shared" si="11"/>
        <v>725.99790399675953</v>
      </c>
      <c r="CD61" s="59">
        <f ca="1">AVERAGE(OFFSET($CC$3,0,0,'Données projet'!$E$12+1,1))-AVERAGE(OFFSET($H$3,0,0,'Données projet'!$E$12+1,1))</f>
        <v>199.27781323742636</v>
      </c>
      <c r="CE61" s="59">
        <f t="shared" si="40"/>
        <v>199.82499536063892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43.059896637274065</v>
      </c>
      <c r="CL61" s="21">
        <f>EXP(-LN(2)/25)*CL60+(1-EXP(-LN(2)/25))/(LN(2)/25)*Calculateur!CG61*Calculateur!CI61*VLOOKUP('Données projet'!$B$12,Paramètres!$A$1:$I$89,3,0)*0.475*44/12</f>
        <v>15.877909370502918</v>
      </c>
      <c r="CM61" s="21">
        <f>EXP(-LN(2)/2)*CM60+(1-EXP(-LN(2)/2))/(LN(2)/2)*CG61*CJ61*VLOOKUP('Données projet'!$B$12,Paramètres!$A$1:$I$89,3,0)*0.475*44/12</f>
        <v>0.73835771320912247</v>
      </c>
      <c r="CN61" s="22">
        <f t="shared" si="12"/>
        <v>59.676163720986104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10.663076923076932</v>
      </c>
      <c r="CT61" s="12">
        <f>IF('Données projet'!$A$140&gt;35,CT60+CS61-DB60,IF(A61&lt;'Données projet'!$A$140,$CQ$205^A61,IF(A61='Données projet'!$A$140,'Données projet'!$B$140,CT60+CS61-DB60)))</f>
        <v>321.09692307692302</v>
      </c>
      <c r="CU61" s="17">
        <f>CT61*VLOOKUP('Données projet'!$B$13,Paramètres!$A$1:$I$89,3,0)*VLOOKUP('Données projet'!$B$13,Paramètres!$A$1:$I$89,5,0)</f>
        <v>192.01595999999998</v>
      </c>
      <c r="CV61" s="13">
        <f t="shared" si="41"/>
        <v>47.985378835949042</v>
      </c>
      <c r="CW61" s="20">
        <f t="shared" si="13"/>
        <v>418.00233180594455</v>
      </c>
      <c r="CX61" s="59">
        <f t="shared" si="14"/>
        <v>711.33566513927781</v>
      </c>
      <c r="CY61" s="59">
        <f ca="1">AVERAGE(OFFSET($CX$3,0,0,'Données projet'!$E$13+1,1))-AVERAGE(OFFSET($H$3,0,0,'Données projet'!$E$13+1,1))</f>
        <v>213.18424462765137</v>
      </c>
      <c r="CZ61" s="59">
        <f t="shared" si="42"/>
        <v>158.77848520346532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33.46507055351077</v>
      </c>
      <c r="DG61" s="21">
        <f>EXP(-LN(2)/25)*DG60+(1-EXP(-LN(2)/25))/(LN(2)/25)*Calculateur!DB61*Calculateur!DD61*VLOOKUP('Données projet'!$B$13,Paramètres!$A$1:$I$89,3,0)*0.475*44/12</f>
        <v>10.8583089458676</v>
      </c>
      <c r="DH61" s="21">
        <f>EXP(-LN(2)/2)*DH60+(1-EXP(-LN(2)/2))/(LN(2)/2)*DB61*DE61*VLOOKUP('Données projet'!$B$13,Paramètres!$A$1:$I$89,3,0)*0.475*44/12</f>
        <v>0.32408353653985783</v>
      </c>
      <c r="DI61" s="22">
        <f t="shared" si="15"/>
        <v>44.647463035918229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11.170769230769233</v>
      </c>
      <c r="N62" s="13">
        <f>IF('Données projet'!$A$36&gt;35,N61+M62-V61,IF(A62&lt;'Données projet'!$A$36,$K$205^A62,IF(A62='Données projet'!$A$36,'Données projet'!$B$36,N61+M62-V61)))</f>
        <v>306.77384615384636</v>
      </c>
      <c r="O62" s="13">
        <f>N62*VLOOKUP('Données projet'!$B$9,Paramètres!$A$1:$I$89,3,0)*VLOOKUP('Données projet'!$B$9,Paramètres!$A$1:$I$89,5,0)</f>
        <v>143.5701600000001</v>
      </c>
      <c r="P62" s="13">
        <f t="shared" si="33"/>
        <v>37.113676523004848</v>
      </c>
      <c r="Q62" s="20">
        <f t="shared" si="53"/>
        <v>314.69101527756692</v>
      </c>
      <c r="R62" s="59">
        <f t="shared" si="0"/>
        <v>608.02434861090023</v>
      </c>
      <c r="S62" s="59">
        <f ca="1">AVERAGE(OFFSET($R$3,0,0,'Données projet'!$E$9+1,1))-AVERAGE(OFFSET($H$3,0,0,'Données projet'!$E$9+1,1))</f>
        <v>181.79645720099597</v>
      </c>
      <c r="T62" s="59">
        <f t="shared" si="34"/>
        <v>120.20040029102233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25.962312477714296</v>
      </c>
      <c r="AB62" s="21">
        <f>EXP(-LN(2)/2)*AB61+(1-EXP(-LN(2)/2))/(LN(2)/2)*V62*Y62*VLOOKUP('Données projet'!$B$9,Paramètres!$A$1:$I$89,3,0)*0.475*44/12</f>
        <v>2.4795649547047121</v>
      </c>
      <c r="AC62" s="22">
        <f t="shared" si="3"/>
        <v>28.441877432419009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14.839560438571425</v>
      </c>
      <c r="AI62" s="13">
        <f>IF('Données projet'!$A$62&gt;35,AI61+AH62-AQ61,IF(A62&lt;'Données projet'!$A$62,$AF$205^A62,IF(A62='Données projet'!$A$62,'Données projet'!$B$62,AI61+AH62-AQ61)))</f>
        <v>396.35714284571412</v>
      </c>
      <c r="AJ62" s="13">
        <f>AI62*VLOOKUP('Données projet'!$B$10,Paramètres!$A$1:$I$89,3,0)*VLOOKUP('Données projet'!$B$10,Paramètres!$A$1:$I$89,5,0)</f>
        <v>221.56364285075421</v>
      </c>
      <c r="AK62" s="13">
        <f t="shared" si="35"/>
        <v>54.454595558446044</v>
      </c>
      <c r="AL62" s="20">
        <f t="shared" si="4"/>
        <v>480.73176522935711</v>
      </c>
      <c r="AM62" s="59">
        <f t="shared" si="5"/>
        <v>774.06509856269042</v>
      </c>
      <c r="AN62" s="59">
        <f ca="1">AVERAGE(OFFSET($AM$3,0,0,'Données projet'!$E$10+1,1))-AVERAGE(OFFSET($H$3,0,0,'Données projet'!$E$10+1,1))</f>
        <v>253.62342381933348</v>
      </c>
      <c r="AO62" s="59">
        <f t="shared" si="36"/>
        <v>230.93438491775407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70.556058940786642</v>
      </c>
      <c r="AV62" s="21">
        <f>EXP(-LN(2)/25)*AV61+(1-EXP(-LN(2)/25))/(LN(2)/25)*Calculateur!AQ62*Calculateur!AS62*VLOOKUP('Données projet'!$B$10,Paramètres!$A$1:$I$89,3,0)*0.475*44/12</f>
        <v>25.716784454682511</v>
      </c>
      <c r="AW62" s="21">
        <f>EXP(-LN(2)/2)*AW61+(1-EXP(-LN(2)/2))/(LN(2)/2)*AQ62*AT62*VLOOKUP('Données projet'!$B$10,Paramètres!$A$1:$I$89,3,0)*0.475*44/12</f>
        <v>2.4975623972656944</v>
      </c>
      <c r="AX62" s="21">
        <f t="shared" si="6"/>
        <v>98.770405792734849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10.433653847499997</v>
      </c>
      <c r="BD62" s="12">
        <f>IF('Données projet'!$A$88&gt;35,BD61+BC62-BL61,IF(A62&lt;'Données projet'!$A$88,$BA$205^A62,IF(A62='Données projet'!$A$88,'Données projet'!$B$88,BD61+BC62-BL61)))</f>
        <v>343.06634615249993</v>
      </c>
      <c r="BE62" s="13">
        <f>BD62*VLOOKUP('Données projet'!$B$11,Paramètres!$A$1:$I$89,3,0)*VLOOKUP('Données projet'!$B$11,Paramètres!$A$1:$I$89,5,0)</f>
        <v>205.15367499919495</v>
      </c>
      <c r="BF62" s="13">
        <f t="shared" si="37"/>
        <v>50.875106959004015</v>
      </c>
      <c r="BG62" s="20">
        <f t="shared" si="7"/>
        <v>445.91679524386319</v>
      </c>
      <c r="BH62" s="59">
        <f t="shared" si="8"/>
        <v>739.25012857719651</v>
      </c>
      <c r="BI62" s="59">
        <f ca="1">AVERAGE(OFFSET($BH$3,0,0,'Données projet'!$E$11+1,1))-AVERAGE(OFFSET($H$3,0,0,'Données projet'!$E$11+1,1))</f>
        <v>199.27781324660782</v>
      </c>
      <c r="BJ62" s="59">
        <f t="shared" si="38"/>
        <v>199.82499536488524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42.215518327118509</v>
      </c>
      <c r="BQ62" s="21">
        <f>EXP(-LN(2)/25)*BQ61+(1-EXP(-LN(2)/25))/(LN(2)/25)*Calculateur!BL62*Calculateur!BN62*VLOOKUP('Données projet'!$B$11,Paramètres!$A$1:$I$89,3,0)*0.475*44/12</f>
        <v>15.467989473397123</v>
      </c>
      <c r="BR62" s="21">
        <f>EXP(-LN(2)/2)*BR61+(1-EXP(-LN(2)/2))/(LN(2)/2)*BL62*BO62*VLOOKUP('Données projet'!$B$11,Paramètres!$A$1:$I$89,3,0)*0.475*44/12</f>
        <v>0.52206756420305012</v>
      </c>
      <c r="BS62" s="22">
        <f t="shared" si="9"/>
        <v>58.205575364718683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10.433653846153845</v>
      </c>
      <c r="BY62" s="12">
        <f>IF('Données projet'!$A$114&gt;35,BY61+BX62-CG61,IF(A62&lt;'Données projet'!$A$114,$BV$205^A62,IF(A62='Données projet'!$A$114,'Données projet'!$B$114,BY61+BX62-CG61)))</f>
        <v>343.06634615384587</v>
      </c>
      <c r="BZ62" s="13">
        <f>BY62*VLOOKUP('Données projet'!$B$12,Paramètres!$A$1:$I$89,3,0)*VLOOKUP('Données projet'!$B$12,Paramètres!$A$1:$I$89,5,0)</f>
        <v>205.15367499999985</v>
      </c>
      <c r="CA62" s="13">
        <f t="shared" si="39"/>
        <v>50.875106959180371</v>
      </c>
      <c r="CB62" s="20">
        <f t="shared" si="10"/>
        <v>445.91679524557213</v>
      </c>
      <c r="CC62" s="59">
        <f t="shared" si="11"/>
        <v>739.25012857890545</v>
      </c>
      <c r="CD62" s="59">
        <f ca="1">AVERAGE(OFFSET($CC$3,0,0,'Données projet'!$E$12+1,1))-AVERAGE(OFFSET($H$3,0,0,'Données projet'!$E$12+1,1))</f>
        <v>199.27781323742636</v>
      </c>
      <c r="CE62" s="59">
        <f t="shared" si="40"/>
        <v>199.82499536063892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42.215518328160719</v>
      </c>
      <c r="CL62" s="21">
        <f>EXP(-LN(2)/25)*CL61+(1-EXP(-LN(2)/25))/(LN(2)/25)*Calculateur!CG62*Calculateur!CI62*VLOOKUP('Données projet'!$B$12,Paramètres!$A$1:$I$89,3,0)*0.475*44/12</f>
        <v>15.443727103783552</v>
      </c>
      <c r="CM62" s="21">
        <f>EXP(-LN(2)/2)*CM61+(1-EXP(-LN(2)/2))/(LN(2)/2)*CG62*CJ62*VLOOKUP('Données projet'!$B$12,Paramètres!$A$1:$I$89,3,0)*0.475*44/12</f>
        <v>0.52209774595156255</v>
      </c>
      <c r="CN62" s="22">
        <f t="shared" si="12"/>
        <v>58.181343177895833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10.663076923076932</v>
      </c>
      <c r="CT62" s="12">
        <f>IF('Données projet'!$A$140&gt;35,CT61+CS62-DB61,IF(A62&lt;'Données projet'!$A$140,$CQ$205^A62,IF(A62='Données projet'!$A$140,'Données projet'!$B$140,CT61+CS62-DB61)))</f>
        <v>331.75999999999993</v>
      </c>
      <c r="CU62" s="17">
        <f>CT62*VLOOKUP('Données projet'!$B$13,Paramètres!$A$1:$I$89,3,0)*VLOOKUP('Données projet'!$B$13,Paramètres!$A$1:$I$89,5,0)</f>
        <v>198.39247999999998</v>
      </c>
      <c r="CV62" s="13">
        <f t="shared" si="41"/>
        <v>49.39071772551025</v>
      </c>
      <c r="CW62" s="20">
        <f t="shared" si="13"/>
        <v>431.55573603859693</v>
      </c>
      <c r="CX62" s="59">
        <f t="shared" si="14"/>
        <v>724.88906937193019</v>
      </c>
      <c r="CY62" s="59">
        <f ca="1">AVERAGE(OFFSET($CX$3,0,0,'Données projet'!$E$13+1,1))-AVERAGE(OFFSET($H$3,0,0,'Données projet'!$E$13+1,1))</f>
        <v>213.18424462765137</v>
      </c>
      <c r="CZ62" s="59">
        <f t="shared" si="42"/>
        <v>158.77848520346532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32.808840931633974</v>
      </c>
      <c r="DG62" s="21">
        <f>EXP(-LN(2)/25)*DG61+(1-EXP(-LN(2)/25))/(LN(2)/25)*Calculateur!DB62*Calculateur!DD62*VLOOKUP('Données projet'!$B$13,Paramètres!$A$1:$I$89,3,0)*0.475*44/12</f>
        <v>10.561387916729201</v>
      </c>
      <c r="DH62" s="21">
        <f>EXP(-LN(2)/2)*DH61+(1-EXP(-LN(2)/2))/(LN(2)/2)*DB62*DE62*VLOOKUP('Données projet'!$B$13,Paramètres!$A$1:$I$89,3,0)*0.475*44/12</f>
        <v>0.22916166635825175</v>
      </c>
      <c r="DI62" s="22">
        <f t="shared" si="15"/>
        <v>43.599390514721428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11.170769230769233</v>
      </c>
      <c r="N63" s="13">
        <f>IF('Données projet'!$A$36&gt;35,N62+M63-V62,IF(A63&lt;'Données projet'!$A$36,$K$205^A63,IF(A63='Données projet'!$A$36,'Données projet'!$B$36,N62+M63-V62)))</f>
        <v>317.94461538461559</v>
      </c>
      <c r="O63" s="13">
        <f>N63*VLOOKUP('Données projet'!$B$9,Paramètres!$A$1:$I$89,3,0)*VLOOKUP('Données projet'!$B$9,Paramètres!$A$1:$I$89,5,0)</f>
        <v>148.79808000000008</v>
      </c>
      <c r="P63" s="13">
        <f t="shared" si="33"/>
        <v>38.305317228732633</v>
      </c>
      <c r="Q63" s="20">
        <f t="shared" si="53"/>
        <v>325.87175017337614</v>
      </c>
      <c r="R63" s="59">
        <f t="shared" si="0"/>
        <v>619.20508350670946</v>
      </c>
      <c r="S63" s="59">
        <f ca="1">AVERAGE(OFFSET($R$3,0,0,'Données projet'!$E$9+1,1))-AVERAGE(OFFSET($H$3,0,0,'Données projet'!$E$9+1,1))</f>
        <v>181.79645720099597</v>
      </c>
      <c r="T63" s="59">
        <f t="shared" si="34"/>
        <v>120.20040029102233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25.252371677712521</v>
      </c>
      <c r="AB63" s="21">
        <f>EXP(-LN(2)/2)*AB62+(1-EXP(-LN(2)/2))/(LN(2)/2)*V63*Y63*VLOOKUP('Données projet'!$B$9,Paramètres!$A$1:$I$89,3,0)*0.475*44/12</f>
        <v>1.7533171938642165</v>
      </c>
      <c r="AC63" s="22">
        <f t="shared" si="3"/>
        <v>27.005688871576737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14.839560438571425</v>
      </c>
      <c r="AI63" s="13">
        <f>IF('Données projet'!$A$62&gt;35,AI62+AH63-AQ62,IF(A63&lt;'Données projet'!$A$62,$AF$205^A63,IF(A63='Données projet'!$A$62,'Données projet'!$B$62,AI62+AH63-AQ62)))</f>
        <v>411.19670328428555</v>
      </c>
      <c r="AJ63" s="13">
        <f>AI63*VLOOKUP('Données projet'!$B$10,Paramètres!$A$1:$I$89,3,0)*VLOOKUP('Données projet'!$B$10,Paramètres!$A$1:$I$89,5,0)</f>
        <v>229.8589571359156</v>
      </c>
      <c r="AK63" s="13">
        <f t="shared" si="35"/>
        <v>56.25218367766594</v>
      </c>
      <c r="AL63" s="20">
        <f t="shared" si="4"/>
        <v>498.31023691698778</v>
      </c>
      <c r="AM63" s="59">
        <f t="shared" si="5"/>
        <v>791.64357025032109</v>
      </c>
      <c r="AN63" s="59">
        <f ca="1">AVERAGE(OFFSET($AM$3,0,0,'Données projet'!$E$10+1,1))-AVERAGE(OFFSET($H$3,0,0,'Données projet'!$E$10+1,1))</f>
        <v>253.62342381933348</v>
      </c>
      <c r="AO63" s="59">
        <f t="shared" si="36"/>
        <v>230.93438491775407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69.172497659904423</v>
      </c>
      <c r="AV63" s="21">
        <f>EXP(-LN(2)/25)*AV62+(1-EXP(-LN(2)/25))/(LN(2)/25)*Calculateur!AQ63*Calculateur!AS63*VLOOKUP('Données projet'!$B$10,Paramètres!$A$1:$I$89,3,0)*0.475*44/12</f>
        <v>25.013557631382298</v>
      </c>
      <c r="AW63" s="21">
        <f>EXP(-LN(2)/2)*AW62+(1-EXP(-LN(2)/2))/(LN(2)/2)*AQ63*AT63*VLOOKUP('Données projet'!$B$10,Paramètres!$A$1:$I$89,3,0)*0.475*44/12</f>
        <v>1.7660433075431026</v>
      </c>
      <c r="AX63" s="21">
        <f t="shared" si="6"/>
        <v>95.952098598829821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353.5</v>
      </c>
      <c r="BB63" s="12">
        <f>VLOOKUP(A63,'Données projet'!$A$87:$I$107,9,0)</f>
        <v>10.433653847499997</v>
      </c>
      <c r="BC63" s="12">
        <f t="array" ref="BC63">INDEX(BB:BB,MIN(IF(ISNUMBER(BB63:BB259),ROW(BB63:BB259),"")))</f>
        <v>10.433653847499997</v>
      </c>
      <c r="BD63" s="12">
        <f>IF('Données projet'!$A$88&gt;35,BD62+BC63-BL62,IF(A63&lt;'Données projet'!$A$88,$BA$205^A63,IF(A63='Données projet'!$A$88,'Données projet'!$B$88,BD62+BC63-BL62)))</f>
        <v>353.49999999999994</v>
      </c>
      <c r="BE63" s="13">
        <f>BD63*VLOOKUP('Données projet'!$B$11,Paramètres!$A$1:$I$89,3,0)*VLOOKUP('Données projet'!$B$11,Paramètres!$A$1:$I$89,5,0)</f>
        <v>211.393</v>
      </c>
      <c r="BF63" s="13">
        <f t="shared" si="37"/>
        <v>52.239874015944089</v>
      </c>
      <c r="BG63" s="20">
        <f t="shared" si="7"/>
        <v>459.16058891110259</v>
      </c>
      <c r="BH63" s="59">
        <f t="shared" si="8"/>
        <v>752.49392224443591</v>
      </c>
      <c r="BI63" s="59">
        <f ca="1">AVERAGE(OFFSET($BH$3,0,0,'Données projet'!$E$11+1,1))-AVERAGE(OFFSET($H$3,0,0,'Données projet'!$E$11+1,1))</f>
        <v>199.27781324660782</v>
      </c>
      <c r="BJ63" s="59">
        <f t="shared" si="38"/>
        <v>199.82499536488524</v>
      </c>
      <c r="BK63" s="15">
        <f>IF(ISNA(VLOOKUP(A63,'Données projet'!$A$87:$I$107,3,0)),0,VLOOKUP(A63,'Données projet'!$A$87:$I$107,3,0))</f>
        <v>7</v>
      </c>
      <c r="BL63" s="15">
        <f>IF(ISNA(VLOOKUP(A63,'Données projet'!$A$87:$I$107,4,0)),0,VLOOKUP(A63,'Données projet'!$A$87:$I$107,4,0))</f>
        <v>353.5</v>
      </c>
      <c r="BM63" s="16">
        <f>IF(ISNA(VLOOKUP(A63,'Données projet'!$A$87:$I$107,5,0)),0%,VLOOKUP(A63,'Données projet'!$A$87:$I$107,5,0)*VLOOKUP('Données projet'!$B$11,Paramètres!$A$1:$I$89,7,0))</f>
        <v>0.315</v>
      </c>
      <c r="BN63" s="16">
        <f>IF(ISNA(VLOOKUP(A63,'Données projet'!$A$87:$I$107,6,0)),0%,VLOOKUP(A63,'Données projet'!$A$87:$I$107,6,0)*VLOOKUP('Données projet'!$B$11,Paramètres!$A$1:$I$89,7,0))</f>
        <v>7.5600000000000001E-2</v>
      </c>
      <c r="BO63" s="16">
        <f>IF(ISNA(VLOOKUP(A63,'Données projet'!$A$87:$I$107,7,0)),0%,VLOOKUP(A63,'Données projet'!$A$87:$I$107,7,0))</f>
        <v>0.13200000000000001</v>
      </c>
      <c r="BP63" s="21">
        <f>EXP(-LN(2)/35)*BP62+(1-EXP(-LN(2)/35))/(LN(2)/35)*BL63*BM63*VLOOKUP('Données projet'!$B$11,Paramètres!$A$1:$I$89,3,0)*0.475*44/12</f>
        <v>129.72202633919761</v>
      </c>
      <c r="BQ63" s="21">
        <f>EXP(-LN(2)/25)*BQ62+(1-EXP(-LN(2)/25))/(LN(2)/25)*Calculateur!BL63*Calculateur!BN63*VLOOKUP('Données projet'!$B$11,Paramètres!$A$1:$I$89,3,0)*0.475*44/12</f>
        <v>36.161781928122245</v>
      </c>
      <c r="BR63" s="21">
        <f>EXP(-LN(2)/2)*BR62+(1-EXP(-LN(2)/2))/(LN(2)/2)*BL63*BO63*VLOOKUP('Données projet'!$B$11,Paramètres!$A$1:$I$89,3,0)*0.475*44/12</f>
        <v>31.96282714825913</v>
      </c>
      <c r="BS63" s="22">
        <f t="shared" si="9"/>
        <v>197.84663541557899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353.5</v>
      </c>
      <c r="BW63" s="12">
        <f>VLOOKUP(A63,'Données projet'!$A$113:$I$133,9,0)</f>
        <v>10.433653846153845</v>
      </c>
      <c r="BX63" s="12">
        <f t="array" ref="BX63">INDEX(BW:BW,MIN(IF(ISNUMBER(BW63:BW259),ROW(BW63:BW259),"")))</f>
        <v>10.433653846153845</v>
      </c>
      <c r="BY63" s="12">
        <f>IF('Données projet'!$A$114&gt;35,BY62+BX63-CG62,IF(A63&lt;'Données projet'!$A$114,$BV$205^A63,IF(A63='Données projet'!$A$114,'Données projet'!$B$114,BY62+BX63-CG62)))</f>
        <v>353.49999999999972</v>
      </c>
      <c r="BZ63" s="13">
        <f>BY63*VLOOKUP('Données projet'!$B$12,Paramètres!$A$1:$I$89,3,0)*VLOOKUP('Données projet'!$B$12,Paramètres!$A$1:$I$89,5,0)</f>
        <v>211.39299999999983</v>
      </c>
      <c r="CA63" s="13">
        <f t="shared" si="39"/>
        <v>52.239874015944039</v>
      </c>
      <c r="CB63" s="20">
        <f t="shared" si="10"/>
        <v>459.1605889111022</v>
      </c>
      <c r="CC63" s="59">
        <f t="shared" si="11"/>
        <v>752.49392224443545</v>
      </c>
      <c r="CD63" s="59">
        <f ca="1">AVERAGE(OFFSET($CC$3,0,0,'Données projet'!$E$12+1,1))-AVERAGE(OFFSET($H$3,0,0,'Données projet'!$E$12+1,1))</f>
        <v>199.27781323742636</v>
      </c>
      <c r="CE63" s="59">
        <f t="shared" si="40"/>
        <v>199.82499536063892</v>
      </c>
      <c r="CF63" s="15">
        <f>IF(ISNA(VLOOKUP(A63,'Données projet'!$A$113:$I$133,3,0)),0,VLOOKUP(A63,'Données projet'!$A$113:$I$133,3,0))</f>
        <v>7</v>
      </c>
      <c r="CG63" s="15">
        <f>IF(ISNA(VLOOKUP(A63,'Données projet'!$A$113:$I$133,4,0)),0,VLOOKUP(A63,'Données projet'!$A$113:$I$133,4,0))</f>
        <v>353.5</v>
      </c>
      <c r="CH63" s="16">
        <f>IF(ISNA(VLOOKUP(A63,'Données projet'!$A$113:$I$133,5,0)),0%,VLOOKUP(A63,'Données projet'!$A$113:$I$133,5,0)*VLOOKUP('Données projet'!$B$12,Paramètres!$A$1:$I$89,7,0))</f>
        <v>0.315</v>
      </c>
      <c r="CI63" s="16">
        <f>IF(ISNA(VLOOKUP(A63,'Données projet'!$A$113:$I$133,6,0)),0%,VLOOKUP(A63,'Données projet'!$A$113:$I$133,6,0)*VLOOKUP('Données projet'!$B$12,Paramètres!$A$1:$I$89,7,0))</f>
        <v>7.5600000000000001E-2</v>
      </c>
      <c r="CJ63" s="16">
        <f>IF(ISNA(VLOOKUP(A63,'Données projet'!$A$113:$I$133,7,0)),0%,VLOOKUP(A63,'Données projet'!$A$113:$I$133,7,0))</f>
        <v>0.13200000000000001</v>
      </c>
      <c r="CK63" s="21">
        <f>EXP(-LN(2)/35)*CK62+(1-EXP(-LN(2)/35))/(LN(2)/35)*CG63*CH63*VLOOKUP('Données projet'!$B$12,Paramètres!$A$1:$I$89,3,0)*0.475*44/12</f>
        <v>129.72202634021937</v>
      </c>
      <c r="CL63" s="21">
        <f>EXP(-LN(2)/25)*CL62+(1-EXP(-LN(2)/25))/(LN(2)/25)*Calculateur!CG63*Calculateur!CI63*VLOOKUP('Données projet'!$B$12,Paramètres!$A$1:$I$89,3,0)*0.475*44/12</f>
        <v>36.138183014281665</v>
      </c>
      <c r="CM63" s="21">
        <f>EXP(-LN(2)/2)*CM62+(1-EXP(-LN(2)/2))/(LN(2)/2)*CG63*CJ63*VLOOKUP('Données projet'!$B$12,Paramètres!$A$1:$I$89,3,0)*0.475*44/12</f>
        <v>31.962848489978171</v>
      </c>
      <c r="CN63" s="22">
        <f t="shared" si="12"/>
        <v>197.82305784447919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342.42307692307696</v>
      </c>
      <c r="CR63" s="12">
        <f>VLOOKUP(A63,'Données projet'!$A$139:$I$159,9,0)</f>
        <v>10.663076923076932</v>
      </c>
      <c r="CS63" s="12">
        <f t="array" ref="CS63">INDEX(CR:CR,MIN(IF(ISNUMBER(CR63:CR259),ROW(CR63:CR259),"")))</f>
        <v>10.663076923076932</v>
      </c>
      <c r="CT63" s="12">
        <f>IF('Données projet'!$A$140&gt;35,CT62+CS63-DB62,IF(A63&lt;'Données projet'!$A$140,$CQ$205^A63,IF(A63='Données projet'!$A$140,'Données projet'!$B$140,CT62+CS63-DB62)))</f>
        <v>342.42307692307685</v>
      </c>
      <c r="CU63" s="17">
        <f>CT63*VLOOKUP('Données projet'!$B$13,Paramètres!$A$1:$I$89,3,0)*VLOOKUP('Données projet'!$B$13,Paramètres!$A$1:$I$89,5,0)</f>
        <v>204.76899999999998</v>
      </c>
      <c r="CV63" s="13">
        <f t="shared" si="41"/>
        <v>50.790807822253974</v>
      </c>
      <c r="CW63" s="20">
        <f t="shared" si="13"/>
        <v>445.09999862375895</v>
      </c>
      <c r="CX63" s="59">
        <f t="shared" si="14"/>
        <v>738.43333195709226</v>
      </c>
      <c r="CY63" s="59">
        <f ca="1">AVERAGE(OFFSET($CX$3,0,0,'Données projet'!$E$13+1,1))-AVERAGE(OFFSET($H$3,0,0,'Données projet'!$E$13+1,1))</f>
        <v>213.18424462765137</v>
      </c>
      <c r="CZ63" s="59">
        <f t="shared" si="42"/>
        <v>158.77848520346532</v>
      </c>
      <c r="DA63" s="15">
        <f>IF(ISNA(VLOOKUP(A63,'Données projet'!$A$139:$I$159,3,0)),0,VLOOKUP(A63,'Données projet'!$A$139:$I$159,3,0))</f>
        <v>6</v>
      </c>
      <c r="DB63" s="15">
        <f>IF(ISNA(VLOOKUP(A63,'Données projet'!$A$139:$I$159,4,0)),0,VLOOKUP(A63,'Données projet'!$A$139:$I$159,4,0))</f>
        <v>54.261538461538464</v>
      </c>
      <c r="DC63" s="16">
        <f>IF(ISNA(VLOOKUP(A63,'Données projet'!$A$139:$I$159,5,0)),0%,VLOOKUP(A63,'Données projet'!$A$139:$I$159,5,0)*VLOOKUP('Données projet'!$B$13,Paramètres!$A$1:$I$89,7,0))</f>
        <v>0.315</v>
      </c>
      <c r="DD63" s="16">
        <f>IF(ISNA(VLOOKUP(A63,'Données projet'!$A$139:$I$159,6,0)),0%,VLOOKUP(A63,'Données projet'!$A$139:$I$159,6,0)*VLOOKUP('Données projet'!$B$13,Paramètres!$A$1:$I$89,7,0))</f>
        <v>7.5600000000000001E-2</v>
      </c>
      <c r="DE63" s="16">
        <f>IF(ISNA(VLOOKUP(A63,'Données projet'!$A$139:$I$159,7,0)),0%,VLOOKUP(A63,'Données projet'!$A$139:$I$159,7,0))</f>
        <v>0.13200000000000001</v>
      </c>
      <c r="DF63" s="21">
        <f>EXP(-LN(2)/35)*DF62+(1-EXP(-LN(2)/35))/(LN(2)/35)*DB63*DC63*VLOOKUP('Données projet'!$B$13,Paramètres!$A$1:$I$89,3,0)*0.475*44/12</f>
        <v>45.724621206285214</v>
      </c>
      <c r="DG63" s="21">
        <f>EXP(-LN(2)/25)*DG62+(1-EXP(-LN(2)/25))/(LN(2)/25)*Calculateur!DB63*Calculateur!DD63*VLOOKUP('Données projet'!$B$13,Paramètres!$A$1:$I$89,3,0)*0.475*44/12</f>
        <v>13.513967199191683</v>
      </c>
      <c r="DH63" s="21">
        <f>EXP(-LN(2)/2)*DH62+(1-EXP(-LN(2)/2))/(LN(2)/2)*DB63*DE63*VLOOKUP('Données projet'!$B$13,Paramètres!$A$1:$I$89,3,0)*0.475*44/12</f>
        <v>5.0116064640335569</v>
      </c>
      <c r="DI63" s="22">
        <f t="shared" si="15"/>
        <v>64.250194869510452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>
        <f>VLOOKUP(A64,'Données projet'!$A$35:$I$55,2,0)</f>
        <v>329.11538461538464</v>
      </c>
      <c r="L64" s="12">
        <f>VLOOKUP(A64,'Données projet'!$A$35:$I$55,9,0)</f>
        <v>11.170769230769233</v>
      </c>
      <c r="M64" s="12">
        <f t="array" ref="M64">INDEX(L:L,MIN(IF(ISNUMBER(L64:L260),ROW(L64:L260),"")))</f>
        <v>11.170769230769233</v>
      </c>
      <c r="N64" s="13">
        <f>IF('Données projet'!$A$36&gt;35,N63+M64-V63,IF(A64&lt;'Données projet'!$A$36,$K$205^A64,IF(A64='Données projet'!$A$36,'Données projet'!$B$36,N63+M64-V63)))</f>
        <v>329.11538461538481</v>
      </c>
      <c r="O64" s="13">
        <f>N64*VLOOKUP('Données projet'!$B$9,Paramètres!$A$1:$I$89,3,0)*VLOOKUP('Données projet'!$B$9,Paramètres!$A$1:$I$89,5,0)</f>
        <v>154.0260000000001</v>
      </c>
      <c r="P64" s="13">
        <f t="shared" si="33"/>
        <v>39.492093452898274</v>
      </c>
      <c r="Q64" s="20">
        <f t="shared" si="53"/>
        <v>337.04401276379798</v>
      </c>
      <c r="R64" s="59">
        <f t="shared" si="0"/>
        <v>630.37734609713129</v>
      </c>
      <c r="S64" s="59">
        <f ca="1">AVERAGE(OFFSET($R$3,0,0,'Données projet'!$E$9+1,1))-AVERAGE(OFFSET($H$3,0,0,'Données projet'!$E$9+1,1))</f>
        <v>181.79645720099597</v>
      </c>
      <c r="T64" s="59">
        <f t="shared" si="34"/>
        <v>120.20040029102233</v>
      </c>
      <c r="U64" s="15">
        <f>IF(ISNA(VLOOKUP(A64,'Données projet'!$A$35:$I$55,3,0)),0,VLOOKUP(A64,'Données projet'!$A$35:$I$55,3,0))</f>
        <v>2</v>
      </c>
      <c r="V64" s="15">
        <f>IF(ISNA(VLOOKUP(A64,'Données projet'!$A$35:$I$55,4,0)),0,VLOOKUP(A64,'Données projet'!$A$35:$I$55,4,0))</f>
        <v>94.76153846153845</v>
      </c>
      <c r="W64" s="16">
        <f>IF(ISNA(VLOOKUP(A64,'Données projet'!$A$35:$I$55,5,0)),0%,VLOOKUP(A64,'Données projet'!$A$35:$I$55,5,0)*VLOOKUP('Données projet'!$B$9,Paramètres!$A$1:$I$89,7,0))</f>
        <v>0.38500000000000001</v>
      </c>
      <c r="X64" s="16">
        <f>IF(ISNA(VLOOKUP(A64,'Données projet'!$A$35:$I$55,6,0)),0%,VLOOKUP(A64,'Données projet'!$A$35:$I$55,6,0)*VLOOKUP('Données projet'!$B$9,Paramètres!$A$1:$I$89,7,0))</f>
        <v>9.240000000000001E-2</v>
      </c>
      <c r="Y64" s="16">
        <f>IF(ISNA(VLOOKUP(A64,'Données projet'!$A$35:$I$55,7,0)),0%,VLOOKUP(A64,'Données projet'!$A$35:$I$55,7,0))</f>
        <v>0.13200000000000001</v>
      </c>
      <c r="Z64" s="21">
        <f>EXP(-LN(2)/35)*Z63+(1-EXP(-LN(2)/35))/(LN(2)/35)*V64*W64*VLOOKUP('Données projet'!$B$9,Paramètres!$A$1:$I$89,3,0)*0.475*44/12</f>
        <v>22.649939271811736</v>
      </c>
      <c r="AA64" s="21">
        <f>EXP(-LN(2)/25)*AA63+(1-EXP(-LN(2)/25))/(LN(2)/25)*Calculateur!V64*Calculateur!X64*VLOOKUP('Données projet'!$B$9,Paramètres!$A$1:$I$89,3,0)*0.475*44/12</f>
        <v>29.976426125563794</v>
      </c>
      <c r="AB64" s="21">
        <f>EXP(-LN(2)/2)*AB63+(1-EXP(-LN(2)/2))/(LN(2)/2)*V64*Y64*VLOOKUP('Données projet'!$B$9,Paramètres!$A$1:$I$89,3,0)*0.475*44/12</f>
        <v>7.867857666070555</v>
      </c>
      <c r="AC64" s="22">
        <f t="shared" si="3"/>
        <v>60.494223063446086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14.839560438571425</v>
      </c>
      <c r="AI64" s="13">
        <f>IF('Données projet'!$A$62&gt;35,AI63+AH64-AQ63,IF(A64&lt;'Données projet'!$A$62,$AF$205^A64,IF(A64='Données projet'!$A$62,'Données projet'!$B$62,AI63+AH64-AQ63)))</f>
        <v>426.03626372285697</v>
      </c>
      <c r="AJ64" s="13">
        <f>AI64*VLOOKUP('Données projet'!$B$10,Paramètres!$A$1:$I$89,3,0)*VLOOKUP('Données projet'!$B$10,Paramètres!$A$1:$I$89,5,0)</f>
        <v>238.15427142107706</v>
      </c>
      <c r="AK64" s="13">
        <f t="shared" si="35"/>
        <v>58.042234730927127</v>
      </c>
      <c r="AL64" s="20">
        <f t="shared" si="4"/>
        <v>515.87558154807391</v>
      </c>
      <c r="AM64" s="59">
        <f t="shared" si="5"/>
        <v>809.20891488140728</v>
      </c>
      <c r="AN64" s="59">
        <f ca="1">AVERAGE(OFFSET($AM$3,0,0,'Données projet'!$E$10+1,1))-AVERAGE(OFFSET($H$3,0,0,'Données projet'!$E$10+1,1))</f>
        <v>253.62342381933348</v>
      </c>
      <c r="AO64" s="59">
        <f t="shared" si="36"/>
        <v>230.93438491775407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67.816067171851245</v>
      </c>
      <c r="AV64" s="21">
        <f>EXP(-LN(2)/25)*AV63+(1-EXP(-LN(2)/25))/(LN(2)/25)*Calculateur!AQ64*Calculateur!AS64*VLOOKUP('Données projet'!$B$10,Paramètres!$A$1:$I$89,3,0)*0.475*44/12</f>
        <v>24.329560582546321</v>
      </c>
      <c r="AW64" s="21">
        <f>EXP(-LN(2)/2)*AW63+(1-EXP(-LN(2)/2))/(LN(2)/2)*AQ64*AT64*VLOOKUP('Données projet'!$B$10,Paramètres!$A$1:$I$89,3,0)*0.475*44/12</f>
        <v>1.2487811986328474</v>
      </c>
      <c r="AX64" s="21">
        <f t="shared" si="6"/>
        <v>93.394408953030407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-5.6843418860808015E-14</v>
      </c>
      <c r="BE64" s="13">
        <f>BD64*VLOOKUP('Données projet'!$B$11,Paramètres!$A$1:$I$89,3,0)*VLOOKUP('Données projet'!$B$11,Paramètres!$A$1:$I$89,5,0)</f>
        <v>-3.3992364478763198E-14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199.27781324660782</v>
      </c>
      <c r="BJ64" s="59">
        <f t="shared" si="38"/>
        <v>199.82499536488524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127.17825652530931</v>
      </c>
      <c r="BQ64" s="21">
        <f>EXP(-LN(2)/25)*BQ63+(1-EXP(-LN(2)/25))/(LN(2)/25)*Calculateur!BL64*Calculateur!BN64*VLOOKUP('Données projet'!$B$11,Paramètres!$A$1:$I$89,3,0)*0.475*44/12</f>
        <v>35.172936099632281</v>
      </c>
      <c r="BR64" s="21">
        <f>EXP(-LN(2)/2)*BR63+(1-EXP(-LN(2)/2))/(LN(2)/2)*BL64*BO64*VLOOKUP('Données projet'!$B$11,Paramètres!$A$1:$I$89,3,0)*0.475*44/12</f>
        <v>22.601131822427512</v>
      </c>
      <c r="BS64" s="22">
        <f t="shared" si="9"/>
        <v>184.95232444736908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-2.8421709430404007E-13</v>
      </c>
      <c r="BZ64" s="13">
        <f>BY64*VLOOKUP('Données projet'!$B$12,Paramètres!$A$1:$I$89,3,0)*VLOOKUP('Données projet'!$B$12,Paramètres!$A$1:$I$89,5,0)</f>
        <v>-1.69961822393816E-13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199.27781323742636</v>
      </c>
      <c r="CE64" s="59">
        <f t="shared" si="40"/>
        <v>199.82499536063892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127.17825652631103</v>
      </c>
      <c r="CL64" s="21">
        <f>EXP(-LN(2)/25)*CL63+(1-EXP(-LN(2)/25))/(LN(2)/25)*Calculateur!CG64*Calculateur!CI64*VLOOKUP('Données projet'!$B$12,Paramètres!$A$1:$I$89,3,0)*0.475*44/12</f>
        <v>35.149982499331685</v>
      </c>
      <c r="CM64" s="21">
        <f>EXP(-LN(2)/2)*CM63+(1-EXP(-LN(2)/2))/(LN(2)/2)*CG64*CJ64*VLOOKUP('Données projet'!$B$12,Paramètres!$A$1:$I$89,3,0)*0.475*44/12</f>
        <v>22.601146913301768</v>
      </c>
      <c r="CN64" s="22">
        <f t="shared" si="12"/>
        <v>184.92938593894448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9.1830769230769196</v>
      </c>
      <c r="CT64" s="12">
        <f>IF('Données projet'!$A$140&gt;35,CT63+CS64-DB63,IF(A64&lt;'Données projet'!$A$140,$CQ$205^A64,IF(A64='Données projet'!$A$140,'Données projet'!$B$140,CT63+CS64-DB63)))</f>
        <v>297.34461538461528</v>
      </c>
      <c r="CU64" s="17">
        <f>CT64*VLOOKUP('Données projet'!$B$13,Paramètres!$A$1:$I$89,3,0)*VLOOKUP('Données projet'!$B$13,Paramètres!$A$1:$I$89,5,0)</f>
        <v>177.81207999999992</v>
      </c>
      <c r="CV64" s="13">
        <f t="shared" si="41"/>
        <v>44.835068353066951</v>
      </c>
      <c r="CW64" s="20">
        <f t="shared" si="13"/>
        <v>387.77711671492483</v>
      </c>
      <c r="CX64" s="59">
        <f t="shared" si="14"/>
        <v>681.11045004825814</v>
      </c>
      <c r="CY64" s="59">
        <f ca="1">AVERAGE(OFFSET($CX$3,0,0,'Données projet'!$E$13+1,1))-AVERAGE(OFFSET($H$3,0,0,'Données projet'!$E$13+1,1))</f>
        <v>213.18424462765137</v>
      </c>
      <c r="CZ64" s="59">
        <f t="shared" si="42"/>
        <v>158.77848520346532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44.82798927369506</v>
      </c>
      <c r="DG64" s="21">
        <f>EXP(-LN(2)/25)*DG63+(1-EXP(-LN(2)/25))/(LN(2)/25)*Calculateur!DB64*Calculateur!DD64*VLOOKUP('Données projet'!$B$13,Paramètres!$A$1:$I$89,3,0)*0.475*44/12</f>
        <v>13.144427055461138</v>
      </c>
      <c r="DH64" s="21">
        <f>EXP(-LN(2)/2)*DH63+(1-EXP(-LN(2)/2))/(LN(2)/2)*DB64*DE64*VLOOKUP('Données projet'!$B$13,Paramètres!$A$1:$I$89,3,0)*0.475*44/12</f>
        <v>3.5437409153564636</v>
      </c>
      <c r="DI64" s="22">
        <f t="shared" si="15"/>
        <v>61.516157244512662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10.314743589743591</v>
      </c>
      <c r="N65" s="13">
        <f>IF('Données projet'!$A$36&gt;35,N64+M65-V64,IF(A65&lt;'Données projet'!$A$36,$K$205^A65,IF(A65='Données projet'!$A$36,'Données projet'!$B$36,N64+M65-V64)))</f>
        <v>244.66858974358996</v>
      </c>
      <c r="O65" s="13">
        <f>N65*VLOOKUP('Données projet'!$B$9,Paramètres!$A$1:$I$89,3,0)*VLOOKUP('Données projet'!$B$9,Paramètres!$A$1:$I$89,5,0)</f>
        <v>114.50490000000011</v>
      </c>
      <c r="P65" s="13">
        <f t="shared" si="33"/>
        <v>30.389882066052234</v>
      </c>
      <c r="Q65" s="20">
        <f t="shared" si="53"/>
        <v>252.35841209837443</v>
      </c>
      <c r="R65" s="59">
        <f t="shared" si="0"/>
        <v>545.69174543170777</v>
      </c>
      <c r="S65" s="59">
        <f ca="1">AVERAGE(OFFSET($R$3,0,0,'Données projet'!$E$9+1,1))-AVERAGE(OFFSET($H$3,0,0,'Données projet'!$E$9+1,1))</f>
        <v>181.79645720099597</v>
      </c>
      <c r="T65" s="59">
        <f t="shared" si="34"/>
        <v>120.20040029102233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22.205787777790334</v>
      </c>
      <c r="AA65" s="21">
        <f>EXP(-LN(2)/25)*AA64+(1-EXP(-LN(2)/25))/(LN(2)/25)*Calculateur!V65*Calculateur!X65*VLOOKUP('Données projet'!$B$9,Paramètres!$A$1:$I$89,3,0)*0.475*44/12</f>
        <v>29.156719176768515</v>
      </c>
      <c r="AB65" s="21">
        <f>EXP(-LN(2)/2)*AB64+(1-EXP(-LN(2)/2))/(LN(2)/2)*V65*Y65*VLOOKUP('Données projet'!$B$9,Paramètres!$A$1:$I$89,3,0)*0.475*44/12</f>
        <v>5.5634155090890527</v>
      </c>
      <c r="AC65" s="22">
        <f t="shared" si="3"/>
        <v>56.925922463647908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14.839560438571425</v>
      </c>
      <c r="AI65" s="13">
        <f>IF('Données projet'!$A$62&gt;35,AI64+AH65-AQ64,IF(A65&lt;'Données projet'!$A$62,$AF$205^A65,IF(A65='Données projet'!$A$62,'Données projet'!$B$62,AI64+AH65-AQ64)))</f>
        <v>440.8758241614284</v>
      </c>
      <c r="AJ65" s="13">
        <f>AI65*VLOOKUP('Données projet'!$B$10,Paramètres!$A$1:$I$89,3,0)*VLOOKUP('Données projet'!$B$10,Paramètres!$A$1:$I$89,5,0)</f>
        <v>246.44958570623848</v>
      </c>
      <c r="AK65" s="13">
        <f t="shared" si="35"/>
        <v>59.825041332192932</v>
      </c>
      <c r="AL65" s="20">
        <f t="shared" si="4"/>
        <v>533.42830875860125</v>
      </c>
      <c r="AM65" s="59">
        <f t="shared" si="5"/>
        <v>826.76164209193462</v>
      </c>
      <c r="AN65" s="59">
        <f ca="1">AVERAGE(OFFSET($AM$3,0,0,'Données projet'!$E$10+1,1))-AVERAGE(OFFSET($H$3,0,0,'Données projet'!$E$10+1,1))</f>
        <v>253.62342381933348</v>
      </c>
      <c r="AO65" s="59">
        <f t="shared" si="36"/>
        <v>230.93438491775407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66.486235458327883</v>
      </c>
      <c r="AV65" s="21">
        <f>EXP(-LN(2)/25)*AV64+(1-EXP(-LN(2)/25))/(LN(2)/25)*Calculateur!AQ65*Calculateur!AS65*VLOOKUP('Données projet'!$B$10,Paramètres!$A$1:$I$89,3,0)*0.475*44/12</f>
        <v>23.664267468980608</v>
      </c>
      <c r="AW65" s="21">
        <f>EXP(-LN(2)/2)*AW64+(1-EXP(-LN(2)/2))/(LN(2)/2)*AQ65*AT65*VLOOKUP('Données projet'!$B$10,Paramètres!$A$1:$I$89,3,0)*0.475*44/12</f>
        <v>0.8830216537715514</v>
      </c>
      <c r="AX65" s="21">
        <f t="shared" si="6"/>
        <v>91.033524581080044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-5.6843418860808015E-14</v>
      </c>
      <c r="BE65" s="13">
        <f>BD65*VLOOKUP('Données projet'!$B$11,Paramètres!$A$1:$I$89,3,0)*VLOOKUP('Données projet'!$B$11,Paramètres!$A$1:$I$89,5,0)</f>
        <v>-3.3992364478763198E-14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199.27781324660782</v>
      </c>
      <c r="BJ65" s="59">
        <f t="shared" si="38"/>
        <v>199.82499536488524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124.68436848592496</v>
      </c>
      <c r="BQ65" s="21">
        <f>EXP(-LN(2)/25)*BQ64+(1-EXP(-LN(2)/25))/(LN(2)/25)*Calculateur!BL65*Calculateur!BN65*VLOOKUP('Données projet'!$B$11,Paramètres!$A$1:$I$89,3,0)*0.475*44/12</f>
        <v>34.211130312323519</v>
      </c>
      <c r="BR65" s="21">
        <f>EXP(-LN(2)/2)*BR64+(1-EXP(-LN(2)/2))/(LN(2)/2)*BL65*BO65*VLOOKUP('Données projet'!$B$11,Paramètres!$A$1:$I$89,3,0)*0.475*44/12</f>
        <v>15.981413574129567</v>
      </c>
      <c r="BS65" s="22">
        <f t="shared" si="9"/>
        <v>174.87691237237803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-2.8421709430404007E-13</v>
      </c>
      <c r="BZ65" s="13">
        <f>BY65*VLOOKUP('Données projet'!$B$12,Paramètres!$A$1:$I$89,3,0)*VLOOKUP('Données projet'!$B$12,Paramètres!$A$1:$I$89,5,0)</f>
        <v>-1.69961822393816E-13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199.27781323742636</v>
      </c>
      <c r="CE65" s="59">
        <f t="shared" si="40"/>
        <v>199.82499536063892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124.68436848690705</v>
      </c>
      <c r="CL65" s="21">
        <f>EXP(-LN(2)/25)*CL64+(1-EXP(-LN(2)/25))/(LN(2)/25)*Calculateur!CG65*Calculateur!CI65*VLOOKUP('Données projet'!$B$12,Paramètres!$A$1:$I$89,3,0)*0.475*44/12</f>
        <v>34.188804379430216</v>
      </c>
      <c r="CM65" s="21">
        <f>EXP(-LN(2)/2)*CM64+(1-EXP(-LN(2)/2))/(LN(2)/2)*CG65*CJ65*VLOOKUP('Données projet'!$B$12,Paramètres!$A$1:$I$89,3,0)*0.475*44/12</f>
        <v>15.981424244989089</v>
      </c>
      <c r="CN65" s="22">
        <f t="shared" si="12"/>
        <v>174.85459711132634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9.1830769230769196</v>
      </c>
      <c r="CT65" s="12">
        <f>IF('Données projet'!$A$140&gt;35,CT64+CS65-DB64,IF(A65&lt;'Données projet'!$A$140,$CQ$205^A65,IF(A65='Données projet'!$A$140,'Données projet'!$B$140,CT64+CS65-DB64)))</f>
        <v>306.52769230769218</v>
      </c>
      <c r="CU65" s="17">
        <f>CT65*VLOOKUP('Données projet'!$B$13,Paramètres!$A$1:$I$89,3,0)*VLOOKUP('Données projet'!$B$13,Paramètres!$A$1:$I$89,5,0)</f>
        <v>183.30355999999992</v>
      </c>
      <c r="CV65" s="13">
        <f t="shared" si="41"/>
        <v>46.056387641494027</v>
      </c>
      <c r="CW65" s="20">
        <f t="shared" si="13"/>
        <v>399.46857547560194</v>
      </c>
      <c r="CX65" s="59">
        <f t="shared" si="14"/>
        <v>692.8019088089352</v>
      </c>
      <c r="CY65" s="59">
        <f ca="1">AVERAGE(OFFSET($CX$3,0,0,'Données projet'!$E$13+1,1))-AVERAGE(OFFSET($H$3,0,0,'Données projet'!$E$13+1,1))</f>
        <v>213.18424462765137</v>
      </c>
      <c r="CZ65" s="59">
        <f t="shared" si="42"/>
        <v>158.77848520346532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43.948939746411519</v>
      </c>
      <c r="DG65" s="21">
        <f>EXP(-LN(2)/25)*DG64+(1-EXP(-LN(2)/25))/(LN(2)/25)*Calculateur!DB65*Calculateur!DD65*VLOOKUP('Données projet'!$B$13,Paramètres!$A$1:$I$89,3,0)*0.475*44/12</f>
        <v>12.784992006394177</v>
      </c>
      <c r="DH65" s="21">
        <f>EXP(-LN(2)/2)*DH64+(1-EXP(-LN(2)/2))/(LN(2)/2)*DB65*DE65*VLOOKUP('Données projet'!$B$13,Paramètres!$A$1:$I$89,3,0)*0.475*44/12</f>
        <v>2.5058032320167789</v>
      </c>
      <c r="DI65" s="22">
        <f t="shared" si="15"/>
        <v>59.239734984822476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10.314743589743591</v>
      </c>
      <c r="N66" s="13">
        <f>IF('Données projet'!$A$36&gt;35,N65+M66-V65,IF(A66&lt;'Données projet'!$A$36,$K$205^A66,IF(A66='Données projet'!$A$36,'Données projet'!$B$36,N65+M66-V65)))</f>
        <v>254.98333333333355</v>
      </c>
      <c r="O66" s="13">
        <f>N66*VLOOKUP('Données projet'!$B$9,Paramètres!$A$1:$I$89,3,0)*VLOOKUP('Données projet'!$B$9,Paramètres!$A$1:$I$89,5,0)</f>
        <v>119.33220000000009</v>
      </c>
      <c r="P66" s="13">
        <f t="shared" si="33"/>
        <v>31.519195359992793</v>
      </c>
      <c r="Q66" s="20">
        <f t="shared" si="53"/>
        <v>262.73284691865422</v>
      </c>
      <c r="R66" s="59">
        <f t="shared" si="0"/>
        <v>556.06618025198759</v>
      </c>
      <c r="S66" s="59">
        <f ca="1">AVERAGE(OFFSET($R$3,0,0,'Données projet'!$E$9+1,1))-AVERAGE(OFFSET($H$3,0,0,'Données projet'!$E$9+1,1))</f>
        <v>181.79645720099597</v>
      </c>
      <c r="T66" s="59">
        <f t="shared" si="34"/>
        <v>120.20040029102233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21.770345823661032</v>
      </c>
      <c r="AA66" s="21">
        <f>EXP(-LN(2)/25)*AA65+(1-EXP(-LN(2)/25))/(LN(2)/25)*Calculateur!V66*Calculateur!X66*VLOOKUP('Données projet'!$B$9,Paramètres!$A$1:$I$89,3,0)*0.475*44/12</f>
        <v>28.359427157594556</v>
      </c>
      <c r="AB66" s="21">
        <f>EXP(-LN(2)/2)*AB65+(1-EXP(-LN(2)/2))/(LN(2)/2)*V66*Y66*VLOOKUP('Données projet'!$B$9,Paramètres!$A$1:$I$89,3,0)*0.475*44/12</f>
        <v>3.933928833035278</v>
      </c>
      <c r="AC66" s="22">
        <f t="shared" si="3"/>
        <v>54.063701814290866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455.71538459999999</v>
      </c>
      <c r="AG66" s="12">
        <f>VLOOKUP(A66,'Données projet'!$A$61:$I$81,9,0)</f>
        <v>14.839560438571425</v>
      </c>
      <c r="AH66" s="12">
        <f t="array" ref="AH66">INDEX(AG:AG,MIN(IF(ISNUMBER(AG66:AG262),ROW(AG66:AG262),"")))</f>
        <v>14.839560438571425</v>
      </c>
      <c r="AI66" s="13">
        <f>IF('Données projet'!$A$62&gt;35,AI65+AH66-AQ65,IF(A66&lt;'Données projet'!$A$62,$AF$205^A66,IF(A66='Données projet'!$A$62,'Données projet'!$B$62,AI65+AH66-AQ65)))</f>
        <v>455.71538459999982</v>
      </c>
      <c r="AJ66" s="13">
        <f>AI66*VLOOKUP('Données projet'!$B$10,Paramètres!$A$1:$I$89,3,0)*VLOOKUP('Données projet'!$B$10,Paramètres!$A$1:$I$89,5,0)</f>
        <v>254.7448999913999</v>
      </c>
      <c r="AK66" s="13">
        <f t="shared" si="35"/>
        <v>61.600875279460205</v>
      </c>
      <c r="AL66" s="20">
        <f t="shared" si="4"/>
        <v>550.96889193008133</v>
      </c>
      <c r="AM66" s="59">
        <f t="shared" si="5"/>
        <v>844.30222526341458</v>
      </c>
      <c r="AN66" s="59">
        <f ca="1">AVERAGE(OFFSET($AM$3,0,0,'Données projet'!$E$10+1,1))-AVERAGE(OFFSET($H$3,0,0,'Données projet'!$E$10+1,1))</f>
        <v>253.62342381933348</v>
      </c>
      <c r="AO66" s="59">
        <f t="shared" si="36"/>
        <v>230.93438491775407</v>
      </c>
      <c r="AP66" s="15">
        <f>IF(ISNA(VLOOKUP(A66,'Données projet'!$A$61:$I$81,3,0)),0,VLOOKUP(A66,'Données projet'!$A$61:$I$81,3,0))</f>
        <v>7</v>
      </c>
      <c r="AQ66" s="15">
        <f>IF(ISNA(VLOOKUP(A66,'Données projet'!$A$61:$I$81,4,0)),0,VLOOKUP(A66,'Données projet'!$A$61:$I$81,4,0))</f>
        <v>79.723076919999997</v>
      </c>
      <c r="AR66" s="16">
        <f>IF(ISNA(VLOOKUP(A66,'Données projet'!$A$61:$I$81,5,0)),0%,VLOOKUP(A66,'Données projet'!$A$61:$I$81,5,0)*VLOOKUP('Données projet'!$B$10,Paramètres!$A$1:$I$89,7,0))</f>
        <v>0.38500000000000001</v>
      </c>
      <c r="AS66" s="16">
        <f>IF(ISNA(VLOOKUP(A66,'Données projet'!$A$61:$I$81,6,0)),0%,VLOOKUP(A66,'Données projet'!$A$61:$I$81,6,0)*VLOOKUP('Données projet'!$B$10,Paramètres!$A$1:$I$89,7,0))</f>
        <v>9.240000000000001E-2</v>
      </c>
      <c r="AT66" s="16">
        <f>IF(ISNA(VLOOKUP(A66,'Données projet'!$A$61:$I$81,7,0)),0%,VLOOKUP(A66,'Données projet'!$A$61:$I$81,7,0))</f>
        <v>0.13200000000000001</v>
      </c>
      <c r="AU66" s="21">
        <f>EXP(-LN(2)/35)*AU65+(1-EXP(-LN(2)/35))/(LN(2)/35)*AQ66*AR66*VLOOKUP('Données projet'!$B$10,Paramètres!$A$1:$I$89,3,0)*0.475*44/12</f>
        <v>87.943145886489376</v>
      </c>
      <c r="AV66" s="21">
        <f>EXP(-LN(2)/25)*AV65+(1-EXP(-LN(2)/25))/(LN(2)/25)*Calculateur!AQ66*Calculateur!AS66*VLOOKUP('Données projet'!$B$10,Paramètres!$A$1:$I$89,3,0)*0.475*44/12</f>
        <v>28.458218240788494</v>
      </c>
      <c r="AW66" s="21">
        <f>EXP(-LN(2)/2)*AW65+(1-EXP(-LN(2)/2))/(LN(2)/2)*AQ66*AT66*VLOOKUP('Données projet'!$B$10,Paramètres!$A$1:$I$89,3,0)*0.475*44/12</f>
        <v>7.2848675587752538</v>
      </c>
      <c r="AX66" s="21">
        <f t="shared" si="6"/>
        <v>123.68623168605313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-5.6843418860808015E-14</v>
      </c>
      <c r="BE66" s="13">
        <f>BD66*VLOOKUP('Données projet'!$B$11,Paramètres!$A$1:$I$89,3,0)*VLOOKUP('Données projet'!$B$11,Paramètres!$A$1:$I$89,5,0)</f>
        <v>-3.3992364478763198E-14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199.27781324660782</v>
      </c>
      <c r="BJ66" s="59">
        <f t="shared" si="38"/>
        <v>199.82499536488524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122.23938406987145</v>
      </c>
      <c r="BQ66" s="21">
        <f>EXP(-LN(2)/25)*BQ65+(1-EXP(-LN(2)/25))/(LN(2)/25)*Calculateur!BL66*Calculateur!BN66*VLOOKUP('Données projet'!$B$11,Paramètres!$A$1:$I$89,3,0)*0.475*44/12</f>
        <v>33.27562515484788</v>
      </c>
      <c r="BR66" s="21">
        <f>EXP(-LN(2)/2)*BR65+(1-EXP(-LN(2)/2))/(LN(2)/2)*BL66*BO66*VLOOKUP('Données projet'!$B$11,Paramètres!$A$1:$I$89,3,0)*0.475*44/12</f>
        <v>11.300565911213758</v>
      </c>
      <c r="BS66" s="22">
        <f t="shared" si="9"/>
        <v>166.8155751359331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-2.8421709430404007E-13</v>
      </c>
      <c r="BZ66" s="13">
        <f>BY66*VLOOKUP('Données projet'!$B$12,Paramètres!$A$1:$I$89,3,0)*VLOOKUP('Données projet'!$B$12,Paramètres!$A$1:$I$89,5,0)</f>
        <v>-1.69961822393816E-13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199.27781323742636</v>
      </c>
      <c r="CE66" s="59">
        <f t="shared" si="40"/>
        <v>199.82499536063892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122.23938407083426</v>
      </c>
      <c r="CL66" s="21">
        <f>EXP(-LN(2)/25)*CL65+(1-EXP(-LN(2)/25))/(LN(2)/25)*Calculateur!CG66*Calculateur!CI66*VLOOKUP('Données projet'!$B$12,Paramètres!$A$1:$I$89,3,0)*0.475*44/12</f>
        <v>33.253909725763613</v>
      </c>
      <c r="CM66" s="21">
        <f>EXP(-LN(2)/2)*CM65+(1-EXP(-LN(2)/2))/(LN(2)/2)*CG66*CJ66*VLOOKUP('Données projet'!$B$12,Paramètres!$A$1:$I$89,3,0)*0.475*44/12</f>
        <v>11.300573456650886</v>
      </c>
      <c r="CN66" s="22">
        <f t="shared" si="12"/>
        <v>166.79386725324875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9.1830769230769196</v>
      </c>
      <c r="CT66" s="12">
        <f>IF('Données projet'!$A$140&gt;35,CT65+CS66-DB65,IF(A66&lt;'Données projet'!$A$140,$CQ$205^A66,IF(A66='Données projet'!$A$140,'Données projet'!$B$140,CT65+CS66-DB65)))</f>
        <v>315.71076923076907</v>
      </c>
      <c r="CU66" s="17">
        <f>CT66*VLOOKUP('Données projet'!$B$13,Paramètres!$A$1:$I$89,3,0)*VLOOKUP('Données projet'!$B$13,Paramètres!$A$1:$I$89,5,0)</f>
        <v>188.79503999999991</v>
      </c>
      <c r="CV66" s="13">
        <f t="shared" si="41"/>
        <v>47.273454743056831</v>
      </c>
      <c r="CW66" s="20">
        <f t="shared" si="13"/>
        <v>411.15262834415716</v>
      </c>
      <c r="CX66" s="59">
        <f t="shared" si="14"/>
        <v>704.48596167749042</v>
      </c>
      <c r="CY66" s="59">
        <f ca="1">AVERAGE(OFFSET($CX$3,0,0,'Données projet'!$E$13+1,1))-AVERAGE(OFFSET($H$3,0,0,'Données projet'!$E$13+1,1))</f>
        <v>213.18424462765137</v>
      </c>
      <c r="CZ66" s="59">
        <f t="shared" si="42"/>
        <v>158.77848520346532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43.087127844190739</v>
      </c>
      <c r="DG66" s="21">
        <f>EXP(-LN(2)/25)*DG65+(1-EXP(-LN(2)/25))/(LN(2)/25)*Calculateur!DB66*Calculateur!DD66*VLOOKUP('Données projet'!$B$13,Paramètres!$A$1:$I$89,3,0)*0.475*44/12</f>
        <v>12.435385727645819</v>
      </c>
      <c r="DH66" s="21">
        <f>EXP(-LN(2)/2)*DH65+(1-EXP(-LN(2)/2))/(LN(2)/2)*DB66*DE66*VLOOKUP('Données projet'!$B$13,Paramètres!$A$1:$I$89,3,0)*0.475*44/12</f>
        <v>1.7718704576782323</v>
      </c>
      <c r="DI66" s="22">
        <f t="shared" si="15"/>
        <v>57.294384029514788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10.314743589743591</v>
      </c>
      <c r="N67" s="13">
        <f>IF('Données projet'!$A$36&gt;35,N66+M67-V66,IF(A67&lt;'Données projet'!$A$36,$K$205^A67,IF(A67='Données projet'!$A$36,'Données projet'!$B$36,N66+M67-V66)))</f>
        <v>265.29807692307713</v>
      </c>
      <c r="O67" s="13">
        <f>N67*VLOOKUP('Données projet'!$B$9,Paramètres!$A$1:$I$89,3,0)*VLOOKUP('Données projet'!$B$9,Paramètres!$A$1:$I$89,5,0)</f>
        <v>124.15950000000009</v>
      </c>
      <c r="P67" s="13">
        <f t="shared" si="33"/>
        <v>32.643202044796318</v>
      </c>
      <c r="Q67" s="20">
        <f t="shared" ref="Q67:Q98" si="54">(O67+P67)*0.475*44/12</f>
        <v>273.09803939468708</v>
      </c>
      <c r="R67" s="59">
        <f t="shared" ref="R67:R130" si="55">Q67+(I67+J67)*44/12</f>
        <v>566.43137272802039</v>
      </c>
      <c r="S67" s="59">
        <f ca="1">AVERAGE(OFFSET($R$3,0,0,'Données projet'!$E$9+1,1))-AVERAGE(OFFSET($H$3,0,0,'Données projet'!$E$9+1,1))</f>
        <v>181.79645720099597</v>
      </c>
      <c r="T67" s="59">
        <f t="shared" si="34"/>
        <v>120.20040029102233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21.343442620658838</v>
      </c>
      <c r="AA67" s="21">
        <f>EXP(-LN(2)/25)*AA66+(1-EXP(-LN(2)/25))/(LN(2)/25)*Calculateur!V67*Calculateur!X67*VLOOKUP('Données projet'!$B$9,Paramètres!$A$1:$I$89,3,0)*0.475*44/12</f>
        <v>27.583937130612675</v>
      </c>
      <c r="AB67" s="21">
        <f>EXP(-LN(2)/2)*AB66+(1-EXP(-LN(2)/2))/(LN(2)/2)*V67*Y67*VLOOKUP('Données projet'!$B$9,Paramètres!$A$1:$I$89,3,0)*0.475*44/12</f>
        <v>2.7817077545445268</v>
      </c>
      <c r="AC67" s="22">
        <f t="shared" si="3"/>
        <v>51.709087505816044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13.296703302857143</v>
      </c>
      <c r="AI67" s="13">
        <f>IF('Données projet'!$A$62&gt;35,AI66+AH67-AQ66,IF(A67&lt;'Données projet'!$A$62,$AF$205^A67,IF(A67='Données projet'!$A$62,'Données projet'!$B$62,AI66+AH67-AQ66)))</f>
        <v>389.28901098285701</v>
      </c>
      <c r="AJ67" s="13">
        <f>AI67*VLOOKUP('Données projet'!$B$10,Paramètres!$A$1:$I$89,3,0)*VLOOKUP('Données projet'!$B$10,Paramètres!$A$1:$I$89,5,0)</f>
        <v>217.61255713941708</v>
      </c>
      <c r="AK67" s="13">
        <f t="shared" si="35"/>
        <v>53.595657749698681</v>
      </c>
      <c r="AL67" s="20">
        <f t="shared" si="4"/>
        <v>472.3543075985433</v>
      </c>
      <c r="AM67" s="59">
        <f t="shared" si="5"/>
        <v>765.68764093187656</v>
      </c>
      <c r="AN67" s="59">
        <f ca="1">AVERAGE(OFFSET($AM$3,0,0,'Données projet'!$E$10+1,1))-AVERAGE(OFFSET($H$3,0,0,'Données projet'!$E$10+1,1))</f>
        <v>253.62342381933348</v>
      </c>
      <c r="AO67" s="59">
        <f t="shared" si="36"/>
        <v>230.93438491775407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86.218634435677799</v>
      </c>
      <c r="AV67" s="21">
        <f>EXP(-LN(2)/25)*AV66+(1-EXP(-LN(2)/25))/(LN(2)/25)*Calculateur!AQ67*Calculateur!AS67*VLOOKUP('Données projet'!$B$10,Paramètres!$A$1:$I$89,3,0)*0.475*44/12</f>
        <v>27.680026766441475</v>
      </c>
      <c r="AW67" s="21">
        <f>EXP(-LN(2)/2)*AW66+(1-EXP(-LN(2)/2))/(LN(2)/2)*AQ67*AT67*VLOOKUP('Données projet'!$B$10,Paramètres!$A$1:$I$89,3,0)*0.475*44/12</f>
        <v>5.151179250855872</v>
      </c>
      <c r="AX67" s="21">
        <f t="shared" si="6"/>
        <v>119.04984045297515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-5.6843418860808015E-14</v>
      </c>
      <c r="BE67" s="13">
        <f>BD67*VLOOKUP('Données projet'!$B$11,Paramètres!$A$1:$I$89,3,0)*VLOOKUP('Données projet'!$B$11,Paramètres!$A$1:$I$89,5,0)</f>
        <v>-3.3992364478763198E-14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199.27781324660782</v>
      </c>
      <c r="BJ67" s="59">
        <f t="shared" si="38"/>
        <v>199.82499536488524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119.84234430692349</v>
      </c>
      <c r="BQ67" s="21">
        <f>EXP(-LN(2)/25)*BQ66+(1-EXP(-LN(2)/25))/(LN(2)/25)*Calculateur!BL67*Calculateur!BN67*VLOOKUP('Données projet'!$B$11,Paramètres!$A$1:$I$89,3,0)*0.475*44/12</f>
        <v>32.365701435099488</v>
      </c>
      <c r="BR67" s="21">
        <f>EXP(-LN(2)/2)*BR66+(1-EXP(-LN(2)/2))/(LN(2)/2)*BL67*BO67*VLOOKUP('Données projet'!$B$11,Paramètres!$A$1:$I$89,3,0)*0.475*44/12</f>
        <v>7.9907067870647852</v>
      </c>
      <c r="BS67" s="22">
        <f t="shared" si="9"/>
        <v>160.19875252908778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-2.8421709430404007E-13</v>
      </c>
      <c r="BZ67" s="13">
        <f>BY67*VLOOKUP('Données projet'!$B$12,Paramètres!$A$1:$I$89,3,0)*VLOOKUP('Données projet'!$B$12,Paramètres!$A$1:$I$89,5,0)</f>
        <v>-1.69961822393816E-13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199.27781323742636</v>
      </c>
      <c r="CE67" s="59">
        <f t="shared" si="40"/>
        <v>199.82499536063892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119.84234430786744</v>
      </c>
      <c r="CL67" s="21">
        <f>EXP(-LN(2)/25)*CL66+(1-EXP(-LN(2)/25))/(LN(2)/25)*Calculateur!CG67*Calculateur!CI67*VLOOKUP('Données projet'!$B$12,Paramètres!$A$1:$I$89,3,0)*0.475*44/12</f>
        <v>32.344579815565496</v>
      </c>
      <c r="CM67" s="21">
        <f>EXP(-LN(2)/2)*CM66+(1-EXP(-LN(2)/2))/(LN(2)/2)*CG67*CJ67*VLOOKUP('Données projet'!$B$12,Paramètres!$A$1:$I$89,3,0)*0.475*44/12</f>
        <v>7.9907121224945454</v>
      </c>
      <c r="CN67" s="22">
        <f t="shared" si="12"/>
        <v>160.17763624592749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9.1830769230769196</v>
      </c>
      <c r="CT67" s="12">
        <f>IF('Données projet'!$A$140&gt;35,CT66+CS67-DB66,IF(A67&lt;'Données projet'!$A$140,$CQ$205^A67,IF(A67='Données projet'!$A$140,'Données projet'!$B$140,CT66+CS67-DB66)))</f>
        <v>324.89384615384597</v>
      </c>
      <c r="CU67" s="17">
        <f>CT67*VLOOKUP('Données projet'!$B$13,Paramètres!$A$1:$I$89,3,0)*VLOOKUP('Données projet'!$B$13,Paramètres!$A$1:$I$89,5,0)</f>
        <v>194.28651999999991</v>
      </c>
      <c r="CV67" s="13">
        <f t="shared" si="41"/>
        <v>48.486407543748122</v>
      </c>
      <c r="CW67" s="20">
        <f t="shared" si="13"/>
        <v>422.82951547202782</v>
      </c>
      <c r="CX67" s="59">
        <f t="shared" si="14"/>
        <v>716.16284880536114</v>
      </c>
      <c r="CY67" s="59">
        <f ca="1">AVERAGE(OFFSET($CX$3,0,0,'Données projet'!$E$13+1,1))-AVERAGE(OFFSET($H$3,0,0,'Données projet'!$E$13+1,1))</f>
        <v>213.18424462765137</v>
      </c>
      <c r="CZ67" s="59">
        <f t="shared" si="42"/>
        <v>158.77848520346532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42.242215547719155</v>
      </c>
      <c r="DG67" s="21">
        <f>EXP(-LN(2)/25)*DG66+(1-EXP(-LN(2)/25))/(LN(2)/25)*Calculateur!DB67*Calculateur!DD67*VLOOKUP('Données projet'!$B$13,Paramètres!$A$1:$I$89,3,0)*0.475*44/12</f>
        <v>12.09533945097483</v>
      </c>
      <c r="DH67" s="21">
        <f>EXP(-LN(2)/2)*DH66+(1-EXP(-LN(2)/2))/(LN(2)/2)*DB67*DE67*VLOOKUP('Données projet'!$B$13,Paramètres!$A$1:$I$89,3,0)*0.475*44/12</f>
        <v>1.2529016160083897</v>
      </c>
      <c r="DI67" s="22">
        <f t="shared" si="15"/>
        <v>55.590456614702376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10.314743589743591</v>
      </c>
      <c r="N68" s="13">
        <f>IF('Données projet'!$A$36&gt;35,N67+M68-V67,IF(A68&lt;'Données projet'!$A$36,$K$205^A68,IF(A68='Données projet'!$A$36,'Données projet'!$B$36,N67+M68-V67)))</f>
        <v>275.61282051282075</v>
      </c>
      <c r="O68" s="13">
        <f>N68*VLOOKUP('Données projet'!$B$9,Paramètres!$A$1:$I$89,3,0)*VLOOKUP('Données projet'!$B$9,Paramètres!$A$1:$I$89,5,0)</f>
        <v>128.98680000000013</v>
      </c>
      <c r="P68" s="13">
        <f t="shared" si="33"/>
        <v>33.762132053733033</v>
      </c>
      <c r="Q68" s="20">
        <f t="shared" si="54"/>
        <v>283.45438999358527</v>
      </c>
      <c r="R68" s="59">
        <f t="shared" si="55"/>
        <v>576.78772332691858</v>
      </c>
      <c r="S68" s="59">
        <f ca="1">AVERAGE(OFFSET($R$3,0,0,'Données projet'!$E$9+1,1))-AVERAGE(OFFSET($H$3,0,0,'Données projet'!$E$9+1,1))</f>
        <v>181.79645720099597</v>
      </c>
      <c r="T68" s="59">
        <f t="shared" si="34"/>
        <v>120.20040029102233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20.924910729082274</v>
      </c>
      <c r="AA68" s="21">
        <f>EXP(-LN(2)/25)*AA67+(1-EXP(-LN(2)/25))/(LN(2)/25)*Calculateur!V68*Calculateur!X68*VLOOKUP('Données projet'!$B$9,Paramètres!$A$1:$I$89,3,0)*0.475*44/12</f>
        <v>26.829652919199862</v>
      </c>
      <c r="AB68" s="21">
        <f>EXP(-LN(2)/2)*AB67+(1-EXP(-LN(2)/2))/(LN(2)/2)*V68*Y68*VLOOKUP('Données projet'!$B$9,Paramètres!$A$1:$I$89,3,0)*0.475*44/12</f>
        <v>1.9669644165176392</v>
      </c>
      <c r="AC68" s="22">
        <f t="shared" ref="AC68:AC131" si="57">SUM(Z68:AB68)</f>
        <v>49.721528064799777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13.296703302857143</v>
      </c>
      <c r="AI68" s="13">
        <f>IF('Données projet'!$A$62&gt;35,AI67+AH68-AQ67,IF(A68&lt;'Données projet'!$A$62,$AF$205^A68,IF(A68='Données projet'!$A$62,'Données projet'!$B$62,AI67+AH68-AQ67)))</f>
        <v>402.58571428571418</v>
      </c>
      <c r="AJ68" s="13">
        <f>AI68*VLOOKUP('Données projet'!$B$10,Paramètres!$A$1:$I$89,3,0)*VLOOKUP('Données projet'!$B$10,Paramètres!$A$1:$I$89,5,0)</f>
        <v>225.04541428571423</v>
      </c>
      <c r="AK68" s="13">
        <f t="shared" si="35"/>
        <v>55.210030257376133</v>
      </c>
      <c r="AL68" s="20">
        <f t="shared" ref="AL68:AL131" si="58">(AJ68+AK68)*0.475*44/12</f>
        <v>488.11156591254894</v>
      </c>
      <c r="AM68" s="59">
        <f t="shared" ref="AM68:AM131" si="59">AL68+(AD68+AE68)*44/12</f>
        <v>781.4448992458822</v>
      </c>
      <c r="AN68" s="59">
        <f ca="1">AVERAGE(OFFSET($AM$3,0,0,'Données projet'!$E$10+1,1))-AVERAGE(OFFSET($H$3,0,0,'Données projet'!$E$10+1,1))</f>
        <v>253.62342381933348</v>
      </c>
      <c r="AO68" s="59">
        <f t="shared" si="36"/>
        <v>230.93438491775407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84.527939602568509</v>
      </c>
      <c r="AV68" s="21">
        <f>EXP(-LN(2)/25)*AV67+(1-EXP(-LN(2)/25))/(LN(2)/25)*Calculateur!AQ68*Calculateur!AS68*VLOOKUP('Données projet'!$B$10,Paramètres!$A$1:$I$89,3,0)*0.475*44/12</f>
        <v>26.923114978883788</v>
      </c>
      <c r="AW68" s="21">
        <f>EXP(-LN(2)/2)*AW67+(1-EXP(-LN(2)/2))/(LN(2)/2)*AQ68*AT68*VLOOKUP('Données projet'!$B$10,Paramètres!$A$1:$I$89,3,0)*0.475*44/12</f>
        <v>3.6424337793876274</v>
      </c>
      <c r="AX68" s="21">
        <f t="shared" ref="AX68:AX131" si="60">SUM(AU68:AW68)</f>
        <v>115.09348836083993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-5.6843418860808015E-14</v>
      </c>
      <c r="BE68" s="13">
        <f>BD68*VLOOKUP('Données projet'!$B$11,Paramètres!$A$1:$I$89,3,0)*VLOOKUP('Données projet'!$B$11,Paramètres!$A$1:$I$89,5,0)</f>
        <v>-3.3992364478763198E-14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199.27781324660782</v>
      </c>
      <c r="BJ68" s="59">
        <f t="shared" si="38"/>
        <v>199.82499536488524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117.49230903167707</v>
      </c>
      <c r="BQ68" s="21">
        <f>EXP(-LN(2)/25)*BQ67+(1-EXP(-LN(2)/25))/(LN(2)/25)*Calculateur!BL68*Calculateur!BN68*VLOOKUP('Données projet'!$B$11,Paramètres!$A$1:$I$89,3,0)*0.475*44/12</f>
        <v>31.480659627318428</v>
      </c>
      <c r="BR68" s="21">
        <f>EXP(-LN(2)/2)*BR67+(1-EXP(-LN(2)/2))/(LN(2)/2)*BL68*BO68*VLOOKUP('Données projet'!$B$11,Paramètres!$A$1:$I$89,3,0)*0.475*44/12</f>
        <v>5.6502829556068797</v>
      </c>
      <c r="BS68" s="22">
        <f t="shared" ref="BS68:BS131" si="63">SUM(BP68:BR68)</f>
        <v>154.62325161460237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-2.8421709430404007E-13</v>
      </c>
      <c r="BZ68" s="13">
        <f>BY68*VLOOKUP('Données projet'!$B$12,Paramètres!$A$1:$I$89,3,0)*VLOOKUP('Données projet'!$B$12,Paramètres!$A$1:$I$89,5,0)</f>
        <v>-1.69961822393816E-13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199.27781323742636</v>
      </c>
      <c r="CE68" s="59">
        <f t="shared" si="40"/>
        <v>199.82499536063892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117.49230903260249</v>
      </c>
      <c r="CL68" s="21">
        <f>EXP(-LN(2)/25)*CL67+(1-EXP(-LN(2)/25))/(LN(2)/25)*Calculateur!CG68*Calculateur!CI68*VLOOKUP('Données projet'!$B$12,Paramètres!$A$1:$I$89,3,0)*0.475*44/12</f>
        <v>31.460115579581331</v>
      </c>
      <c r="CM68" s="21">
        <f>EXP(-LN(2)/2)*CM67+(1-EXP(-LN(2)/2))/(LN(2)/2)*CG68*CJ68*VLOOKUP('Données projet'!$B$12,Paramètres!$A$1:$I$89,3,0)*0.475*44/12</f>
        <v>5.6502867283254439</v>
      </c>
      <c r="CN68" s="22">
        <f t="shared" ref="CN68:CN131" si="66">SUM(CK68:CM68)</f>
        <v>154.60271134050927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9.1830769230769196</v>
      </c>
      <c r="CT68" s="12">
        <f>IF('Données projet'!$A$140&gt;35,CT67+CS68-DB67,IF(A68&lt;'Données projet'!$A$140,$CQ$205^A68,IF(A68='Données projet'!$A$140,'Données projet'!$B$140,CT67+CS68-DB67)))</f>
        <v>334.07692307692287</v>
      </c>
      <c r="CU68" s="17">
        <f>CT68*VLOOKUP('Données projet'!$B$13,Paramètres!$A$1:$I$89,3,0)*VLOOKUP('Données projet'!$B$13,Paramètres!$A$1:$I$89,5,0)</f>
        <v>199.77799999999991</v>
      </c>
      <c r="CV68" s="13">
        <f t="shared" si="41"/>
        <v>49.695375691492799</v>
      </c>
      <c r="CW68" s="20">
        <f t="shared" ref="CW68:CW131" si="67">(CU68+CV68)*0.475*44/12</f>
        <v>434.49946266268313</v>
      </c>
      <c r="CX68" s="59">
        <f t="shared" ref="CX68:CX131" si="68">CW68+(CO68+CP68)*44/12</f>
        <v>727.83279599601644</v>
      </c>
      <c r="CY68" s="59">
        <f ca="1">AVERAGE(OFFSET($CX$3,0,0,'Données projet'!$E$13+1,1))-AVERAGE(OFFSET($H$3,0,0,'Données projet'!$E$13+1,1))</f>
        <v>213.18424462765137</v>
      </c>
      <c r="CZ68" s="59">
        <f t="shared" si="42"/>
        <v>158.77848520346532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41.413871466035765</v>
      </c>
      <c r="DG68" s="21">
        <f>EXP(-LN(2)/25)*DG67+(1-EXP(-LN(2)/25))/(LN(2)/25)*Calculateur!DB68*Calculateur!DD68*VLOOKUP('Données projet'!$B$13,Paramètres!$A$1:$I$89,3,0)*0.475*44/12</f>
        <v>11.764591757621666</v>
      </c>
      <c r="DH68" s="21">
        <f>EXP(-LN(2)/2)*DH67+(1-EXP(-LN(2)/2))/(LN(2)/2)*DB68*DE68*VLOOKUP('Données projet'!$B$13,Paramètres!$A$1:$I$89,3,0)*0.475*44/12</f>
        <v>0.88593522883911624</v>
      </c>
      <c r="DI68" s="22">
        <f t="shared" ref="DI68:DI131" si="69">SUM(DF68:DH68)</f>
        <v>54.064398452496548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10.314743589743591</v>
      </c>
      <c r="N69" s="13">
        <f>IF('Données projet'!$A$36&gt;35,N68+M69-V68,IF(A69&lt;'Données projet'!$A$36,$K$205^A69,IF(A69='Données projet'!$A$36,'Données projet'!$B$36,N68+M69-V68)))</f>
        <v>285.92756410256436</v>
      </c>
      <c r="O69" s="13">
        <f>N69*VLOOKUP('Données projet'!$B$9,Paramètres!$A$1:$I$89,3,0)*VLOOKUP('Données projet'!$B$9,Paramètres!$A$1:$I$89,5,0)</f>
        <v>133.81410000000011</v>
      </c>
      <c r="P69" s="13">
        <f t="shared" ref="P69:P132" si="87">EXP(-1.0587+0.8836*LN(O69)+0.284)</f>
        <v>34.876197134679366</v>
      </c>
      <c r="Q69" s="20">
        <f t="shared" si="54"/>
        <v>293.80226750956672</v>
      </c>
      <c r="R69" s="59">
        <f t="shared" si="55"/>
        <v>587.13560084289998</v>
      </c>
      <c r="S69" s="59">
        <f ca="1">AVERAGE(OFFSET($R$3,0,0,'Données projet'!$E$9+1,1))-AVERAGE(OFFSET($H$3,0,0,'Données projet'!$E$9+1,1))</f>
        <v>181.79645720099597</v>
      </c>
      <c r="T69" s="59">
        <f t="shared" ref="T69:T132" si="88">$T$3</f>
        <v>120.20040029102233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20.51458599262028</v>
      </c>
      <c r="AA69" s="21">
        <f>EXP(-LN(2)/25)*AA68+(1-EXP(-LN(2)/25))/(LN(2)/25)*Calculateur!V69*Calculateur!X69*VLOOKUP('Données projet'!$B$9,Paramètres!$A$1:$I$89,3,0)*0.475*44/12</f>
        <v>26.095994649214216</v>
      </c>
      <c r="AB69" s="21">
        <f>EXP(-LN(2)/2)*AB68+(1-EXP(-LN(2)/2))/(LN(2)/2)*V69*Y69*VLOOKUP('Données projet'!$B$9,Paramètres!$A$1:$I$89,3,0)*0.475*44/12</f>
        <v>1.3908538772722636</v>
      </c>
      <c r="AC69" s="22">
        <f t="shared" si="57"/>
        <v>48.001434519106759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13.296703302857143</v>
      </c>
      <c r="AI69" s="13">
        <f>IF('Données projet'!$A$62&gt;35,AI68+AH69-AQ68,IF(A69&lt;'Données projet'!$A$62,$AF$205^A69,IF(A69='Données projet'!$A$62,'Données projet'!$B$62,AI68+AH69-AQ68)))</f>
        <v>415.88241758857134</v>
      </c>
      <c r="AJ69" s="13">
        <f>AI69*VLOOKUP('Données projet'!$B$10,Paramètres!$A$1:$I$89,3,0)*VLOOKUP('Données projet'!$B$10,Paramètres!$A$1:$I$89,5,0)</f>
        <v>232.47827143201141</v>
      </c>
      <c r="AK69" s="13">
        <f t="shared" ref="AK69:AK132" si="89">EXP(-1.0587+0.8836*LN(AJ69)+0.284)</f>
        <v>56.818207053031912</v>
      </c>
      <c r="AL69" s="20">
        <f t="shared" si="58"/>
        <v>503.85803336145045</v>
      </c>
      <c r="AM69" s="59">
        <f t="shared" si="59"/>
        <v>797.19136669478371</v>
      </c>
      <c r="AN69" s="59">
        <f ca="1">AVERAGE(OFFSET($AM$3,0,0,'Données projet'!$E$10+1,1))-AVERAGE(OFFSET($H$3,0,0,'Données projet'!$E$10+1,1))</f>
        <v>253.62342381933348</v>
      </c>
      <c r="AO69" s="59">
        <f t="shared" ref="AO69:AO132" si="90">$AO$3</f>
        <v>230.93438491775407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82.870398263914467</v>
      </c>
      <c r="AV69" s="21">
        <f>EXP(-LN(2)/25)*AV68+(1-EXP(-LN(2)/25))/(LN(2)/25)*Calculateur!AQ69*Calculateur!AS69*VLOOKUP('Données projet'!$B$10,Paramètres!$A$1:$I$89,3,0)*0.475*44/12</f>
        <v>26.186900983961127</v>
      </c>
      <c r="AW69" s="21">
        <f>EXP(-LN(2)/2)*AW68+(1-EXP(-LN(2)/2))/(LN(2)/2)*AQ69*AT69*VLOOKUP('Données projet'!$B$10,Paramètres!$A$1:$I$89,3,0)*0.475*44/12</f>
        <v>2.5755896254279365</v>
      </c>
      <c r="AX69" s="21">
        <f t="shared" si="60"/>
        <v>111.63288887330353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-5.6843418860808015E-14</v>
      </c>
      <c r="BE69" s="13">
        <f>BD69*VLOOKUP('Données projet'!$B$11,Paramètres!$A$1:$I$89,3,0)*VLOOKUP('Données projet'!$B$11,Paramètres!$A$1:$I$89,5,0)</f>
        <v>-3.3992364478763198E-14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199.27781324660782</v>
      </c>
      <c r="BJ69" s="59">
        <f t="shared" ref="BJ69:BJ132" si="92">$BJ$3</f>
        <v>199.82499536488524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115.18835651479823</v>
      </c>
      <c r="BQ69" s="21">
        <f>EXP(-LN(2)/25)*BQ68+(1-EXP(-LN(2)/25))/(LN(2)/25)*Calculateur!BL69*Calculateur!BN69*VLOOKUP('Données projet'!$B$11,Paramètres!$A$1:$I$89,3,0)*0.475*44/12</f>
        <v>30.619819334313465</v>
      </c>
      <c r="BR69" s="21">
        <f>EXP(-LN(2)/2)*BR68+(1-EXP(-LN(2)/2))/(LN(2)/2)*BL69*BO69*VLOOKUP('Données projet'!$B$11,Paramètres!$A$1:$I$89,3,0)*0.475*44/12</f>
        <v>3.995353393532393</v>
      </c>
      <c r="BS69" s="22">
        <f t="shared" si="63"/>
        <v>149.80352924264409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-2.8421709430404007E-13</v>
      </c>
      <c r="BZ69" s="13">
        <f>BY69*VLOOKUP('Données projet'!$B$12,Paramètres!$A$1:$I$89,3,0)*VLOOKUP('Données projet'!$B$12,Paramètres!$A$1:$I$89,5,0)</f>
        <v>-1.69961822393816E-13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199.27781323742636</v>
      </c>
      <c r="CE69" s="59">
        <f t="shared" ref="CE69:CE132" si="94">$CE$3</f>
        <v>199.82499536063892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115.18835651570551</v>
      </c>
      <c r="CL69" s="21">
        <f>EXP(-LN(2)/25)*CL68+(1-EXP(-LN(2)/25))/(LN(2)/25)*Calculateur!CG69*Calculateur!CI69*VLOOKUP('Données projet'!$B$12,Paramètres!$A$1:$I$89,3,0)*0.475*44/12</f>
        <v>30.599837064642102</v>
      </c>
      <c r="CM69" s="21">
        <f>EXP(-LN(2)/2)*CM68+(1-EXP(-LN(2)/2))/(LN(2)/2)*CG69*CJ69*VLOOKUP('Données projet'!$B$12,Paramètres!$A$1:$I$89,3,0)*0.475*44/12</f>
        <v>3.9953560612472736</v>
      </c>
      <c r="CN69" s="22">
        <f t="shared" si="66"/>
        <v>149.78354964159487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9.1830769230769196</v>
      </c>
      <c r="CT69" s="12">
        <f>IF('Données projet'!$A$140&gt;35,CT68+CS69-DB68,IF(A69&lt;'Données projet'!$A$140,$CQ$205^A69,IF(A69='Données projet'!$A$140,'Données projet'!$B$140,CT68+CS69-DB68)))</f>
        <v>343.25999999999976</v>
      </c>
      <c r="CU69" s="17">
        <f>CT69*VLOOKUP('Données projet'!$B$13,Paramètres!$A$1:$I$89,3,0)*VLOOKUP('Données projet'!$B$13,Paramètres!$A$1:$I$89,5,0)</f>
        <v>205.26947999999987</v>
      </c>
      <c r="CV69" s="13">
        <f t="shared" ref="CV69:CV132" si="95">EXP(-1.0587+0.8836*LN(CU69)+0.284)</f>
        <v>50.900481301079942</v>
      </c>
      <c r="CW69" s="20">
        <f t="shared" si="67"/>
        <v>446.16268259938062</v>
      </c>
      <c r="CX69" s="59">
        <f t="shared" si="68"/>
        <v>739.49601593271393</v>
      </c>
      <c r="CY69" s="59">
        <f ca="1">AVERAGE(OFFSET($CX$3,0,0,'Données projet'!$E$13+1,1))-AVERAGE(OFFSET($H$3,0,0,'Données projet'!$E$13+1,1))</f>
        <v>213.18424462765137</v>
      </c>
      <c r="CZ69" s="59">
        <f t="shared" ref="CZ69:CZ132" si="96">$CZ$3</f>
        <v>158.77848520346532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40.601770706554184</v>
      </c>
      <c r="DG69" s="21">
        <f>EXP(-LN(2)/25)*DG68+(1-EXP(-LN(2)/25))/(LN(2)/25)*Calculateur!DB69*Calculateur!DD69*VLOOKUP('Données projet'!$B$13,Paramètres!$A$1:$I$89,3,0)*0.475*44/12</f>
        <v>11.442888377336509</v>
      </c>
      <c r="DH69" s="21">
        <f>EXP(-LN(2)/2)*DH68+(1-EXP(-LN(2)/2))/(LN(2)/2)*DB69*DE69*VLOOKUP('Données projet'!$B$13,Paramètres!$A$1:$I$89,3,0)*0.475*44/12</f>
        <v>0.62645080800419495</v>
      </c>
      <c r="DI69" s="22">
        <f t="shared" si="69"/>
        <v>52.671109891894886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10.314743589743591</v>
      </c>
      <c r="N70" s="13">
        <f>IF('Données projet'!$A$36&gt;35,N69+M70-V69,IF(A70&lt;'Données projet'!$A$36,$K$205^A70,IF(A70='Données projet'!$A$36,'Données projet'!$B$36,N69+M70-V69)))</f>
        <v>296.24230769230797</v>
      </c>
      <c r="O70" s="13">
        <f>N70*VLOOKUP('Données projet'!$B$9,Paramètres!$A$1:$I$89,3,0)*VLOOKUP('Données projet'!$B$9,Paramètres!$A$1:$I$89,5,0)</f>
        <v>138.64140000000015</v>
      </c>
      <c r="P70" s="13">
        <f t="shared" si="87"/>
        <v>35.985592892108897</v>
      </c>
      <c r="Q70" s="20">
        <f t="shared" si="54"/>
        <v>304.14201262042326</v>
      </c>
      <c r="R70" s="59">
        <f t="shared" si="55"/>
        <v>597.47534595375657</v>
      </c>
      <c r="S70" s="59">
        <f ca="1">AVERAGE(OFFSET($R$3,0,0,'Données projet'!$E$9+1,1))-AVERAGE(OFFSET($H$3,0,0,'Données projet'!$E$9+1,1))</f>
        <v>181.79645720099597</v>
      </c>
      <c r="T70" s="59">
        <f t="shared" si="88"/>
        <v>120.20040029102233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20.112307473966929</v>
      </c>
      <c r="AA70" s="21">
        <f>EXP(-LN(2)/25)*AA69+(1-EXP(-LN(2)/25))/(LN(2)/25)*Calculateur!V70*Calculateur!X70*VLOOKUP('Données projet'!$B$9,Paramètres!$A$1:$I$89,3,0)*0.475*44/12</f>
        <v>25.382398303202738</v>
      </c>
      <c r="AB70" s="21">
        <f>EXP(-LN(2)/2)*AB69+(1-EXP(-LN(2)/2))/(LN(2)/2)*V70*Y70*VLOOKUP('Données projet'!$B$9,Paramètres!$A$1:$I$89,3,0)*0.475*44/12</f>
        <v>0.98348220825881982</v>
      </c>
      <c r="AC70" s="22">
        <f t="shared" si="57"/>
        <v>46.478187985428491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13.296703302857143</v>
      </c>
      <c r="AI70" s="13">
        <f>IF('Données projet'!$A$62&gt;35,AI69+AH70-AQ69,IF(A70&lt;'Données projet'!$A$62,$AF$205^A70,IF(A70='Données projet'!$A$62,'Données projet'!$B$62,AI69+AH70-AQ69)))</f>
        <v>429.17912089142851</v>
      </c>
      <c r="AJ70" s="13">
        <f>AI70*VLOOKUP('Données projet'!$B$10,Paramètres!$A$1:$I$89,3,0)*VLOOKUP('Données projet'!$B$10,Paramètres!$A$1:$I$89,5,0)</f>
        <v>239.91112857830856</v>
      </c>
      <c r="AK70" s="13">
        <f t="shared" si="89"/>
        <v>58.4204089507679</v>
      </c>
      <c r="AL70" s="20">
        <f t="shared" si="58"/>
        <v>519.5940945298081</v>
      </c>
      <c r="AM70" s="59">
        <f t="shared" si="59"/>
        <v>812.92742786314147</v>
      </c>
      <c r="AN70" s="59">
        <f ca="1">AVERAGE(OFFSET($AM$3,0,0,'Données projet'!$E$10+1,1))-AVERAGE(OFFSET($H$3,0,0,'Données projet'!$E$10+1,1))</f>
        <v>253.62342381933348</v>
      </c>
      <c r="AO70" s="59">
        <f t="shared" si="90"/>
        <v>230.93438491775407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81.245360299911042</v>
      </c>
      <c r="AV70" s="21">
        <f>EXP(-LN(2)/25)*AV69+(1-EXP(-LN(2)/25))/(LN(2)/25)*Calculateur!AQ70*Calculateur!AS70*VLOOKUP('Données projet'!$B$10,Paramètres!$A$1:$I$89,3,0)*0.475*44/12</f>
        <v>25.470818799445439</v>
      </c>
      <c r="AW70" s="21">
        <f>EXP(-LN(2)/2)*AW69+(1-EXP(-LN(2)/2))/(LN(2)/2)*AQ70*AT70*VLOOKUP('Données projet'!$B$10,Paramètres!$A$1:$I$89,3,0)*0.475*44/12</f>
        <v>1.8212168896938139</v>
      </c>
      <c r="AX70" s="21">
        <f t="shared" si="60"/>
        <v>108.5373959890503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-5.6843418860808015E-14</v>
      </c>
      <c r="BE70" s="13">
        <f>BD70*VLOOKUP('Données projet'!$B$11,Paramètres!$A$1:$I$89,3,0)*VLOOKUP('Données projet'!$B$11,Paramètres!$A$1:$I$89,5,0)</f>
        <v>-3.3992364478763198E-14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199.27781324660782</v>
      </c>
      <c r="BJ70" s="59">
        <f t="shared" si="92"/>
        <v>199.82499536488524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112.92958310150311</v>
      </c>
      <c r="BQ70" s="21">
        <f>EXP(-LN(2)/25)*BQ69+(1-EXP(-LN(2)/25))/(LN(2)/25)*Calculateur!BL70*Calculateur!BN70*VLOOKUP('Données projet'!$B$11,Paramètres!$A$1:$I$89,3,0)*0.475*44/12</f>
        <v>29.782518764390346</v>
      </c>
      <c r="BR70" s="21">
        <f>EXP(-LN(2)/2)*BR69+(1-EXP(-LN(2)/2))/(LN(2)/2)*BL70*BO70*VLOOKUP('Données projet'!$B$11,Paramètres!$A$1:$I$89,3,0)*0.475*44/12</f>
        <v>2.8251414778034403</v>
      </c>
      <c r="BS70" s="22">
        <f t="shared" si="63"/>
        <v>145.5372433436969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-2.8421709430404007E-13</v>
      </c>
      <c r="BZ70" s="13">
        <f>BY70*VLOOKUP('Données projet'!$B$12,Paramètres!$A$1:$I$89,3,0)*VLOOKUP('Données projet'!$B$12,Paramètres!$A$1:$I$89,5,0)</f>
        <v>-1.69961822393816E-13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199.27781323742636</v>
      </c>
      <c r="CE70" s="59">
        <f t="shared" si="94"/>
        <v>199.82499536063892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112.9295831023926</v>
      </c>
      <c r="CL70" s="21">
        <f>EXP(-LN(2)/25)*CL69+(1-EXP(-LN(2)/25))/(LN(2)/25)*Calculateur!CG70*Calculateur!CI70*VLOOKUP('Données projet'!$B$12,Paramètres!$A$1:$I$89,3,0)*0.475*44/12</f>
        <v>29.763082910933971</v>
      </c>
      <c r="CM70" s="21">
        <f>EXP(-LN(2)/2)*CM69+(1-EXP(-LN(2)/2))/(LN(2)/2)*CG70*CJ70*VLOOKUP('Données projet'!$B$12,Paramètres!$A$1:$I$89,3,0)*0.475*44/12</f>
        <v>2.8251433641627224</v>
      </c>
      <c r="CN70" s="22">
        <f t="shared" si="66"/>
        <v>145.5178093774893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9.1830769230769196</v>
      </c>
      <c r="CT70" s="12">
        <f>IF('Données projet'!$A$140&gt;35,CT69+CS70-DB69,IF(A70&lt;'Données projet'!$A$140,$CQ$205^A70,IF(A70='Données projet'!$A$140,'Données projet'!$B$140,CT69+CS70-DB69)))</f>
        <v>352.44307692307666</v>
      </c>
      <c r="CU70" s="17">
        <f>CT70*VLOOKUP('Données projet'!$B$13,Paramètres!$A$1:$I$89,3,0)*VLOOKUP('Données projet'!$B$13,Paramètres!$A$1:$I$89,5,0)</f>
        <v>210.76095999999987</v>
      </c>
      <c r="CV70" s="13">
        <f t="shared" si="95"/>
        <v>52.101839581538208</v>
      </c>
      <c r="CW70" s="20">
        <f t="shared" si="67"/>
        <v>457.81937593784545</v>
      </c>
      <c r="CX70" s="59">
        <f t="shared" si="68"/>
        <v>751.15270927117876</v>
      </c>
      <c r="CY70" s="59">
        <f ca="1">AVERAGE(OFFSET($CX$3,0,0,'Données projet'!$E$13+1,1))-AVERAGE(OFFSET($H$3,0,0,'Données projet'!$E$13+1,1))</f>
        <v>213.18424462765137</v>
      </c>
      <c r="CZ70" s="59">
        <f t="shared" si="96"/>
        <v>158.77848520346532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39.805594747633485</v>
      </c>
      <c r="DG70" s="21">
        <f>EXP(-LN(2)/25)*DG69+(1-EXP(-LN(2)/25))/(LN(2)/25)*Calculateur!DB70*Calculateur!DD70*VLOOKUP('Données projet'!$B$13,Paramètres!$A$1:$I$89,3,0)*0.475*44/12</f>
        <v>11.129981992902895</v>
      </c>
      <c r="DH70" s="21">
        <f>EXP(-LN(2)/2)*DH69+(1-EXP(-LN(2)/2))/(LN(2)/2)*DB70*DE70*VLOOKUP('Données projet'!$B$13,Paramètres!$A$1:$I$89,3,0)*0.475*44/12</f>
        <v>0.44296761441955818</v>
      </c>
      <c r="DI70" s="22">
        <f t="shared" si="69"/>
        <v>51.378544354955935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10.314743589743591</v>
      </c>
      <c r="N71" s="13">
        <f>IF('Données projet'!$A$36&gt;35,N70+M71-V70,IF(A71&lt;'Données projet'!$A$36,$K$205^A71,IF(A71='Données projet'!$A$36,'Données projet'!$B$36,N70+M71-V70)))</f>
        <v>306.55705128205159</v>
      </c>
      <c r="O71" s="13">
        <f>N71*VLOOKUP('Données projet'!$B$9,Paramètres!$A$1:$I$89,3,0)*VLOOKUP('Données projet'!$B$9,Paramètres!$A$1:$I$89,5,0)</f>
        <v>143.46870000000015</v>
      </c>
      <c r="P71" s="13">
        <f t="shared" si="87"/>
        <v>37.090500536695636</v>
      </c>
      <c r="Q71" s="20">
        <f t="shared" si="54"/>
        <v>314.47394093474514</v>
      </c>
      <c r="R71" s="59">
        <f t="shared" si="55"/>
        <v>607.80727426807846</v>
      </c>
      <c r="S71" s="59">
        <f ca="1">AVERAGE(OFFSET($R$3,0,0,'Données projet'!$E$9+1,1))-AVERAGE(OFFSET($H$3,0,0,'Données projet'!$E$9+1,1))</f>
        <v>181.79645720099597</v>
      </c>
      <c r="T71" s="59">
        <f t="shared" si="88"/>
        <v>120.20040029102233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19.717917391698702</v>
      </c>
      <c r="AA71" s="21">
        <f>EXP(-LN(2)/25)*AA70+(1-EXP(-LN(2)/25))/(LN(2)/25)*Calculateur!V71*Calculateur!X71*VLOOKUP('Données projet'!$B$9,Paramètres!$A$1:$I$89,3,0)*0.475*44/12</f>
        <v>24.688315286799345</v>
      </c>
      <c r="AB71" s="21">
        <f>EXP(-LN(2)/2)*AB70+(1-EXP(-LN(2)/2))/(LN(2)/2)*V71*Y71*VLOOKUP('Données projet'!$B$9,Paramètres!$A$1:$I$89,3,0)*0.475*44/12</f>
        <v>0.69542693863613192</v>
      </c>
      <c r="AC71" s="22">
        <f t="shared" si="57"/>
        <v>45.101659617134175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13.296703302857143</v>
      </c>
      <c r="AI71" s="13">
        <f>IF('Données projet'!$A$62&gt;35,AI70+AH71-AQ70,IF(A71&lt;'Données projet'!$A$62,$AF$205^A71,IF(A71='Données projet'!$A$62,'Données projet'!$B$62,AI70+AH71-AQ70)))</f>
        <v>442.47582419428568</v>
      </c>
      <c r="AJ71" s="13">
        <f>AI71*VLOOKUP('Données projet'!$B$10,Paramètres!$A$1:$I$89,3,0)*VLOOKUP('Données projet'!$B$10,Paramètres!$A$1:$I$89,5,0)</f>
        <v>247.34398572460572</v>
      </c>
      <c r="AK71" s="13">
        <f t="shared" si="89"/>
        <v>60.016842305032213</v>
      </c>
      <c r="AL71" s="20">
        <f t="shared" si="58"/>
        <v>535.32010881828603</v>
      </c>
      <c r="AM71" s="59">
        <f t="shared" si="59"/>
        <v>828.6534421516194</v>
      </c>
      <c r="AN71" s="59">
        <f ca="1">AVERAGE(OFFSET($AM$3,0,0,'Données projet'!$E$10+1,1))-AVERAGE(OFFSET($H$3,0,0,'Données projet'!$E$10+1,1))</f>
        <v>253.62342381933348</v>
      </c>
      <c r="AO71" s="59">
        <f t="shared" si="90"/>
        <v>230.93438491775407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79.652188339206447</v>
      </c>
      <c r="AV71" s="21">
        <f>EXP(-LN(2)/25)*AV70+(1-EXP(-LN(2)/25))/(LN(2)/25)*Calculateur!AQ71*Calculateur!AS71*VLOOKUP('Données projet'!$B$10,Paramètres!$A$1:$I$89,3,0)*0.475*44/12</f>
        <v>24.774317919922456</v>
      </c>
      <c r="AW71" s="21">
        <f>EXP(-LN(2)/2)*AW70+(1-EXP(-LN(2)/2))/(LN(2)/2)*AQ71*AT71*VLOOKUP('Données projet'!$B$10,Paramètres!$A$1:$I$89,3,0)*0.475*44/12</f>
        <v>1.2877948127139685</v>
      </c>
      <c r="AX71" s="21">
        <f t="shared" si="60"/>
        <v>105.71430107184287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-5.6843418860808015E-14</v>
      </c>
      <c r="BE71" s="13">
        <f>BD71*VLOOKUP('Données projet'!$B$11,Paramètres!$A$1:$I$89,3,0)*VLOOKUP('Données projet'!$B$11,Paramètres!$A$1:$I$89,5,0)</f>
        <v>-3.3992364478763198E-14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199.27781324660782</v>
      </c>
      <c r="BJ71" s="59">
        <f t="shared" si="92"/>
        <v>199.82499536488524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110.71510285712696</v>
      </c>
      <c r="BQ71" s="21">
        <f>EXP(-LN(2)/25)*BQ70+(1-EXP(-LN(2)/25))/(LN(2)/25)*Calculateur!BL71*Calculateur!BN71*VLOOKUP('Données projet'!$B$11,Paramètres!$A$1:$I$89,3,0)*0.475*44/12</f>
        <v>28.968114222583498</v>
      </c>
      <c r="BR71" s="21">
        <f>EXP(-LN(2)/2)*BR70+(1-EXP(-LN(2)/2))/(LN(2)/2)*BL71*BO71*VLOOKUP('Données projet'!$B$11,Paramètres!$A$1:$I$89,3,0)*0.475*44/12</f>
        <v>1.997676696766197</v>
      </c>
      <c r="BS71" s="22">
        <f t="shared" si="63"/>
        <v>141.68089377647667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-2.8421709430404007E-13</v>
      </c>
      <c r="BZ71" s="13">
        <f>BY71*VLOOKUP('Données projet'!$B$12,Paramètres!$A$1:$I$89,3,0)*VLOOKUP('Données projet'!$B$12,Paramètres!$A$1:$I$89,5,0)</f>
        <v>-1.69961822393816E-13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199.27781323742636</v>
      </c>
      <c r="CE71" s="59">
        <f t="shared" si="94"/>
        <v>199.82499536063892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110.71510285799901</v>
      </c>
      <c r="CL71" s="21">
        <f>EXP(-LN(2)/25)*CL70+(1-EXP(-LN(2)/25))/(LN(2)/25)*Calculateur!CG71*Calculateur!CI71*VLOOKUP('Données projet'!$B$12,Paramètres!$A$1:$I$89,3,0)*0.475*44/12</f>
        <v>28.949209843561974</v>
      </c>
      <c r="CM71" s="21">
        <f>EXP(-LN(2)/2)*CM70+(1-EXP(-LN(2)/2))/(LN(2)/2)*CG71*CJ71*VLOOKUP('Données projet'!$B$12,Paramètres!$A$1:$I$89,3,0)*0.475*44/12</f>
        <v>1.997678030623637</v>
      </c>
      <c r="CN71" s="22">
        <f t="shared" si="66"/>
        <v>141.66199073218462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9.1830769230769196</v>
      </c>
      <c r="CT71" s="12">
        <f>IF('Données projet'!$A$140&gt;35,CT70+CS71-DB70,IF(A71&lt;'Données projet'!$A$140,$CQ$205^A71,IF(A71='Données projet'!$A$140,'Données projet'!$B$140,CT70+CS71-DB70)))</f>
        <v>361.62615384615356</v>
      </c>
      <c r="CU71" s="17">
        <f>CT71*VLOOKUP('Données projet'!$B$13,Paramètres!$A$1:$I$89,3,0)*VLOOKUP('Données projet'!$B$13,Paramètres!$A$1:$I$89,5,0)</f>
        <v>216.25243999999984</v>
      </c>
      <c r="CV71" s="13">
        <f t="shared" si="95"/>
        <v>53.299559396285737</v>
      </c>
      <c r="CW71" s="20">
        <f t="shared" si="67"/>
        <v>469.46973228186403</v>
      </c>
      <c r="CX71" s="59">
        <f t="shared" si="68"/>
        <v>762.80306561519728</v>
      </c>
      <c r="CY71" s="59">
        <f ca="1">AVERAGE(OFFSET($CX$3,0,0,'Données projet'!$E$13+1,1))-AVERAGE(OFFSET($H$3,0,0,'Données projet'!$E$13+1,1))</f>
        <v>213.18424462765137</v>
      </c>
      <c r="CZ71" s="59">
        <f t="shared" si="96"/>
        <v>158.77848520346532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39.025031313647837</v>
      </c>
      <c r="DG71" s="21">
        <f>EXP(-LN(2)/25)*DG70+(1-EXP(-LN(2)/25))/(LN(2)/25)*Calculateur!DB71*Calculateur!DD71*VLOOKUP('Données projet'!$B$13,Paramètres!$A$1:$I$89,3,0)*0.475*44/12</f>
        <v>10.82563205000665</v>
      </c>
      <c r="DH71" s="21">
        <f>EXP(-LN(2)/2)*DH70+(1-EXP(-LN(2)/2))/(LN(2)/2)*DB71*DE71*VLOOKUP('Données projet'!$B$13,Paramètres!$A$1:$I$89,3,0)*0.475*44/12</f>
        <v>0.31322540400209747</v>
      </c>
      <c r="DI71" s="22">
        <f t="shared" si="69"/>
        <v>50.163888767656587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10.314743589743591</v>
      </c>
      <c r="N72" s="13">
        <f>IF('Données projet'!$A$36&gt;35,N71+M72-V71,IF(A72&lt;'Données projet'!$A$36,$K$205^A72,IF(A72='Données projet'!$A$36,'Données projet'!$B$36,N71+M72-V71)))</f>
        <v>316.8717948717952</v>
      </c>
      <c r="O72" s="13">
        <f>N72*VLOOKUP('Données projet'!$B$9,Paramètres!$A$1:$I$89,3,0)*VLOOKUP('Données projet'!$B$9,Paramètres!$A$1:$I$89,5,0)</f>
        <v>148.29600000000016</v>
      </c>
      <c r="P72" s="13">
        <f t="shared" si="87"/>
        <v>38.191088392826394</v>
      </c>
      <c r="Q72" s="20">
        <f t="shared" si="54"/>
        <v>324.79834561750624</v>
      </c>
      <c r="R72" s="59">
        <f t="shared" si="55"/>
        <v>618.13167895083961</v>
      </c>
      <c r="S72" s="59">
        <f ca="1">AVERAGE(OFFSET($R$3,0,0,'Données projet'!$E$9+1,1))-AVERAGE(OFFSET($H$3,0,0,'Données projet'!$E$9+1,1))</f>
        <v>181.79645720099597</v>
      </c>
      <c r="T72" s="59">
        <f t="shared" si="88"/>
        <v>120.20040029102233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19.331261058389558</v>
      </c>
      <c r="AA72" s="21">
        <f>EXP(-LN(2)/25)*AA71+(1-EXP(-LN(2)/25))/(LN(2)/25)*Calculateur!V72*Calculateur!X72*VLOOKUP('Données projet'!$B$9,Paramètres!$A$1:$I$89,3,0)*0.475*44/12</f>
        <v>24.013212006979742</v>
      </c>
      <c r="AB72" s="21">
        <f>EXP(-LN(2)/2)*AB71+(1-EXP(-LN(2)/2))/(LN(2)/2)*V72*Y72*VLOOKUP('Données projet'!$B$9,Paramètres!$A$1:$I$89,3,0)*0.475*44/12</f>
        <v>0.49174110412940997</v>
      </c>
      <c r="AC72" s="22">
        <f t="shared" si="57"/>
        <v>43.83621416949871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13.296703302857143</v>
      </c>
      <c r="AI72" s="13">
        <f>IF('Données projet'!$A$62&gt;35,AI71+AH72-AQ71,IF(A72&lt;'Données projet'!$A$62,$AF$205^A72,IF(A72='Données projet'!$A$62,'Données projet'!$B$62,AI71+AH72-AQ71)))</f>
        <v>455.77252749714285</v>
      </c>
      <c r="AJ72" s="13">
        <f>AI72*VLOOKUP('Données projet'!$B$10,Paramètres!$A$1:$I$89,3,0)*VLOOKUP('Données projet'!$B$10,Paramètres!$A$1:$I$89,5,0)</f>
        <v>254.77684287090287</v>
      </c>
      <c r="AK72" s="13">
        <f t="shared" si="89"/>
        <v>61.607700363227522</v>
      </c>
      <c r="AL72" s="20">
        <f t="shared" si="58"/>
        <v>551.03641279944372</v>
      </c>
      <c r="AM72" s="59">
        <f t="shared" si="59"/>
        <v>844.36974613277698</v>
      </c>
      <c r="AN72" s="59">
        <f ca="1">AVERAGE(OFFSET($AM$3,0,0,'Données projet'!$E$10+1,1))-AVERAGE(OFFSET($H$3,0,0,'Données projet'!$E$10+1,1))</f>
        <v>253.62342381933348</v>
      </c>
      <c r="AO72" s="59">
        <f t="shared" si="90"/>
        <v>230.93438491775407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78.090257508912316</v>
      </c>
      <c r="AV72" s="21">
        <f>EXP(-LN(2)/25)*AV71+(1-EXP(-LN(2)/25))/(LN(2)/25)*Calculateur!AQ72*Calculateur!AS72*VLOOKUP('Données projet'!$B$10,Paramètres!$A$1:$I$89,3,0)*0.475*44/12</f>
        <v>24.09686289357742</v>
      </c>
      <c r="AW72" s="21">
        <f>EXP(-LN(2)/2)*AW71+(1-EXP(-LN(2)/2))/(LN(2)/2)*AQ72*AT72*VLOOKUP('Données projet'!$B$10,Paramètres!$A$1:$I$89,3,0)*0.475*44/12</f>
        <v>0.91060844484690706</v>
      </c>
      <c r="AX72" s="21">
        <f t="shared" si="60"/>
        <v>103.09772884733664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-5.6843418860808015E-14</v>
      </c>
      <c r="BE72" s="13">
        <f>BD72*VLOOKUP('Données projet'!$B$11,Paramètres!$A$1:$I$89,3,0)*VLOOKUP('Données projet'!$B$11,Paramètres!$A$1:$I$89,5,0)</f>
        <v>-3.3992364478763198E-14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199.27781324660782</v>
      </c>
      <c r="BJ72" s="59">
        <f t="shared" si="92"/>
        <v>199.82499536488524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108.54404721964346</v>
      </c>
      <c r="BQ72" s="21">
        <f>EXP(-LN(2)/25)*BQ71+(1-EXP(-LN(2)/25))/(LN(2)/25)*Calculateur!BL72*Calculateur!BN72*VLOOKUP('Données projet'!$B$11,Paramètres!$A$1:$I$89,3,0)*0.475*44/12</f>
        <v>28.175979615800031</v>
      </c>
      <c r="BR72" s="21">
        <f>EXP(-LN(2)/2)*BR71+(1-EXP(-LN(2)/2))/(LN(2)/2)*BL72*BO72*VLOOKUP('Données projet'!$B$11,Paramètres!$A$1:$I$89,3,0)*0.475*44/12</f>
        <v>1.4125707389017204</v>
      </c>
      <c r="BS72" s="22">
        <f t="shared" si="63"/>
        <v>138.1325975743452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-2.8421709430404007E-13</v>
      </c>
      <c r="BZ72" s="13">
        <f>BY72*VLOOKUP('Données projet'!$B$12,Paramètres!$A$1:$I$89,3,0)*VLOOKUP('Données projet'!$B$12,Paramètres!$A$1:$I$89,5,0)</f>
        <v>-1.69961822393816E-13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199.27781323742636</v>
      </c>
      <c r="CE72" s="59">
        <f t="shared" si="94"/>
        <v>199.82499536063892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108.54404722049841</v>
      </c>
      <c r="CL72" s="21">
        <f>EXP(-LN(2)/25)*CL71+(1-EXP(-LN(2)/25))/(LN(2)/25)*Calculateur!CG72*Calculateur!CI72*VLOOKUP('Données projet'!$B$12,Paramètres!$A$1:$I$89,3,0)*0.475*44/12</f>
        <v>28.157592178016991</v>
      </c>
      <c r="CM72" s="21">
        <f>EXP(-LN(2)/2)*CM71+(1-EXP(-LN(2)/2))/(LN(2)/2)*CG72*CJ72*VLOOKUP('Données projet'!$B$12,Paramètres!$A$1:$I$89,3,0)*0.475*44/12</f>
        <v>1.4125716820813614</v>
      </c>
      <c r="CN72" s="22">
        <f t="shared" si="66"/>
        <v>138.11421108059676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9.1830769230769196</v>
      </c>
      <c r="CT72" s="12">
        <f>IF('Données projet'!$A$140&gt;35,CT71+CS72-DB71,IF(A72&lt;'Données projet'!$A$140,$CQ$205^A72,IF(A72='Données projet'!$A$140,'Données projet'!$B$140,CT71+CS72-DB71)))</f>
        <v>370.80923076923045</v>
      </c>
      <c r="CU72" s="17">
        <f>CT72*VLOOKUP('Données projet'!$B$13,Paramètres!$A$1:$I$89,3,0)*VLOOKUP('Données projet'!$B$13,Paramètres!$A$1:$I$89,5,0)</f>
        <v>221.74391999999983</v>
      </c>
      <c r="CV72" s="13">
        <f t="shared" si="95"/>
        <v>54.493743764780973</v>
      </c>
      <c r="CW72" s="20">
        <f t="shared" si="67"/>
        <v>481.11393105699318</v>
      </c>
      <c r="CX72" s="59">
        <f t="shared" si="68"/>
        <v>774.4472643903265</v>
      </c>
      <c r="CY72" s="59">
        <f ca="1">AVERAGE(OFFSET($CX$3,0,0,'Données projet'!$E$13+1,1))-AVERAGE(OFFSET($H$3,0,0,'Données projet'!$E$13+1,1))</f>
        <v>213.18424462765137</v>
      </c>
      <c r="CZ72" s="59">
        <f t="shared" si="96"/>
        <v>158.77848520346532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38.259774252505963</v>
      </c>
      <c r="DG72" s="21">
        <f>EXP(-LN(2)/25)*DG71+(1-EXP(-LN(2)/25))/(LN(2)/25)*Calculateur!DB72*Calculateur!DD72*VLOOKUP('Données projet'!$B$13,Paramètres!$A$1:$I$89,3,0)*0.475*44/12</f>
        <v>10.52960457230397</v>
      </c>
      <c r="DH72" s="21">
        <f>EXP(-LN(2)/2)*DH71+(1-EXP(-LN(2)/2))/(LN(2)/2)*DB72*DE72*VLOOKUP('Données projet'!$B$13,Paramètres!$A$1:$I$89,3,0)*0.475*44/12</f>
        <v>0.22148380720977909</v>
      </c>
      <c r="DI72" s="22">
        <f t="shared" si="69"/>
        <v>49.010862632019709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10.314743589743591</v>
      </c>
      <c r="N73" s="13">
        <f>IF('Données projet'!$A$36&gt;35,N72+M73-V72,IF(A73&lt;'Données projet'!$A$36,$K$205^A73,IF(A73='Données projet'!$A$36,'Données projet'!$B$36,N72+M73-V72)))</f>
        <v>327.18653846153882</v>
      </c>
      <c r="O73" s="13">
        <f>N73*VLOOKUP('Données projet'!$B$9,Paramètres!$A$1:$I$89,3,0)*VLOOKUP('Données projet'!$B$9,Paramètres!$A$1:$I$89,5,0)</f>
        <v>153.12330000000017</v>
      </c>
      <c r="P73" s="13">
        <f t="shared" si="87"/>
        <v>39.287513204310343</v>
      </c>
      <c r="Q73" s="20">
        <f t="shared" si="54"/>
        <v>335.11549966417408</v>
      </c>
      <c r="R73" s="59">
        <f t="shared" si="55"/>
        <v>628.44883299750745</v>
      </c>
      <c r="S73" s="59">
        <f ca="1">AVERAGE(OFFSET($R$3,0,0,'Données projet'!$E$9+1,1))-AVERAGE(OFFSET($H$3,0,0,'Données projet'!$E$9+1,1))</f>
        <v>181.79645720099597</v>
      </c>
      <c r="T73" s="59">
        <f t="shared" si="88"/>
        <v>120.20040029102233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18.952186819939527</v>
      </c>
      <c r="AA73" s="21">
        <f>EXP(-LN(2)/25)*AA72+(1-EXP(-LN(2)/25))/(LN(2)/25)*Calculateur!V73*Calculateur!X73*VLOOKUP('Données projet'!$B$9,Paramètres!$A$1:$I$89,3,0)*0.475*44/12</f>
        <v>23.356569461848945</v>
      </c>
      <c r="AB73" s="21">
        <f>EXP(-LN(2)/2)*AB72+(1-EXP(-LN(2)/2))/(LN(2)/2)*V73*Y73*VLOOKUP('Données projet'!$B$9,Paramètres!$A$1:$I$89,3,0)*0.475*44/12</f>
        <v>0.34771346931806602</v>
      </c>
      <c r="AC73" s="22">
        <f t="shared" si="57"/>
        <v>42.656469751106542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469.06923080000001</v>
      </c>
      <c r="AG73" s="12">
        <f>VLOOKUP(A73,'Données projet'!$A$61:$I$81,9,0)</f>
        <v>13.296703302857143</v>
      </c>
      <c r="AH73" s="12">
        <f t="array" ref="AH73">INDEX(AG:AG,MIN(IF(ISNUMBER(AG73:AG269),ROW(AG73:AG269),"")))</f>
        <v>13.296703302857143</v>
      </c>
      <c r="AI73" s="13">
        <f>IF('Données projet'!$A$62&gt;35,AI72+AH73-AQ72,IF(A73&lt;'Données projet'!$A$62,$AF$205^A73,IF(A73='Données projet'!$A$62,'Données projet'!$B$62,AI72+AH73-AQ72)))</f>
        <v>469.06923080000001</v>
      </c>
      <c r="AJ73" s="13">
        <f>AI73*VLOOKUP('Données projet'!$B$10,Paramètres!$A$1:$I$89,3,0)*VLOOKUP('Données projet'!$B$10,Paramètres!$A$1:$I$89,5,0)</f>
        <v>262.20970001720002</v>
      </c>
      <c r="AK73" s="13">
        <f t="shared" si="89"/>
        <v>63.193164456039348</v>
      </c>
      <c r="AL73" s="20">
        <f t="shared" si="58"/>
        <v>566.74332229089191</v>
      </c>
      <c r="AM73" s="59">
        <f t="shared" si="59"/>
        <v>860.07665562422517</v>
      </c>
      <c r="AN73" s="59">
        <f ca="1">AVERAGE(OFFSET($AM$3,0,0,'Données projet'!$E$10+1,1))-AVERAGE(OFFSET($H$3,0,0,'Données projet'!$E$10+1,1))</f>
        <v>253.62342381933348</v>
      </c>
      <c r="AO73" s="59">
        <f t="shared" si="90"/>
        <v>230.93438491775407</v>
      </c>
      <c r="AP73" s="15">
        <f>IF(ISNA(VLOOKUP(A73,'Données projet'!$A$61:$I$81,3,0)),0,VLOOKUP(A73,'Données projet'!$A$61:$I$81,3,0))</f>
        <v>8</v>
      </c>
      <c r="AQ73" s="15">
        <f>IF(ISNA(VLOOKUP(A73,'Données projet'!$A$61:$I$81,4,0)),0,VLOOKUP(A73,'Données projet'!$A$61:$I$81,4,0))</f>
        <v>469.06923080000001</v>
      </c>
      <c r="AR73" s="16">
        <f>IF(ISNA(VLOOKUP(A73,'Données projet'!$A$61:$I$81,5,0)),0%,VLOOKUP(A73,'Données projet'!$A$61:$I$81,5,0)*VLOOKUP('Données projet'!$B$10,Paramètres!$A$1:$I$89,7,0))</f>
        <v>0.38500000000000001</v>
      </c>
      <c r="AS73" s="16">
        <f>IF(ISNA(VLOOKUP(A73,'Données projet'!$A$61:$I$81,6,0)),0%,VLOOKUP(A73,'Données projet'!$A$61:$I$81,6,0)*VLOOKUP('Données projet'!$B$10,Paramètres!$A$1:$I$89,7,0))</f>
        <v>9.240000000000001E-2</v>
      </c>
      <c r="AT73" s="16">
        <f>IF(ISNA(VLOOKUP(A73,'Données projet'!$A$61:$I$81,7,0)),0%,VLOOKUP(A73,'Données projet'!$A$61:$I$81,7,0))</f>
        <v>0.13200000000000001</v>
      </c>
      <c r="AU73" s="21">
        <f>EXP(-LN(2)/35)*AU72+(1-EXP(-LN(2)/35))/(LN(2)/35)*AQ73*AR73*VLOOKUP('Données projet'!$B$10,Paramètres!$A$1:$I$89,3,0)*0.475*44/12</f>
        <v>210.47661133651513</v>
      </c>
      <c r="AV73" s="21">
        <f>EXP(-LN(2)/25)*AV72+(1-EXP(-LN(2)/25))/(LN(2)/25)*Calculateur!AQ73*Calculateur!AS73*VLOOKUP('Données projet'!$B$10,Paramètres!$A$1:$I$89,3,0)*0.475*44/12</f>
        <v>55.451622024502505</v>
      </c>
      <c r="AW73" s="21">
        <f>EXP(-LN(2)/2)*AW72+(1-EXP(-LN(2)/2))/(LN(2)/2)*AQ73*AT73*VLOOKUP('Données projet'!$B$10,Paramètres!$A$1:$I$89,3,0)*0.475*44/12</f>
        <v>39.832359829471351</v>
      </c>
      <c r="AX73" s="21">
        <f t="shared" si="60"/>
        <v>305.76059319048898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-5.6843418860808015E-14</v>
      </c>
      <c r="BE73" s="13">
        <f>BD73*VLOOKUP('Données projet'!$B$11,Paramètres!$A$1:$I$89,3,0)*VLOOKUP('Données projet'!$B$11,Paramètres!$A$1:$I$89,5,0)</f>
        <v>-3.3992364478763198E-14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199.27781324660782</v>
      </c>
      <c r="BJ73" s="59">
        <f t="shared" si="92"/>
        <v>199.82499536488524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106.41556465899782</v>
      </c>
      <c r="BQ73" s="21">
        <f>EXP(-LN(2)/25)*BQ72+(1-EXP(-LN(2)/25))/(LN(2)/25)*Calculateur!BL73*Calculateur!BN73*VLOOKUP('Données projet'!$B$11,Paramètres!$A$1:$I$89,3,0)*0.475*44/12</f>
        <v>27.405505971495607</v>
      </c>
      <c r="BR73" s="21">
        <f>EXP(-LN(2)/2)*BR72+(1-EXP(-LN(2)/2))/(LN(2)/2)*BL73*BO73*VLOOKUP('Données projet'!$B$11,Paramètres!$A$1:$I$89,3,0)*0.475*44/12</f>
        <v>0.9988383483830986</v>
      </c>
      <c r="BS73" s="22">
        <f t="shared" si="63"/>
        <v>134.81990897887653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-2.8421709430404007E-13</v>
      </c>
      <c r="BZ73" s="13">
        <f>BY73*VLOOKUP('Données projet'!$B$12,Paramètres!$A$1:$I$89,3,0)*VLOOKUP('Données projet'!$B$12,Paramètres!$A$1:$I$89,5,0)</f>
        <v>-1.69961822393816E-13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199.27781323742636</v>
      </c>
      <c r="CE73" s="59">
        <f t="shared" si="94"/>
        <v>199.82499536063892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106.41556465983601</v>
      </c>
      <c r="CL73" s="21">
        <f>EXP(-LN(2)/25)*CL72+(1-EXP(-LN(2)/25))/(LN(2)/25)*Calculateur!CG73*Calculateur!CI73*VLOOKUP('Données projet'!$B$12,Paramètres!$A$1:$I$89,3,0)*0.475*44/12</f>
        <v>27.387621339165698</v>
      </c>
      <c r="CM73" s="21">
        <f>EXP(-LN(2)/2)*CM72+(1-EXP(-LN(2)/2))/(LN(2)/2)*CG73*CJ73*VLOOKUP('Données projet'!$B$12,Paramètres!$A$1:$I$89,3,0)*0.475*44/12</f>
        <v>0.99883901531181862</v>
      </c>
      <c r="CN73" s="22">
        <f t="shared" si="66"/>
        <v>134.80202501431353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379.99230769230769</v>
      </c>
      <c r="CR73" s="12">
        <f>VLOOKUP(A73,'Données projet'!$A$139:$I$159,9,0)</f>
        <v>9.1830769230769196</v>
      </c>
      <c r="CS73" s="12">
        <f t="array" ref="CS73">INDEX(CR:CR,MIN(IF(ISNUMBER(CR73:CR269),ROW(CR73:CR269),"")))</f>
        <v>9.1830769230769196</v>
      </c>
      <c r="CT73" s="12">
        <f>IF('Données projet'!$A$140&gt;35,CT72+CS73-DB72,IF(A73&lt;'Données projet'!$A$140,$CQ$205^A73,IF(A73='Données projet'!$A$140,'Données projet'!$B$140,CT72+CS73-DB72)))</f>
        <v>379.99230769230735</v>
      </c>
      <c r="CU73" s="17">
        <f>CT73*VLOOKUP('Données projet'!$B$13,Paramètres!$A$1:$I$89,3,0)*VLOOKUP('Données projet'!$B$13,Paramètres!$A$1:$I$89,5,0)</f>
        <v>227.2353999999998</v>
      </c>
      <c r="CV73" s="13">
        <f t="shared" si="95"/>
        <v>55.684490313081348</v>
      </c>
      <c r="CW73" s="20">
        <f t="shared" si="67"/>
        <v>492.75214229528297</v>
      </c>
      <c r="CX73" s="59">
        <f t="shared" si="68"/>
        <v>786.08547562861622</v>
      </c>
      <c r="CY73" s="59">
        <f ca="1">AVERAGE(OFFSET($CX$3,0,0,'Données projet'!$E$13+1,1))-AVERAGE(OFFSET($H$3,0,0,'Données projet'!$E$13+1,1))</f>
        <v>213.18424462765137</v>
      </c>
      <c r="CZ73" s="59">
        <f t="shared" si="96"/>
        <v>158.77848520346532</v>
      </c>
      <c r="DA73" s="15">
        <f>IF(ISNA(VLOOKUP(A73,'Données projet'!$A$139:$I$159,3,0)),0,VLOOKUP(A73,'Données projet'!$A$139:$I$159,3,0))</f>
        <v>7</v>
      </c>
      <c r="DB73" s="15">
        <f>IF(ISNA(VLOOKUP(A73,'Données projet'!$A$139:$I$159,4,0)),0,VLOOKUP(A73,'Données projet'!$A$139:$I$159,4,0))</f>
        <v>52.669230769230765</v>
      </c>
      <c r="DC73" s="16">
        <f>IF(ISNA(VLOOKUP(A73,'Données projet'!$A$139:$I$159,5,0)),0%,VLOOKUP(A73,'Données projet'!$A$139:$I$159,5,0)*VLOOKUP('Données projet'!$B$13,Paramètres!$A$1:$I$89,7,0))</f>
        <v>0.315</v>
      </c>
      <c r="DD73" s="16">
        <f>IF(ISNA(VLOOKUP(A73,'Données projet'!$A$139:$I$159,6,0)),0%,VLOOKUP(A73,'Données projet'!$A$139:$I$159,6,0)*VLOOKUP('Données projet'!$B$13,Paramètres!$A$1:$I$89,7,0))</f>
        <v>7.5600000000000001E-2</v>
      </c>
      <c r="DE73" s="16">
        <f>IF(ISNA(VLOOKUP(A73,'Données projet'!$A$139:$I$159,7,0)),0%,VLOOKUP(A73,'Données projet'!$A$139:$I$159,7,0))</f>
        <v>0.13200000000000001</v>
      </c>
      <c r="DF73" s="21">
        <f>EXP(-LN(2)/35)*DF72+(1-EXP(-LN(2)/35))/(LN(2)/35)*DB73*DC73*VLOOKUP('Données projet'!$B$13,Paramètres!$A$1:$I$89,3,0)*0.475*44/12</f>
        <v>50.670771327018038</v>
      </c>
      <c r="DG73" s="21">
        <f>EXP(-LN(2)/25)*DG72+(1-EXP(-LN(2)/25))/(LN(2)/25)*Calculateur!DB73*Calculateur!DD73*VLOOKUP('Données projet'!$B$13,Paramètres!$A$1:$I$89,3,0)*0.475*44/12</f>
        <v>13.38793447680801</v>
      </c>
      <c r="DH73" s="21">
        <f>EXP(-LN(2)/2)*DH72+(1-EXP(-LN(2)/2))/(LN(2)/2)*DB73*DE73*VLOOKUP('Données projet'!$B$13,Paramètres!$A$1:$I$89,3,0)*0.475*44/12</f>
        <v>4.8638666673956541</v>
      </c>
      <c r="DI73" s="22">
        <f t="shared" si="69"/>
        <v>68.922572471221699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10.314743589743591</v>
      </c>
      <c r="N74" s="13">
        <f>IF('Données projet'!$A$36&gt;35,N73+M74-V73,IF(A74&lt;'Données projet'!$A$36,$K$205^A74,IF(A74='Données projet'!$A$36,'Données projet'!$B$36,N73+M74-V73)))</f>
        <v>337.50128205128243</v>
      </c>
      <c r="O74" s="13">
        <f>N74*VLOOKUP('Données projet'!$B$9,Paramètres!$A$1:$I$89,3,0)*VLOOKUP('Données projet'!$B$9,Paramètres!$A$1:$I$89,5,0)</f>
        <v>157.95060000000018</v>
      </c>
      <c r="P74" s="13">
        <f t="shared" si="87"/>
        <v>40.379921270810129</v>
      </c>
      <c r="Q74" s="20">
        <f t="shared" si="54"/>
        <v>345.42565787999462</v>
      </c>
      <c r="R74" s="59">
        <f t="shared" si="55"/>
        <v>638.75899121332793</v>
      </c>
      <c r="S74" s="59">
        <f ca="1">AVERAGE(OFFSET($R$3,0,0,'Données projet'!$E$9+1,1))-AVERAGE(OFFSET($H$3,0,0,'Données projet'!$E$9+1,1))</f>
        <v>181.79645720099597</v>
      </c>
      <c r="T74" s="59">
        <f t="shared" si="88"/>
        <v>120.20040029102233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18.580545996093047</v>
      </c>
      <c r="AA74" s="21">
        <f>EXP(-LN(2)/25)*AA73+(1-EXP(-LN(2)/25))/(LN(2)/25)*Calculateur!V74*Calculateur!X74*VLOOKUP('Données projet'!$B$9,Paramètres!$A$1:$I$89,3,0)*0.475*44/12</f>
        <v>22.71788284164608</v>
      </c>
      <c r="AB74" s="21">
        <f>EXP(-LN(2)/2)*AB73+(1-EXP(-LN(2)/2))/(LN(2)/2)*V74*Y74*VLOOKUP('Données projet'!$B$9,Paramètres!$A$1:$I$89,3,0)*0.475*44/12</f>
        <v>0.24587055206470504</v>
      </c>
      <c r="AC74" s="22">
        <f t="shared" si="57"/>
        <v>41.544299389803825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253.62342381933348</v>
      </c>
      <c r="AO74" s="59">
        <f t="shared" si="90"/>
        <v>230.93438491775407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206.34929336626271</v>
      </c>
      <c r="AV74" s="21">
        <f>EXP(-LN(2)/25)*AV73+(1-EXP(-LN(2)/25))/(LN(2)/25)*Calculateur!AQ74*Calculateur!AS74*VLOOKUP('Données projet'!$B$10,Paramètres!$A$1:$I$89,3,0)*0.475*44/12</f>
        <v>53.935294504168418</v>
      </c>
      <c r="AW74" s="21">
        <f>EXP(-LN(2)/2)*AW73+(1-EXP(-LN(2)/2))/(LN(2)/2)*AQ74*AT74*VLOOKUP('Données projet'!$B$10,Paramètres!$A$1:$I$89,3,0)*0.475*44/12</f>
        <v>28.165731746081825</v>
      </c>
      <c r="AX74" s="21">
        <f t="shared" si="60"/>
        <v>288.45031961651296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-5.6843418860808015E-14</v>
      </c>
      <c r="BE74" s="13">
        <f>BD74*VLOOKUP('Données projet'!$B$11,Paramètres!$A$1:$I$89,3,0)*VLOOKUP('Données projet'!$B$11,Paramètres!$A$1:$I$89,5,0)</f>
        <v>-3.3992364478763198E-14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199.27781324660782</v>
      </c>
      <c r="BJ74" s="59">
        <f t="shared" si="92"/>
        <v>199.82499536488524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104.32882034312027</v>
      </c>
      <c r="BQ74" s="21">
        <f>EXP(-LN(2)/25)*BQ73+(1-EXP(-LN(2)/25))/(LN(2)/25)*Calculateur!BL74*Calculateur!BN74*VLOOKUP('Données projet'!$B$11,Paramètres!$A$1:$I$89,3,0)*0.475*44/12</f>
        <v>26.656100969512138</v>
      </c>
      <c r="BR74" s="21">
        <f>EXP(-LN(2)/2)*BR73+(1-EXP(-LN(2)/2))/(LN(2)/2)*BL74*BO74*VLOOKUP('Données projet'!$B$11,Paramètres!$A$1:$I$89,3,0)*0.475*44/12</f>
        <v>0.70628536945086029</v>
      </c>
      <c r="BS74" s="22">
        <f t="shared" si="63"/>
        <v>131.69120668208328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-2.8421709430404007E-13</v>
      </c>
      <c r="BZ74" s="13">
        <f>BY74*VLOOKUP('Données projet'!$B$12,Paramètres!$A$1:$I$89,3,0)*VLOOKUP('Données projet'!$B$12,Paramètres!$A$1:$I$89,5,0)</f>
        <v>-1.69961822393816E-13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199.27781323742636</v>
      </c>
      <c r="CE74" s="59">
        <f t="shared" si="94"/>
        <v>199.82499536063892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104.32882034394203</v>
      </c>
      <c r="CL74" s="21">
        <f>EXP(-LN(2)/25)*CL73+(1-EXP(-LN(2)/25))/(LN(2)/25)*Calculateur!CG74*Calculateur!CI74*VLOOKUP('Données projet'!$B$12,Paramètres!$A$1:$I$89,3,0)*0.475*44/12</f>
        <v>26.638705393393799</v>
      </c>
      <c r="CM74" s="21">
        <f>EXP(-LN(2)/2)*CM73+(1-EXP(-LN(2)/2))/(LN(2)/2)*CG74*CJ74*VLOOKUP('Données projet'!$B$12,Paramètres!$A$1:$I$89,3,0)*0.475*44/12</f>
        <v>0.70628584104068082</v>
      </c>
      <c r="CN74" s="22">
        <f t="shared" si="66"/>
        <v>131.6738115783765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7.5584615384615343</v>
      </c>
      <c r="CT74" s="12">
        <f>IF('Données projet'!$A$140&gt;35,CT73+CS74-DB73,IF(A74&lt;'Données projet'!$A$140,$CQ$205^A74,IF(A74='Données projet'!$A$140,'Données projet'!$B$140,CT73+CS74-DB73)))</f>
        <v>334.88153846153813</v>
      </c>
      <c r="CU74" s="17">
        <f>CT74*VLOOKUP('Données projet'!$B$13,Paramètres!$A$1:$I$89,3,0)*VLOOKUP('Données projet'!$B$13,Paramètres!$A$1:$I$89,5,0)</f>
        <v>200.25915999999984</v>
      </c>
      <c r="CV74" s="13">
        <f t="shared" si="95"/>
        <v>49.80111895612729</v>
      </c>
      <c r="CW74" s="20">
        <f t="shared" si="67"/>
        <v>435.52165251525474</v>
      </c>
      <c r="CX74" s="59">
        <f t="shared" si="68"/>
        <v>728.85498584858806</v>
      </c>
      <c r="CY74" s="59">
        <f ca="1">AVERAGE(OFFSET($CX$3,0,0,'Données projet'!$E$13+1,1))-AVERAGE(OFFSET($H$3,0,0,'Données projet'!$E$13+1,1))</f>
        <v>213.18424462765137</v>
      </c>
      <c r="CZ74" s="59">
        <f t="shared" si="96"/>
        <v>158.77848520346532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49.677148407413995</v>
      </c>
      <c r="DG74" s="21">
        <f>EXP(-LN(2)/25)*DG73+(1-EXP(-LN(2)/25))/(LN(2)/25)*Calculateur!DB74*Calculateur!DD74*VLOOKUP('Données projet'!$B$13,Paramètres!$A$1:$I$89,3,0)*0.475*44/12</f>
        <v>13.021840704498819</v>
      </c>
      <c r="DH74" s="21">
        <f>EXP(-LN(2)/2)*DH73+(1-EXP(-LN(2)/2))/(LN(2)/2)*DB74*DE74*VLOOKUP('Données projet'!$B$13,Paramètres!$A$1:$I$89,3,0)*0.475*44/12</f>
        <v>3.4392731033026811</v>
      </c>
      <c r="DI74" s="22">
        <f t="shared" si="69"/>
        <v>66.138262215215491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10.314743589743591</v>
      </c>
      <c r="N75" s="13">
        <f>IF('Données projet'!$A$36&gt;35,N74+M75-V74,IF(A75&lt;'Données projet'!$A$36,$K$205^A75,IF(A75='Données projet'!$A$36,'Données projet'!$B$36,N74+M75-V74)))</f>
        <v>347.81602564102604</v>
      </c>
      <c r="O75" s="13">
        <f>N75*VLOOKUP('Données projet'!$B$9,Paramètres!$A$1:$I$89,3,0)*VLOOKUP('Données projet'!$B$9,Paramètres!$A$1:$I$89,5,0)</f>
        <v>162.77790000000019</v>
      </c>
      <c r="P75" s="13">
        <f t="shared" si="87"/>
        <v>41.468449441443113</v>
      </c>
      <c r="Q75" s="20">
        <f t="shared" si="54"/>
        <v>355.72905861051368</v>
      </c>
      <c r="R75" s="59">
        <f t="shared" si="55"/>
        <v>649.06239194384693</v>
      </c>
      <c r="S75" s="59">
        <f ca="1">AVERAGE(OFFSET($R$3,0,0,'Données projet'!$E$9+1,1))-AVERAGE(OFFSET($H$3,0,0,'Données projet'!$E$9+1,1))</f>
        <v>181.79645720099597</v>
      </c>
      <c r="T75" s="59">
        <f t="shared" si="88"/>
        <v>120.20040029102233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18.216192822123677</v>
      </c>
      <c r="AA75" s="21">
        <f>EXP(-LN(2)/25)*AA74+(1-EXP(-LN(2)/25))/(LN(2)/25)*Calculateur!V75*Calculateur!X75*VLOOKUP('Données projet'!$B$9,Paramètres!$A$1:$I$89,3,0)*0.475*44/12</f>
        <v>22.096661140659734</v>
      </c>
      <c r="AB75" s="21">
        <f>EXP(-LN(2)/2)*AB74+(1-EXP(-LN(2)/2))/(LN(2)/2)*V75*Y75*VLOOKUP('Données projet'!$B$9,Paramètres!$A$1:$I$89,3,0)*0.475*44/12</f>
        <v>0.17385673465903304</v>
      </c>
      <c r="AC75" s="22">
        <f t="shared" si="57"/>
        <v>40.48671069744244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253.62342381933348</v>
      </c>
      <c r="AO75" s="59">
        <f t="shared" si="90"/>
        <v>230.93438491775407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202.30290958399155</v>
      </c>
      <c r="AV75" s="21">
        <f>EXP(-LN(2)/25)*AV74+(1-EXP(-LN(2)/25))/(LN(2)/25)*Calculateur!AQ75*Calculateur!AS75*VLOOKUP('Données projet'!$B$10,Paramètres!$A$1:$I$89,3,0)*0.475*44/12</f>
        <v>52.460431039618065</v>
      </c>
      <c r="AW75" s="21">
        <f>EXP(-LN(2)/2)*AW74+(1-EXP(-LN(2)/2))/(LN(2)/2)*AQ75*AT75*VLOOKUP('Données projet'!$B$10,Paramètres!$A$1:$I$89,3,0)*0.475*44/12</f>
        <v>19.916179914735679</v>
      </c>
      <c r="AX75" s="21">
        <f t="shared" si="60"/>
        <v>274.67952053834529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-5.6843418860808015E-14</v>
      </c>
      <c r="BE75" s="13">
        <f>BD75*VLOOKUP('Données projet'!$B$11,Paramètres!$A$1:$I$89,3,0)*VLOOKUP('Données projet'!$B$11,Paramètres!$A$1:$I$89,5,0)</f>
        <v>-3.3992364478763198E-14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199.27781324660782</v>
      </c>
      <c r="BJ75" s="59">
        <f t="shared" si="92"/>
        <v>199.82499536488524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102.28299581048873</v>
      </c>
      <c r="BQ75" s="21">
        <f>EXP(-LN(2)/25)*BQ74+(1-EXP(-LN(2)/25))/(LN(2)/25)*Calculateur!BL75*Calculateur!BN75*VLOOKUP('Données projet'!$B$11,Paramètres!$A$1:$I$89,3,0)*0.475*44/12</f>
        <v>25.927188486717402</v>
      </c>
      <c r="BR75" s="21">
        <f>EXP(-LN(2)/2)*BR74+(1-EXP(-LN(2)/2))/(LN(2)/2)*BL75*BO75*VLOOKUP('Données projet'!$B$11,Paramètres!$A$1:$I$89,3,0)*0.475*44/12</f>
        <v>0.49941917419154935</v>
      </c>
      <c r="BS75" s="22">
        <f t="shared" si="63"/>
        <v>128.70960347139768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-2.8421709430404007E-13</v>
      </c>
      <c r="BZ75" s="13">
        <f>BY75*VLOOKUP('Données projet'!$B$12,Paramètres!$A$1:$I$89,3,0)*VLOOKUP('Données projet'!$B$12,Paramètres!$A$1:$I$89,5,0)</f>
        <v>-1.69961822393816E-13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199.27781323742636</v>
      </c>
      <c r="CE75" s="59">
        <f t="shared" si="94"/>
        <v>199.82499536063892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102.28299581129437</v>
      </c>
      <c r="CL75" s="21">
        <f>EXP(-LN(2)/25)*CL74+(1-EXP(-LN(2)/25))/(LN(2)/25)*Calculateur!CG75*Calculateur!CI75*VLOOKUP('Données projet'!$B$12,Paramètres!$A$1:$I$89,3,0)*0.475*44/12</f>
        <v>25.910268593542813</v>
      </c>
      <c r="CM75" s="21">
        <f>EXP(-LN(2)/2)*CM74+(1-EXP(-LN(2)/2))/(LN(2)/2)*CG75*CJ75*VLOOKUP('Données projet'!$B$12,Paramètres!$A$1:$I$89,3,0)*0.475*44/12</f>
        <v>0.49941950765590942</v>
      </c>
      <c r="CN75" s="22">
        <f t="shared" si="66"/>
        <v>128.6926839124931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7.5584615384615343</v>
      </c>
      <c r="CT75" s="12">
        <f>IF('Données projet'!$A$140&gt;35,CT74+CS75-DB74,IF(A75&lt;'Données projet'!$A$140,$CQ$205^A75,IF(A75='Données projet'!$A$140,'Données projet'!$B$140,CT74+CS75-DB74)))</f>
        <v>342.43999999999966</v>
      </c>
      <c r="CU75" s="17">
        <f>CT75*VLOOKUP('Données projet'!$B$13,Paramètres!$A$1:$I$89,3,0)*VLOOKUP('Données projet'!$B$13,Paramètres!$A$1:$I$89,5,0)</f>
        <v>204.77911999999984</v>
      </c>
      <c r="CV75" s="13">
        <f t="shared" si="95"/>
        <v>50.79302579334589</v>
      </c>
      <c r="CW75" s="20">
        <f t="shared" si="67"/>
        <v>445.12148725674382</v>
      </c>
      <c r="CX75" s="59">
        <f t="shared" si="68"/>
        <v>738.45482059007713</v>
      </c>
      <c r="CY75" s="59">
        <f ca="1">AVERAGE(OFFSET($CX$3,0,0,'Données projet'!$E$13+1,1))-AVERAGE(OFFSET($H$3,0,0,'Données projet'!$E$13+1,1))</f>
        <v>213.18424462765137</v>
      </c>
      <c r="CZ75" s="59">
        <f t="shared" si="96"/>
        <v>158.77848520346532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48.703009827213251</v>
      </c>
      <c r="DG75" s="21">
        <f>EXP(-LN(2)/25)*DG74+(1-EXP(-LN(2)/25))/(LN(2)/25)*Calculateur!DB75*Calculateur!DD75*VLOOKUP('Données projet'!$B$13,Paramètres!$A$1:$I$89,3,0)*0.475*44/12</f>
        <v>12.665757785645459</v>
      </c>
      <c r="DH75" s="21">
        <f>EXP(-LN(2)/2)*DH74+(1-EXP(-LN(2)/2))/(LN(2)/2)*DB75*DE75*VLOOKUP('Données projet'!$B$13,Paramètres!$A$1:$I$89,3,0)*0.475*44/12</f>
        <v>2.4319333336978275</v>
      </c>
      <c r="DI75" s="22">
        <f t="shared" si="69"/>
        <v>63.800700946556539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>
        <f>VLOOKUP(A76,'Données projet'!$A$35:$I$55,2,0)</f>
        <v>358.13076923076926</v>
      </c>
      <c r="L76" s="12">
        <f>VLOOKUP(A76,'Données projet'!$A$35:$I$55,9,0)</f>
        <v>10.314743589743591</v>
      </c>
      <c r="M76" s="12">
        <f t="array" ref="M76">INDEX(L:L,MIN(IF(ISNUMBER(L76:L272),ROW(L76:L272),"")))</f>
        <v>10.314743589743591</v>
      </c>
      <c r="N76" s="13">
        <f>IF('Données projet'!$A$36&gt;35,N75+M76-V75,IF(A76&lt;'Données projet'!$A$36,$K$205^A76,IF(A76='Données projet'!$A$36,'Données projet'!$B$36,N75+M76-V75)))</f>
        <v>358.13076923076966</v>
      </c>
      <c r="O76" s="13">
        <f>N76*VLOOKUP('Données projet'!$B$9,Paramètres!$A$1:$I$89,3,0)*VLOOKUP('Données projet'!$B$9,Paramètres!$A$1:$I$89,5,0)</f>
        <v>167.6052000000002</v>
      </c>
      <c r="P76" s="13">
        <f t="shared" si="87"/>
        <v>42.553225987206773</v>
      </c>
      <c r="Q76" s="20">
        <f t="shared" si="54"/>
        <v>366.02592526105212</v>
      </c>
      <c r="R76" s="59">
        <f t="shared" si="55"/>
        <v>659.35925859438544</v>
      </c>
      <c r="S76" s="59">
        <f ca="1">AVERAGE(OFFSET($R$3,0,0,'Données projet'!$E$9+1,1))-AVERAGE(OFFSET($H$3,0,0,'Données projet'!$E$9+1,1))</f>
        <v>181.79645720099597</v>
      </c>
      <c r="T76" s="59">
        <f t="shared" si="88"/>
        <v>120.20040029102233</v>
      </c>
      <c r="U76" s="15">
        <f>IF(ISNA(VLOOKUP(A76,'Données projet'!$A$35:$I$55,3,0)),0,VLOOKUP(A76,'Données projet'!$A$35:$I$55,3,0))</f>
        <v>3</v>
      </c>
      <c r="V76" s="15">
        <f>IF(ISNA(VLOOKUP(A76,'Données projet'!$A$35:$I$55,4,0)),0,VLOOKUP(A76,'Données projet'!$A$35:$I$55,4,0))</f>
        <v>93.584615384615375</v>
      </c>
      <c r="W76" s="16">
        <f>IF(ISNA(VLOOKUP(A76,'Données projet'!$A$35:$I$55,5,0)),0%,VLOOKUP(A76,'Données projet'!$A$35:$I$55,5,0)*VLOOKUP('Données projet'!$B$9,Paramètres!$A$1:$I$89,7,0))</f>
        <v>0.38500000000000001</v>
      </c>
      <c r="X76" s="16">
        <f>IF(ISNA(VLOOKUP(A76,'Données projet'!$A$35:$I$55,6,0)),0%,VLOOKUP(A76,'Données projet'!$A$35:$I$55,6,0)*VLOOKUP('Données projet'!$B$9,Paramètres!$A$1:$I$89,7,0))</f>
        <v>9.240000000000001E-2</v>
      </c>
      <c r="Y76" s="16">
        <f>IF(ISNA(VLOOKUP(A76,'Données projet'!$A$35:$I$55,7,0)),0%,VLOOKUP(A76,'Données projet'!$A$35:$I$55,7,0))</f>
        <v>0.13200000000000001</v>
      </c>
      <c r="Z76" s="21">
        <f>EXP(-LN(2)/35)*Z75+(1-EXP(-LN(2)/35))/(LN(2)/35)*V76*W76*VLOOKUP('Données projet'!$B$9,Paramètres!$A$1:$I$89,3,0)*0.475*44/12</f>
        <v>40.227615058182487</v>
      </c>
      <c r="AA76" s="21">
        <f>EXP(-LN(2)/25)*AA75+(1-EXP(-LN(2)/25))/(LN(2)/25)*Calculateur!V76*Calculateur!X76*VLOOKUP('Données projet'!$B$9,Paramètres!$A$1:$I$89,3,0)*0.475*44/12</f>
        <v>26.839760422428181</v>
      </c>
      <c r="AB76" s="21">
        <f>EXP(-LN(2)/2)*AB75+(1-EXP(-LN(2)/2))/(LN(2)/2)*V76*Y76*VLOOKUP('Données projet'!$B$9,Paramètres!$A$1:$I$89,3,0)*0.475*44/12</f>
        <v>6.6686908362195103</v>
      </c>
      <c r="AC76" s="22">
        <f t="shared" si="57"/>
        <v>73.736066316830176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253.62342381933348</v>
      </c>
      <c r="AO76" s="59">
        <f t="shared" si="90"/>
        <v>230.93438491775407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198.33587291964031</v>
      </c>
      <c r="AV76" s="21">
        <f>EXP(-LN(2)/25)*AV75+(1-EXP(-LN(2)/25))/(LN(2)/25)*Calculateur!AQ76*Calculateur!AS76*VLOOKUP('Données projet'!$B$10,Paramètres!$A$1:$I$89,3,0)*0.475*44/12</f>
        <v>51.025897794065543</v>
      </c>
      <c r="AW76" s="21">
        <f>EXP(-LN(2)/2)*AW75+(1-EXP(-LN(2)/2))/(LN(2)/2)*AQ76*AT76*VLOOKUP('Données projet'!$B$10,Paramètres!$A$1:$I$89,3,0)*0.475*44/12</f>
        <v>14.082865873040916</v>
      </c>
      <c r="AX76" s="21">
        <f t="shared" si="60"/>
        <v>263.44463658674675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-5.6843418860808015E-14</v>
      </c>
      <c r="BE76" s="13">
        <f>BD76*VLOOKUP('Données projet'!$B$11,Paramètres!$A$1:$I$89,3,0)*VLOOKUP('Données projet'!$B$11,Paramètres!$A$1:$I$89,5,0)</f>
        <v>-3.3992364478763198E-14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199.27781324660782</v>
      </c>
      <c r="BJ76" s="59">
        <f t="shared" si="92"/>
        <v>199.82499536488524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100.27728864911234</v>
      </c>
      <c r="BQ76" s="21">
        <f>EXP(-LN(2)/25)*BQ75+(1-EXP(-LN(2)/25))/(LN(2)/25)*Calculateur!BL76*Calculateur!BN76*VLOOKUP('Données projet'!$B$11,Paramètres!$A$1:$I$89,3,0)*0.475*44/12</f>
        <v>25.21820815409653</v>
      </c>
      <c r="BR76" s="21">
        <f>EXP(-LN(2)/2)*BR75+(1-EXP(-LN(2)/2))/(LN(2)/2)*BL76*BO76*VLOOKUP('Données projet'!$B$11,Paramètres!$A$1:$I$89,3,0)*0.475*44/12</f>
        <v>0.3531426847254302</v>
      </c>
      <c r="BS76" s="22">
        <f t="shared" si="63"/>
        <v>125.84863948793429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-2.8421709430404007E-13</v>
      </c>
      <c r="BZ76" s="13">
        <f>BY76*VLOOKUP('Données projet'!$B$12,Paramètres!$A$1:$I$89,3,0)*VLOOKUP('Données projet'!$B$12,Paramètres!$A$1:$I$89,5,0)</f>
        <v>-1.69961822393816E-13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199.27781323742636</v>
      </c>
      <c r="CE76" s="59">
        <f t="shared" si="94"/>
        <v>199.82499536063892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100.27728864990218</v>
      </c>
      <c r="CL76" s="21">
        <f>EXP(-LN(2)/25)*CL75+(1-EXP(-LN(2)/25))/(LN(2)/25)*Calculateur!CG76*Calculateur!CI76*VLOOKUP('Données projet'!$B$12,Paramètres!$A$1:$I$89,3,0)*0.475*44/12</f>
        <v>25.20175093629058</v>
      </c>
      <c r="CM76" s="21">
        <f>EXP(-LN(2)/2)*CM75+(1-EXP(-LN(2)/2))/(LN(2)/2)*CG76*CJ76*VLOOKUP('Données projet'!$B$12,Paramètres!$A$1:$I$89,3,0)*0.475*44/12</f>
        <v>0.35314292052034046</v>
      </c>
      <c r="CN76" s="22">
        <f t="shared" si="66"/>
        <v>125.8321825067131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7.5584615384615343</v>
      </c>
      <c r="CT76" s="12">
        <f>IF('Données projet'!$A$140&gt;35,CT75+CS76-DB75,IF(A76&lt;'Données projet'!$A$140,$CQ$205^A76,IF(A76='Données projet'!$A$140,'Données projet'!$B$140,CT75+CS76-DB75)))</f>
        <v>349.99846153846119</v>
      </c>
      <c r="CU76" s="17">
        <f>CT76*VLOOKUP('Données projet'!$B$13,Paramètres!$A$1:$I$89,3,0)*VLOOKUP('Données projet'!$B$13,Paramètres!$A$1:$I$89,5,0)</f>
        <v>209.2990799999998</v>
      </c>
      <c r="CV76" s="13">
        <f t="shared" si="95"/>
        <v>51.782387252616175</v>
      </c>
      <c r="CW76" s="20">
        <f t="shared" si="67"/>
        <v>454.71688879830617</v>
      </c>
      <c r="CX76" s="59">
        <f t="shared" si="68"/>
        <v>748.05022213163943</v>
      </c>
      <c r="CY76" s="59">
        <f ca="1">AVERAGE(OFFSET($CX$3,0,0,'Données projet'!$E$13+1,1))-AVERAGE(OFFSET($H$3,0,0,'Données projet'!$E$13+1,1))</f>
        <v>213.18424462765137</v>
      </c>
      <c r="CZ76" s="59">
        <f t="shared" si="96"/>
        <v>158.77848520346532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47.747973510404378</v>
      </c>
      <c r="DG76" s="21">
        <f>EXP(-LN(2)/25)*DG75+(1-EXP(-LN(2)/25))/(LN(2)/25)*Calculateur!DB76*Calculateur!DD76*VLOOKUP('Données projet'!$B$13,Paramètres!$A$1:$I$89,3,0)*0.475*44/12</f>
        <v>12.319411972933731</v>
      </c>
      <c r="DH76" s="21">
        <f>EXP(-LN(2)/2)*DH75+(1-EXP(-LN(2)/2))/(LN(2)/2)*DB76*DE76*VLOOKUP('Données projet'!$B$13,Paramètres!$A$1:$I$89,3,0)*0.475*44/12</f>
        <v>1.719636551651341</v>
      </c>
      <c r="DI76" s="22">
        <f t="shared" si="69"/>
        <v>61.787022034989448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9.5237179487179446</v>
      </c>
      <c r="N77" s="13">
        <f>IF('Données projet'!$A$36&gt;35,N76+M77-V76,IF(A77&lt;'Données projet'!$A$36,$K$205^A77,IF(A77='Données projet'!$A$36,'Données projet'!$B$36,N76+M77-V76)))</f>
        <v>274.06987179487226</v>
      </c>
      <c r="O77" s="13">
        <f>N77*VLOOKUP('Données projet'!$B$9,Paramètres!$A$1:$I$89,3,0)*VLOOKUP('Données projet'!$B$9,Paramètres!$A$1:$I$89,5,0)</f>
        <v>128.26470000000023</v>
      </c>
      <c r="P77" s="13">
        <f t="shared" si="87"/>
        <v>33.595069382484709</v>
      </c>
      <c r="Q77" s="20">
        <f t="shared" si="54"/>
        <v>281.90576500782794</v>
      </c>
      <c r="R77" s="59">
        <f t="shared" si="55"/>
        <v>575.23909834116125</v>
      </c>
      <c r="S77" s="59">
        <f ca="1">AVERAGE(OFFSET($R$3,0,0,'Données projet'!$E$9+1,1))-AVERAGE(OFFSET($H$3,0,0,'Données projet'!$E$9+1,1))</f>
        <v>181.79645720099597</v>
      </c>
      <c r="T77" s="59">
        <f t="shared" si="88"/>
        <v>120.20040029102233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39.438776063313945</v>
      </c>
      <c r="AA77" s="21">
        <f>EXP(-LN(2)/25)*AA76+(1-EXP(-LN(2)/25))/(LN(2)/25)*Calculateur!V77*Calculateur!X77*VLOOKUP('Données projet'!$B$9,Paramètres!$A$1:$I$89,3,0)*0.475*44/12</f>
        <v>26.105825762235224</v>
      </c>
      <c r="AB77" s="21">
        <f>EXP(-LN(2)/2)*AB76+(1-EXP(-LN(2)/2))/(LN(2)/2)*V77*Y77*VLOOKUP('Données projet'!$B$9,Paramètres!$A$1:$I$89,3,0)*0.475*44/12</f>
        <v>4.7154765119274042</v>
      </c>
      <c r="AC77" s="22">
        <f t="shared" si="57"/>
        <v>70.260078337476571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253.62342381933348</v>
      </c>
      <c r="AO77" s="59">
        <f t="shared" si="90"/>
        <v>230.93438491775407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194.44662742462356</v>
      </c>
      <c r="AV77" s="21">
        <f>EXP(-LN(2)/25)*AV76+(1-EXP(-LN(2)/25))/(LN(2)/25)*Calculateur!AQ77*Calculateur!AS77*VLOOKUP('Données projet'!$B$10,Paramètres!$A$1:$I$89,3,0)*0.475*44/12</f>
        <v>49.630591935551479</v>
      </c>
      <c r="AW77" s="21">
        <f>EXP(-LN(2)/2)*AW76+(1-EXP(-LN(2)/2))/(LN(2)/2)*AQ77*AT77*VLOOKUP('Données projet'!$B$10,Paramètres!$A$1:$I$89,3,0)*0.475*44/12</f>
        <v>9.9580899573678412</v>
      </c>
      <c r="AX77" s="21">
        <f t="shared" si="60"/>
        <v>254.03530931754287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-5.6843418860808015E-14</v>
      </c>
      <c r="BE77" s="13">
        <f>BD77*VLOOKUP('Données projet'!$B$11,Paramètres!$A$1:$I$89,3,0)*VLOOKUP('Données projet'!$B$11,Paramètres!$A$1:$I$89,5,0)</f>
        <v>-3.3992364478763198E-14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199.27781324660782</v>
      </c>
      <c r="BJ77" s="59">
        <f t="shared" si="92"/>
        <v>199.82499536488524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98.310912181809968</v>
      </c>
      <c r="BQ77" s="21">
        <f>EXP(-LN(2)/25)*BQ76+(1-EXP(-LN(2)/25))/(LN(2)/25)*Calculateur!BL77*Calculateur!BN77*VLOOKUP('Données projet'!$B$11,Paramètres!$A$1:$I$89,3,0)*0.475*44/12</f>
        <v>24.52861492595483</v>
      </c>
      <c r="BR77" s="21">
        <f>EXP(-LN(2)/2)*BR76+(1-EXP(-LN(2)/2))/(LN(2)/2)*BL77*BO77*VLOOKUP('Données projet'!$B$11,Paramètres!$A$1:$I$89,3,0)*0.475*44/12</f>
        <v>0.24970958709577473</v>
      </c>
      <c r="BS77" s="22">
        <f t="shared" si="63"/>
        <v>123.08923669486057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-2.8421709430404007E-13</v>
      </c>
      <c r="BZ77" s="13">
        <f>BY77*VLOOKUP('Données projet'!$B$12,Paramètres!$A$1:$I$89,3,0)*VLOOKUP('Données projet'!$B$12,Paramètres!$A$1:$I$89,5,0)</f>
        <v>-1.69961822393816E-13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199.27781323742636</v>
      </c>
      <c r="CE77" s="59">
        <f t="shared" si="94"/>
        <v>199.82499536063892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98.310912182584318</v>
      </c>
      <c r="CL77" s="21">
        <f>EXP(-LN(2)/25)*CL76+(1-EXP(-LN(2)/25))/(LN(2)/25)*Calculateur!CG77*Calculateur!CI77*VLOOKUP('Données projet'!$B$12,Paramètres!$A$1:$I$89,3,0)*0.475*44/12</f>
        <v>24.512607731635232</v>
      </c>
      <c r="CM77" s="21">
        <f>EXP(-LN(2)/2)*CM76+(1-EXP(-LN(2)/2))/(LN(2)/2)*CG77*CJ77*VLOOKUP('Données projet'!$B$12,Paramètres!$A$1:$I$89,3,0)*0.475*44/12</f>
        <v>0.24970975382795474</v>
      </c>
      <c r="CN77" s="22">
        <f t="shared" si="66"/>
        <v>123.0732296680475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7.5584615384615343</v>
      </c>
      <c r="CT77" s="12">
        <f>IF('Données projet'!$A$140&gt;35,CT76+CS77-DB76,IF(A77&lt;'Données projet'!$A$140,$CQ$205^A77,IF(A77='Données projet'!$A$140,'Données projet'!$B$140,CT76+CS77-DB76)))</f>
        <v>357.55692307692271</v>
      </c>
      <c r="CU77" s="17">
        <f>CT77*VLOOKUP('Données projet'!$B$13,Paramètres!$A$1:$I$89,3,0)*VLOOKUP('Données projet'!$B$13,Paramètres!$A$1:$I$89,5,0)</f>
        <v>213.8190399999998</v>
      </c>
      <c r="CV77" s="13">
        <f t="shared" si="95"/>
        <v>52.769264634128973</v>
      </c>
      <c r="CW77" s="20">
        <f t="shared" si="67"/>
        <v>464.30796390444101</v>
      </c>
      <c r="CX77" s="59">
        <f t="shared" si="68"/>
        <v>757.64129723777432</v>
      </c>
      <c r="CY77" s="59">
        <f ca="1">AVERAGE(OFFSET($CX$3,0,0,'Données projet'!$E$13+1,1))-AVERAGE(OFFSET($H$3,0,0,'Données projet'!$E$13+1,1))</f>
        <v>213.18424462765137</v>
      </c>
      <c r="CZ77" s="59">
        <f t="shared" si="96"/>
        <v>158.77848520346532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46.811664873253491</v>
      </c>
      <c r="DG77" s="21">
        <f>EXP(-LN(2)/25)*DG76+(1-EXP(-LN(2)/25))/(LN(2)/25)*Calculateur!DB77*Calculateur!DD77*VLOOKUP('Données projet'!$B$13,Paramètres!$A$1:$I$89,3,0)*0.475*44/12</f>
        <v>11.982537004684138</v>
      </c>
      <c r="DH77" s="21">
        <f>EXP(-LN(2)/2)*DH76+(1-EXP(-LN(2)/2))/(LN(2)/2)*DB77*DE77*VLOOKUP('Données projet'!$B$13,Paramètres!$A$1:$I$89,3,0)*0.475*44/12</f>
        <v>1.215966666848914</v>
      </c>
      <c r="DI77" s="22">
        <f t="shared" si="69"/>
        <v>60.010168544786545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9.5237179487179446</v>
      </c>
      <c r="N78" s="13">
        <f>IF('Données projet'!$A$36&gt;35,N77+M78-V77,IF(A78&lt;'Données projet'!$A$36,$K$205^A78,IF(A78='Données projet'!$A$36,'Données projet'!$B$36,N77+M78-V77)))</f>
        <v>283.5935897435902</v>
      </c>
      <c r="O78" s="13">
        <f>N78*VLOOKUP('Données projet'!$B$9,Paramètres!$A$1:$I$89,3,0)*VLOOKUP('Données projet'!$B$9,Paramètres!$A$1:$I$89,5,0)</f>
        <v>132.7218000000002</v>
      </c>
      <c r="P78" s="13">
        <f t="shared" si="87"/>
        <v>34.624526937018011</v>
      </c>
      <c r="Q78" s="20">
        <f t="shared" si="54"/>
        <v>291.46151941530667</v>
      </c>
      <c r="R78" s="59">
        <f t="shared" si="55"/>
        <v>584.79485274863998</v>
      </c>
      <c r="S78" s="59">
        <f ca="1">AVERAGE(OFFSET($R$3,0,0,'Données projet'!$E$9+1,1))-AVERAGE(OFFSET($H$3,0,0,'Données projet'!$E$9+1,1))</f>
        <v>181.79645720099597</v>
      </c>
      <c r="T78" s="59">
        <f t="shared" si="88"/>
        <v>120.20040029102233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38.665405719990495</v>
      </c>
      <c r="AA78" s="21">
        <f>EXP(-LN(2)/25)*AA77+(1-EXP(-LN(2)/25))/(LN(2)/25)*Calculateur!V78*Calculateur!X78*VLOOKUP('Données projet'!$B$9,Paramètres!$A$1:$I$89,3,0)*0.475*44/12</f>
        <v>25.39196058392119</v>
      </c>
      <c r="AB78" s="21">
        <f>EXP(-LN(2)/2)*AB77+(1-EXP(-LN(2)/2))/(LN(2)/2)*V78*Y78*VLOOKUP('Données projet'!$B$9,Paramètres!$A$1:$I$89,3,0)*0.475*44/12</f>
        <v>3.3343454181097556</v>
      </c>
      <c r="AC78" s="22">
        <f t="shared" si="57"/>
        <v>67.391711722021455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253.62342381933348</v>
      </c>
      <c r="AO78" s="59">
        <f t="shared" si="90"/>
        <v>230.93438491775407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190.63364766155857</v>
      </c>
      <c r="AV78" s="21">
        <f>EXP(-LN(2)/25)*AV77+(1-EXP(-LN(2)/25))/(LN(2)/25)*Calculateur!AQ78*Calculateur!AS78*VLOOKUP('Données projet'!$B$10,Paramètres!$A$1:$I$89,3,0)*0.475*44/12</f>
        <v>48.273440789114424</v>
      </c>
      <c r="AW78" s="21">
        <f>EXP(-LN(2)/2)*AW77+(1-EXP(-LN(2)/2))/(LN(2)/2)*AQ78*AT78*VLOOKUP('Données projet'!$B$10,Paramètres!$A$1:$I$89,3,0)*0.475*44/12</f>
        <v>7.0414329365204589</v>
      </c>
      <c r="AX78" s="21">
        <f t="shared" si="60"/>
        <v>245.94852138719347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-5.6843418860808015E-14</v>
      </c>
      <c r="BE78" s="13">
        <f>BD78*VLOOKUP('Données projet'!$B$11,Paramètres!$A$1:$I$89,3,0)*VLOOKUP('Données projet'!$B$11,Paramètres!$A$1:$I$89,5,0)</f>
        <v>-3.3992364478763198E-14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199.27781324660782</v>
      </c>
      <c r="BJ78" s="59">
        <f t="shared" si="92"/>
        <v>199.82499536488524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96.383095157660179</v>
      </c>
      <c r="BQ78" s="21">
        <f>EXP(-LN(2)/25)*BQ77+(1-EXP(-LN(2)/25))/(LN(2)/25)*Calculateur!BL78*Calculateur!BN78*VLOOKUP('Données projet'!$B$11,Paramètres!$A$1:$I$89,3,0)*0.475*44/12</f>
        <v>23.857878660900798</v>
      </c>
      <c r="BR78" s="21">
        <f>EXP(-LN(2)/2)*BR77+(1-EXP(-LN(2)/2))/(LN(2)/2)*BL78*BO78*VLOOKUP('Données projet'!$B$11,Paramètres!$A$1:$I$89,3,0)*0.475*44/12</f>
        <v>0.17657134236271513</v>
      </c>
      <c r="BS78" s="22">
        <f t="shared" si="63"/>
        <v>120.41754516092369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-2.8421709430404007E-13</v>
      </c>
      <c r="BZ78" s="13">
        <f>BY78*VLOOKUP('Données projet'!$B$12,Paramètres!$A$1:$I$89,3,0)*VLOOKUP('Données projet'!$B$12,Paramètres!$A$1:$I$89,5,0)</f>
        <v>-1.69961822393816E-13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199.27781323742636</v>
      </c>
      <c r="CE78" s="59">
        <f t="shared" si="94"/>
        <v>199.82499536063892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96.383095158419337</v>
      </c>
      <c r="CL78" s="21">
        <f>EXP(-LN(2)/25)*CL77+(1-EXP(-LN(2)/25))/(LN(2)/25)*Calculateur!CG78*Calculateur!CI78*VLOOKUP('Données projet'!$B$12,Paramètres!$A$1:$I$89,3,0)*0.475*44/12</f>
        <v>23.842309184151649</v>
      </c>
      <c r="CM78" s="21">
        <f>EXP(-LN(2)/2)*CM77+(1-EXP(-LN(2)/2))/(LN(2)/2)*CG78*CJ78*VLOOKUP('Données projet'!$B$12,Paramètres!$A$1:$I$89,3,0)*0.475*44/12</f>
        <v>0.17657146026017026</v>
      </c>
      <c r="CN78" s="22">
        <f t="shared" si="66"/>
        <v>120.40197580283115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7.5584615384615343</v>
      </c>
      <c r="CT78" s="12">
        <f>IF('Données projet'!$A$140&gt;35,CT77+CS78-DB77,IF(A78&lt;'Données projet'!$A$140,$CQ$205^A78,IF(A78='Données projet'!$A$140,'Données projet'!$B$140,CT77+CS78-DB77)))</f>
        <v>365.11538461538424</v>
      </c>
      <c r="CU78" s="17">
        <f>CT78*VLOOKUP('Données projet'!$B$13,Paramètres!$A$1:$I$89,3,0)*VLOOKUP('Données projet'!$B$13,Paramètres!$A$1:$I$89,5,0)</f>
        <v>218.3389999999998</v>
      </c>
      <c r="CV78" s="13">
        <f t="shared" si="95"/>
        <v>53.753716498326504</v>
      </c>
      <c r="CW78" s="20">
        <f t="shared" si="67"/>
        <v>473.89481456791827</v>
      </c>
      <c r="CX78" s="59">
        <f t="shared" si="68"/>
        <v>767.22814790125153</v>
      </c>
      <c r="CY78" s="59">
        <f ca="1">AVERAGE(OFFSET($CX$3,0,0,'Données projet'!$E$13+1,1))-AVERAGE(OFFSET($H$3,0,0,'Données projet'!$E$13+1,1))</f>
        <v>213.18424462765137</v>
      </c>
      <c r="CZ78" s="59">
        <f t="shared" si="96"/>
        <v>158.77848520346532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45.893716677385257</v>
      </c>
      <c r="DG78" s="21">
        <f>EXP(-LN(2)/25)*DG77+(1-EXP(-LN(2)/25))/(LN(2)/25)*Calculateur!DB78*Calculateur!DD78*VLOOKUP('Données projet'!$B$13,Paramètres!$A$1:$I$89,3,0)*0.475*44/12</f>
        <v>11.654873900156815</v>
      </c>
      <c r="DH78" s="21">
        <f>EXP(-LN(2)/2)*DH77+(1-EXP(-LN(2)/2))/(LN(2)/2)*DB78*DE78*VLOOKUP('Données projet'!$B$13,Paramètres!$A$1:$I$89,3,0)*0.475*44/12</f>
        <v>0.85981827582567061</v>
      </c>
      <c r="DI78" s="22">
        <f t="shared" si="69"/>
        <v>58.408408853367746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9.5237179487179446</v>
      </c>
      <c r="N79" s="13">
        <f>IF('Données projet'!$A$36&gt;35,N78+M79-V78,IF(A79&lt;'Données projet'!$A$36,$K$205^A79,IF(A79='Données projet'!$A$36,'Données projet'!$B$36,N78+M79-V78)))</f>
        <v>293.11730769230815</v>
      </c>
      <c r="O79" s="13">
        <f>N79*VLOOKUP('Données projet'!$B$9,Paramètres!$A$1:$I$89,3,0)*VLOOKUP('Données projet'!$B$9,Paramètres!$A$1:$I$89,5,0)</f>
        <v>137.17890000000023</v>
      </c>
      <c r="P79" s="13">
        <f t="shared" si="87"/>
        <v>35.649967423044139</v>
      </c>
      <c r="Q79" s="20">
        <f t="shared" si="54"/>
        <v>301.0102774284689</v>
      </c>
      <c r="R79" s="59">
        <f t="shared" si="55"/>
        <v>594.34361076180221</v>
      </c>
      <c r="S79" s="59">
        <f ca="1">AVERAGE(OFFSET($R$3,0,0,'Données projet'!$E$9+1,1))-AVERAGE(OFFSET($H$3,0,0,'Données projet'!$E$9+1,1))</f>
        <v>181.79645720099597</v>
      </c>
      <c r="T79" s="59">
        <f t="shared" si="88"/>
        <v>120.20040029102233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37.907200697390287</v>
      </c>
      <c r="AA79" s="21">
        <f>EXP(-LN(2)/25)*AA78+(1-EXP(-LN(2)/25))/(LN(2)/25)*Calculateur!V79*Calculateur!X79*VLOOKUP('Données projet'!$B$9,Paramètres!$A$1:$I$89,3,0)*0.475*44/12</f>
        <v>24.697616086448694</v>
      </c>
      <c r="AB79" s="21">
        <f>EXP(-LN(2)/2)*AB78+(1-EXP(-LN(2)/2))/(LN(2)/2)*V79*Y79*VLOOKUP('Données projet'!$B$9,Paramètres!$A$1:$I$89,3,0)*0.475*44/12</f>
        <v>2.3577382559637026</v>
      </c>
      <c r="AC79" s="22">
        <f t="shared" si="57"/>
        <v>64.96255503980268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253.62342381933348</v>
      </c>
      <c r="AO79" s="59">
        <f t="shared" si="90"/>
        <v>230.93438491775407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186.89543810595927</v>
      </c>
      <c r="AV79" s="21">
        <f>EXP(-LN(2)/25)*AV78+(1-EXP(-LN(2)/25))/(LN(2)/25)*Calculateur!AQ79*Calculateur!AS79*VLOOKUP('Données projet'!$B$10,Paramètres!$A$1:$I$89,3,0)*0.475*44/12</f>
        <v>46.953401012146166</v>
      </c>
      <c r="AW79" s="21">
        <f>EXP(-LN(2)/2)*AW78+(1-EXP(-LN(2)/2))/(LN(2)/2)*AQ79*AT79*VLOOKUP('Données projet'!$B$10,Paramètres!$A$1:$I$89,3,0)*0.475*44/12</f>
        <v>4.9790449786839215</v>
      </c>
      <c r="AX79" s="21">
        <f t="shared" si="60"/>
        <v>238.82788409678938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-5.6843418860808015E-14</v>
      </c>
      <c r="BE79" s="13">
        <f>BD79*VLOOKUP('Données projet'!$B$11,Paramètres!$A$1:$I$89,3,0)*VLOOKUP('Données projet'!$B$11,Paramètres!$A$1:$I$89,5,0)</f>
        <v>-3.3992364478763198E-14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199.27781324660782</v>
      </c>
      <c r="BJ79" s="59">
        <f t="shared" si="92"/>
        <v>199.82499536488524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94.493081449501688</v>
      </c>
      <c r="BQ79" s="21">
        <f>EXP(-LN(2)/25)*BQ78+(1-EXP(-LN(2)/25))/(LN(2)/25)*Calculateur!BL79*Calculateur!BN79*VLOOKUP('Données projet'!$B$11,Paramètres!$A$1:$I$89,3,0)*0.475*44/12</f>
        <v>23.205483714287155</v>
      </c>
      <c r="BR79" s="21">
        <f>EXP(-LN(2)/2)*BR78+(1-EXP(-LN(2)/2))/(LN(2)/2)*BL79*BO79*VLOOKUP('Données projet'!$B$11,Paramètres!$A$1:$I$89,3,0)*0.475*44/12</f>
        <v>0.12485479354788738</v>
      </c>
      <c r="BS79" s="22">
        <f t="shared" si="63"/>
        <v>117.82341995733672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-2.8421709430404007E-13</v>
      </c>
      <c r="BZ79" s="13">
        <f>BY79*VLOOKUP('Données projet'!$B$12,Paramètres!$A$1:$I$89,3,0)*VLOOKUP('Données projet'!$B$12,Paramètres!$A$1:$I$89,5,0)</f>
        <v>-1.69961822393816E-13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199.27781323742636</v>
      </c>
      <c r="CE79" s="59">
        <f t="shared" si="94"/>
        <v>199.82499536063892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94.493081450245953</v>
      </c>
      <c r="CL79" s="21">
        <f>EXP(-LN(2)/25)*CL78+(1-EXP(-LN(2)/25))/(LN(2)/25)*Calculateur!CG79*Calculateur!CI79*VLOOKUP('Données projet'!$B$12,Paramètres!$A$1:$I$89,3,0)*0.475*44/12</f>
        <v>23.190339985698476</v>
      </c>
      <c r="CM79" s="21">
        <f>EXP(-LN(2)/2)*CM78+(1-EXP(-LN(2)/2))/(LN(2)/2)*CG79*CJ79*VLOOKUP('Données projet'!$B$12,Paramètres!$A$1:$I$89,3,0)*0.475*44/12</f>
        <v>0.1248548769139774</v>
      </c>
      <c r="CN79" s="22">
        <f t="shared" si="66"/>
        <v>117.8082763128584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7.5584615384615343</v>
      </c>
      <c r="CT79" s="12">
        <f>IF('Données projet'!$A$140&gt;35,CT78+CS79-DB78,IF(A79&lt;'Données projet'!$A$140,$CQ$205^A79,IF(A79='Données projet'!$A$140,'Données projet'!$B$140,CT78+CS79-DB78)))</f>
        <v>372.67384615384577</v>
      </c>
      <c r="CU79" s="17">
        <f>CT79*VLOOKUP('Données projet'!$B$13,Paramètres!$A$1:$I$89,3,0)*VLOOKUP('Données projet'!$B$13,Paramètres!$A$1:$I$89,5,0)</f>
        <v>222.8589599999998</v>
      </c>
      <c r="CV79" s="13">
        <f t="shared" si="95"/>
        <v>54.735798842493118</v>
      </c>
      <c r="CW79" s="20">
        <f t="shared" si="67"/>
        <v>483.47753831734173</v>
      </c>
      <c r="CX79" s="59">
        <f t="shared" si="68"/>
        <v>776.81087165067504</v>
      </c>
      <c r="CY79" s="59">
        <f ca="1">AVERAGE(OFFSET($CX$3,0,0,'Données projet'!$E$13+1,1))-AVERAGE(OFFSET($H$3,0,0,'Données projet'!$E$13+1,1))</f>
        <v>213.18424462765137</v>
      </c>
      <c r="CZ79" s="59">
        <f t="shared" si="96"/>
        <v>158.77848520346532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44.993768885744885</v>
      </c>
      <c r="DG79" s="21">
        <f>EXP(-LN(2)/25)*DG78+(1-EXP(-LN(2)/25))/(LN(2)/25)*Calculateur!DB79*Calculateur!DD79*VLOOKUP('Données projet'!$B$13,Paramètres!$A$1:$I$89,3,0)*0.475*44/12</f>
        <v>11.336170760453847</v>
      </c>
      <c r="DH79" s="21">
        <f>EXP(-LN(2)/2)*DH78+(1-EXP(-LN(2)/2))/(LN(2)/2)*DB79*DE79*VLOOKUP('Données projet'!$B$13,Paramètres!$A$1:$I$89,3,0)*0.475*44/12</f>
        <v>0.6079833334244571</v>
      </c>
      <c r="DI79" s="22">
        <f t="shared" si="69"/>
        <v>56.937922979623188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9.5237179487179446</v>
      </c>
      <c r="N80" s="13">
        <f>IF('Données projet'!$A$36&gt;35,N79+M80-V79,IF(A80&lt;'Données projet'!$A$36,$K$205^A80,IF(A80='Données projet'!$A$36,'Données projet'!$B$36,N79+M80-V79)))</f>
        <v>302.64102564102609</v>
      </c>
      <c r="O80" s="13">
        <f>N80*VLOOKUP('Données projet'!$B$9,Paramètres!$A$1:$I$89,3,0)*VLOOKUP('Données projet'!$B$9,Paramètres!$A$1:$I$89,5,0)</f>
        <v>141.63600000000019</v>
      </c>
      <c r="P80" s="13">
        <f t="shared" si="87"/>
        <v>36.671536328944448</v>
      </c>
      <c r="Q80" s="20">
        <f t="shared" si="54"/>
        <v>310.55229243957859</v>
      </c>
      <c r="R80" s="59">
        <f t="shared" si="55"/>
        <v>603.88562577291191</v>
      </c>
      <c r="S80" s="59">
        <f ca="1">AVERAGE(OFFSET($R$3,0,0,'Données projet'!$E$9+1,1))-AVERAGE(OFFSET($H$3,0,0,'Données projet'!$E$9+1,1))</f>
        <v>181.79645720099597</v>
      </c>
      <c r="T80" s="59">
        <f t="shared" si="88"/>
        <v>120.20040029102233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37.163863612823867</v>
      </c>
      <c r="AA80" s="21">
        <f>EXP(-LN(2)/25)*AA79+(1-EXP(-LN(2)/25))/(LN(2)/25)*Calculateur!V80*Calculateur!X80*VLOOKUP('Données projet'!$B$9,Paramètres!$A$1:$I$89,3,0)*0.475*44/12</f>
        <v>24.022258475773572</v>
      </c>
      <c r="AB80" s="21">
        <f>EXP(-LN(2)/2)*AB79+(1-EXP(-LN(2)/2))/(LN(2)/2)*V80*Y80*VLOOKUP('Données projet'!$B$9,Paramètres!$A$1:$I$89,3,0)*0.475*44/12</f>
        <v>1.667172709054878</v>
      </c>
      <c r="AC80" s="22">
        <f t="shared" si="57"/>
        <v>62.853294797652325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253.62342381933348</v>
      </c>
      <c r="AO80" s="59">
        <f t="shared" si="90"/>
        <v>230.93438491775407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183.23053255966258</v>
      </c>
      <c r="AV80" s="21">
        <f>EXP(-LN(2)/25)*AV79+(1-EXP(-LN(2)/25))/(LN(2)/25)*Calculateur!AQ80*Calculateur!AS80*VLOOKUP('Données projet'!$B$10,Paramètres!$A$1:$I$89,3,0)*0.475*44/12</f>
        <v>45.669457792296981</v>
      </c>
      <c r="AW80" s="21">
        <f>EXP(-LN(2)/2)*AW79+(1-EXP(-LN(2)/2))/(LN(2)/2)*AQ80*AT80*VLOOKUP('Données projet'!$B$10,Paramètres!$A$1:$I$89,3,0)*0.475*44/12</f>
        <v>3.5207164682602299</v>
      </c>
      <c r="AX80" s="21">
        <f t="shared" si="60"/>
        <v>232.42070682021978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-5.6843418860808015E-14</v>
      </c>
      <c r="BE80" s="13">
        <f>BD80*VLOOKUP('Données projet'!$B$11,Paramètres!$A$1:$I$89,3,0)*VLOOKUP('Données projet'!$B$11,Paramètres!$A$1:$I$89,5,0)</f>
        <v>-3.3992364478763198E-14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199.27781324660782</v>
      </c>
      <c r="BJ80" s="59">
        <f t="shared" si="92"/>
        <v>199.82499536488524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92.640129757365656</v>
      </c>
      <c r="BQ80" s="21">
        <f>EXP(-LN(2)/25)*BQ79+(1-EXP(-LN(2)/25))/(LN(2)/25)*Calculateur!BL80*Calculateur!BN80*VLOOKUP('Données projet'!$B$11,Paramètres!$A$1:$I$89,3,0)*0.475*44/12</f>
        <v>22.570928541796622</v>
      </c>
      <c r="BR80" s="21">
        <f>EXP(-LN(2)/2)*BR79+(1-EXP(-LN(2)/2))/(LN(2)/2)*BL80*BO80*VLOOKUP('Données projet'!$B$11,Paramètres!$A$1:$I$89,3,0)*0.475*44/12</f>
        <v>8.8285671181357578E-2</v>
      </c>
      <c r="BS80" s="22">
        <f t="shared" si="63"/>
        <v>115.29934397034363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-2.8421709430404007E-13</v>
      </c>
      <c r="BZ80" s="13">
        <f>BY80*VLOOKUP('Données projet'!$B$12,Paramètres!$A$1:$I$89,3,0)*VLOOKUP('Données projet'!$B$12,Paramètres!$A$1:$I$89,5,0)</f>
        <v>-1.69961822393816E-13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199.27781323742636</v>
      </c>
      <c r="CE80" s="59">
        <f t="shared" si="94"/>
        <v>199.82499536063892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92.640129758095327</v>
      </c>
      <c r="CL80" s="21">
        <f>EXP(-LN(2)/25)*CL79+(1-EXP(-LN(2)/25))/(LN(2)/25)*Calculateur!CG80*Calculateur!CI80*VLOOKUP('Données projet'!$B$12,Paramètres!$A$1:$I$89,3,0)*0.475*44/12</f>
        <v>22.556198919262574</v>
      </c>
      <c r="CM80" s="21">
        <f>EXP(-LN(2)/2)*CM79+(1-EXP(-LN(2)/2))/(LN(2)/2)*CG80*CJ80*VLOOKUP('Données projet'!$B$12,Paramètres!$A$1:$I$89,3,0)*0.475*44/12</f>
        <v>8.8285730130085144E-2</v>
      </c>
      <c r="CN80" s="22">
        <f t="shared" si="66"/>
        <v>115.28461440748798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7.5584615384615343</v>
      </c>
      <c r="CT80" s="12">
        <f>IF('Données projet'!$A$140&gt;35,CT79+CS80-DB79,IF(A80&lt;'Données projet'!$A$140,$CQ$205^A80,IF(A80='Données projet'!$A$140,'Données projet'!$B$140,CT79+CS80-DB79)))</f>
        <v>380.2323076923073</v>
      </c>
      <c r="CU80" s="17">
        <f>CT80*VLOOKUP('Données projet'!$B$13,Paramètres!$A$1:$I$89,3,0)*VLOOKUP('Données projet'!$B$13,Paramètres!$A$1:$I$89,5,0)</f>
        <v>227.37891999999977</v>
      </c>
      <c r="CV80" s="13">
        <f t="shared" si="95"/>
        <v>55.715565262615449</v>
      </c>
      <c r="CW80" s="20">
        <f t="shared" si="67"/>
        <v>493.05622849905473</v>
      </c>
      <c r="CX80" s="59">
        <f t="shared" si="68"/>
        <v>786.38956183238804</v>
      </c>
      <c r="CY80" s="59">
        <f ca="1">AVERAGE(OFFSET($CX$3,0,0,'Données projet'!$E$13+1,1))-AVERAGE(OFFSET($H$3,0,0,'Données projet'!$E$13+1,1))</f>
        <v>213.18424462765137</v>
      </c>
      <c r="CZ80" s="59">
        <f t="shared" si="96"/>
        <v>158.77848520346532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44.11146852138463</v>
      </c>
      <c r="DG80" s="21">
        <f>EXP(-LN(2)/25)*DG79+(1-EXP(-LN(2)/25))/(LN(2)/25)*Calculateur!DB80*Calculateur!DD80*VLOOKUP('Données projet'!$B$13,Paramètres!$A$1:$I$89,3,0)*0.475*44/12</f>
        <v>11.026182574865926</v>
      </c>
      <c r="DH80" s="21">
        <f>EXP(-LN(2)/2)*DH79+(1-EXP(-LN(2)/2))/(LN(2)/2)*DB80*DE80*VLOOKUP('Données projet'!$B$13,Paramètres!$A$1:$I$89,3,0)*0.475*44/12</f>
        <v>0.42990913791283536</v>
      </c>
      <c r="DI80" s="22">
        <f t="shared" si="69"/>
        <v>55.567560234163395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9.5237179487179446</v>
      </c>
      <c r="N81" s="13">
        <f>IF('Données projet'!$A$36&gt;35,N80+M81-V80,IF(A81&lt;'Données projet'!$A$36,$K$205^A81,IF(A81='Données projet'!$A$36,'Données projet'!$B$36,N80+M81-V80)))</f>
        <v>312.16474358974403</v>
      </c>
      <c r="O81" s="13">
        <f>N81*VLOOKUP('Données projet'!$B$9,Paramètres!$A$1:$I$89,3,0)*VLOOKUP('Données projet'!$B$9,Paramètres!$A$1:$I$89,5,0)</f>
        <v>146.09310000000022</v>
      </c>
      <c r="P81" s="13">
        <f t="shared" si="87"/>
        <v>37.689369466401502</v>
      </c>
      <c r="Q81" s="20">
        <f t="shared" si="54"/>
        <v>320.08780098731637</v>
      </c>
      <c r="R81" s="59">
        <f t="shared" si="55"/>
        <v>613.42113432064968</v>
      </c>
      <c r="S81" s="59">
        <f ca="1">AVERAGE(OFFSET($R$3,0,0,'Données projet'!$E$9+1,1))-AVERAGE(OFFSET($H$3,0,0,'Données projet'!$E$9+1,1))</f>
        <v>181.79645720099597</v>
      </c>
      <c r="T81" s="59">
        <f t="shared" si="88"/>
        <v>120.20040029102233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36.435102915094944</v>
      </c>
      <c r="AA81" s="21">
        <f>EXP(-LN(2)/25)*AA80+(1-EXP(-LN(2)/25))/(LN(2)/25)*Calculateur!V81*Calculateur!X81*VLOOKUP('Données projet'!$B$9,Paramètres!$A$1:$I$89,3,0)*0.475*44/12</f>
        <v>23.365368554477875</v>
      </c>
      <c r="AB81" s="21">
        <f>EXP(-LN(2)/2)*AB80+(1-EXP(-LN(2)/2))/(LN(2)/2)*V81*Y81*VLOOKUP('Données projet'!$B$9,Paramètres!$A$1:$I$89,3,0)*0.475*44/12</f>
        <v>1.1788691279818513</v>
      </c>
      <c r="AC81" s="22">
        <f t="shared" si="57"/>
        <v>60.979340597554668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253.62342381933348</v>
      </c>
      <c r="AO81" s="59">
        <f t="shared" si="90"/>
        <v>230.93438491775407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179.63749357575711</v>
      </c>
      <c r="AV81" s="21">
        <f>EXP(-LN(2)/25)*AV80+(1-EXP(-LN(2)/25))/(LN(2)/25)*Calculateur!AQ81*Calculateur!AS81*VLOOKUP('Données projet'!$B$10,Paramètres!$A$1:$I$89,3,0)*0.475*44/12</f>
        <v>44.420624067314215</v>
      </c>
      <c r="AW81" s="21">
        <f>EXP(-LN(2)/2)*AW80+(1-EXP(-LN(2)/2))/(LN(2)/2)*AQ81*AT81*VLOOKUP('Données projet'!$B$10,Paramètres!$A$1:$I$89,3,0)*0.475*44/12</f>
        <v>2.4895224893419607</v>
      </c>
      <c r="AX81" s="21">
        <f t="shared" si="60"/>
        <v>226.54764013241328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-5.6843418860808015E-14</v>
      </c>
      <c r="BE81" s="13">
        <f>BD81*VLOOKUP('Données projet'!$B$11,Paramètres!$A$1:$I$89,3,0)*VLOOKUP('Données projet'!$B$11,Paramètres!$A$1:$I$89,5,0)</f>
        <v>-3.3992364478763198E-14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199.27781324660782</v>
      </c>
      <c r="BJ81" s="59">
        <f t="shared" si="92"/>
        <v>199.82499536488524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90.823513317723467</v>
      </c>
      <c r="BQ81" s="21">
        <f>EXP(-LN(2)/25)*BQ80+(1-EXP(-LN(2)/25))/(LN(2)/25)*Calculateur!BL81*Calculateur!BN81*VLOOKUP('Données projet'!$B$11,Paramètres!$A$1:$I$89,3,0)*0.475*44/12</f>
        <v>21.953725313867647</v>
      </c>
      <c r="BR81" s="21">
        <f>EXP(-LN(2)/2)*BR80+(1-EXP(-LN(2)/2))/(LN(2)/2)*BL81*BO81*VLOOKUP('Données projet'!$B$11,Paramètres!$A$1:$I$89,3,0)*0.475*44/12</f>
        <v>6.2427396773943704E-2</v>
      </c>
      <c r="BS81" s="22">
        <f t="shared" si="63"/>
        <v>112.83966602836506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-2.8421709430404007E-13</v>
      </c>
      <c r="BZ81" s="13">
        <f>BY81*VLOOKUP('Données projet'!$B$12,Paramètres!$A$1:$I$89,3,0)*VLOOKUP('Données projet'!$B$12,Paramètres!$A$1:$I$89,5,0)</f>
        <v>-1.69961822393816E-13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199.27781323742636</v>
      </c>
      <c r="CE81" s="59">
        <f t="shared" si="94"/>
        <v>199.82499536063892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90.823513318438827</v>
      </c>
      <c r="CL81" s="21">
        <f>EXP(-LN(2)/25)*CL80+(1-EXP(-LN(2)/25))/(LN(2)/25)*Calculateur!CG81*Calculateur!CI81*VLOOKUP('Données projet'!$B$12,Paramètres!$A$1:$I$89,3,0)*0.475*44/12</f>
        <v>21.939398473636391</v>
      </c>
      <c r="CM81" s="21">
        <f>EXP(-LN(2)/2)*CM80+(1-EXP(-LN(2)/2))/(LN(2)/2)*CG81*CJ81*VLOOKUP('Données projet'!$B$12,Paramètres!$A$1:$I$89,3,0)*0.475*44/12</f>
        <v>6.2427438456988706E-2</v>
      </c>
      <c r="CN81" s="22">
        <f t="shared" si="66"/>
        <v>112.82533923053221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7.5584615384615343</v>
      </c>
      <c r="CT81" s="12">
        <f>IF('Données projet'!$A$140&gt;35,CT80+CS81-DB80,IF(A81&lt;'Données projet'!$A$140,$CQ$205^A81,IF(A81='Données projet'!$A$140,'Données projet'!$B$140,CT80+CS81-DB80)))</f>
        <v>387.79076923076883</v>
      </c>
      <c r="CU81" s="17">
        <f>CT81*VLOOKUP('Données projet'!$B$13,Paramètres!$A$1:$I$89,3,0)*VLOOKUP('Données projet'!$B$13,Paramètres!$A$1:$I$89,5,0)</f>
        <v>231.89887999999976</v>
      </c>
      <c r="CV81" s="13">
        <f t="shared" si="95"/>
        <v>56.693067102008662</v>
      </c>
      <c r="CW81" s="20">
        <f t="shared" si="67"/>
        <v>502.63097453599795</v>
      </c>
      <c r="CX81" s="59">
        <f t="shared" si="68"/>
        <v>795.96430786933126</v>
      </c>
      <c r="CY81" s="59">
        <f ca="1">AVERAGE(OFFSET($CX$3,0,0,'Données projet'!$E$13+1,1))-AVERAGE(OFFSET($H$3,0,0,'Données projet'!$E$13+1,1))</f>
        <v>213.18424462765137</v>
      </c>
      <c r="CZ81" s="59">
        <f t="shared" si="96"/>
        <v>158.77848520346532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43.246469529019393</v>
      </c>
      <c r="DG81" s="21">
        <f>EXP(-LN(2)/25)*DG80+(1-EXP(-LN(2)/25))/(LN(2)/25)*Calculateur!DB81*Calculateur!DD81*VLOOKUP('Données projet'!$B$13,Paramètres!$A$1:$I$89,3,0)*0.475*44/12</f>
        <v>10.724671032514475</v>
      </c>
      <c r="DH81" s="21">
        <f>EXP(-LN(2)/2)*DH80+(1-EXP(-LN(2)/2))/(LN(2)/2)*DB81*DE81*VLOOKUP('Données projet'!$B$13,Paramètres!$A$1:$I$89,3,0)*0.475*44/12</f>
        <v>0.3039916667122286</v>
      </c>
      <c r="DI81" s="22">
        <f t="shared" si="69"/>
        <v>54.2751322282461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9.5237179487179446</v>
      </c>
      <c r="N82" s="13">
        <f>IF('Données projet'!$A$36&gt;35,N81+M82-V81,IF(A82&lt;'Données projet'!$A$36,$K$205^A82,IF(A82='Données projet'!$A$36,'Données projet'!$B$36,N81+M82-V81)))</f>
        <v>321.68846153846198</v>
      </c>
      <c r="O82" s="13">
        <f>N82*VLOOKUP('Données projet'!$B$9,Paramètres!$A$1:$I$89,3,0)*VLOOKUP('Données projet'!$B$9,Paramètres!$A$1:$I$89,5,0)</f>
        <v>150.55020000000022</v>
      </c>
      <c r="P82" s="13">
        <f t="shared" si="87"/>
        <v>38.703593889379846</v>
      </c>
      <c r="Q82" s="20">
        <f t="shared" si="54"/>
        <v>329.6170243573369</v>
      </c>
      <c r="R82" s="59">
        <f t="shared" si="55"/>
        <v>622.95035769067022</v>
      </c>
      <c r="S82" s="59">
        <f ca="1">AVERAGE(OFFSET($R$3,0,0,'Données projet'!$E$9+1,1))-AVERAGE(OFFSET($H$3,0,0,'Données projet'!$E$9+1,1))</f>
        <v>181.79645720099597</v>
      </c>
      <c r="T82" s="59">
        <f t="shared" si="88"/>
        <v>120.20040029102233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35.720632770148349</v>
      </c>
      <c r="AA82" s="21">
        <f>EXP(-LN(2)/25)*AA81+(1-EXP(-LN(2)/25))/(LN(2)/25)*Calculateur!V82*Calculateur!X82*VLOOKUP('Données projet'!$B$9,Paramètres!$A$1:$I$89,3,0)*0.475*44/12</f>
        <v>22.726441322624346</v>
      </c>
      <c r="AB82" s="21">
        <f>EXP(-LN(2)/2)*AB81+(1-EXP(-LN(2)/2))/(LN(2)/2)*V82*Y82*VLOOKUP('Données projet'!$B$9,Paramètres!$A$1:$I$89,3,0)*0.475*44/12</f>
        <v>0.83358635452743901</v>
      </c>
      <c r="AC82" s="22">
        <f t="shared" si="57"/>
        <v>59.280660447300136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253.62342381933348</v>
      </c>
      <c r="AO82" s="59">
        <f t="shared" si="90"/>
        <v>230.93438491775407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176.11491189478863</v>
      </c>
      <c r="AV82" s="21">
        <f>EXP(-LN(2)/25)*AV81+(1-EXP(-LN(2)/25))/(LN(2)/25)*Calculateur!AQ82*Calculateur!AS82*VLOOKUP('Données projet'!$B$10,Paramètres!$A$1:$I$89,3,0)*0.475*44/12</f>
        <v>43.205939766214414</v>
      </c>
      <c r="AW82" s="21">
        <f>EXP(-LN(2)/2)*AW81+(1-EXP(-LN(2)/2))/(LN(2)/2)*AQ82*AT82*VLOOKUP('Données projet'!$B$10,Paramètres!$A$1:$I$89,3,0)*0.475*44/12</f>
        <v>1.7603582341301149</v>
      </c>
      <c r="AX82" s="21">
        <f t="shared" si="60"/>
        <v>221.08120989513316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-5.6843418860808015E-14</v>
      </c>
      <c r="BE82" s="13">
        <f>BD82*VLOOKUP('Données projet'!$B$11,Paramètres!$A$1:$I$89,3,0)*VLOOKUP('Données projet'!$B$11,Paramètres!$A$1:$I$89,5,0)</f>
        <v>-3.3992364478763198E-14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199.27781324660782</v>
      </c>
      <c r="BJ82" s="59">
        <f t="shared" si="92"/>
        <v>199.82499536488524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89.042519618436046</v>
      </c>
      <c r="BQ82" s="21">
        <f>EXP(-LN(2)/25)*BQ81+(1-EXP(-LN(2)/25))/(LN(2)/25)*Calculateur!BL82*Calculateur!BN82*VLOOKUP('Données projet'!$B$11,Paramètres!$A$1:$I$89,3,0)*0.475*44/12</f>
        <v>21.353399540663698</v>
      </c>
      <c r="BR82" s="21">
        <f>EXP(-LN(2)/2)*BR81+(1-EXP(-LN(2)/2))/(LN(2)/2)*BL82*BO82*VLOOKUP('Données projet'!$B$11,Paramètres!$A$1:$I$89,3,0)*0.475*44/12</f>
        <v>4.4142835590678796E-2</v>
      </c>
      <c r="BS82" s="22">
        <f t="shared" si="63"/>
        <v>110.44006199469042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-2.8421709430404007E-13</v>
      </c>
      <c r="BZ82" s="13">
        <f>BY82*VLOOKUP('Données projet'!$B$12,Paramètres!$A$1:$I$89,3,0)*VLOOKUP('Données projet'!$B$12,Paramètres!$A$1:$I$89,5,0)</f>
        <v>-1.69961822393816E-13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199.27781323742636</v>
      </c>
      <c r="CE82" s="59">
        <f t="shared" si="94"/>
        <v>199.82499536063892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89.04251961913738</v>
      </c>
      <c r="CL82" s="21">
        <f>EXP(-LN(2)/25)*CL81+(1-EXP(-LN(2)/25))/(LN(2)/25)*Calculateur!CG82*Calculateur!CI82*VLOOKUP('Données projet'!$B$12,Paramètres!$A$1:$I$89,3,0)*0.475*44/12</f>
        <v>21.339464468631981</v>
      </c>
      <c r="CM82" s="21">
        <f>EXP(-LN(2)/2)*CM81+(1-EXP(-LN(2)/2))/(LN(2)/2)*CG82*CJ82*VLOOKUP('Données projet'!$B$12,Paramètres!$A$1:$I$89,3,0)*0.475*44/12</f>
        <v>4.4142865065042579E-2</v>
      </c>
      <c r="CN82" s="22">
        <f t="shared" si="66"/>
        <v>110.42612695283439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7.5584615384615343</v>
      </c>
      <c r="CT82" s="12">
        <f>IF('Données projet'!$A$140&gt;35,CT81+CS82-DB81,IF(A82&lt;'Données projet'!$A$140,$CQ$205^A82,IF(A82='Données projet'!$A$140,'Données projet'!$B$140,CT81+CS82-DB81)))</f>
        <v>395.34923076923036</v>
      </c>
      <c r="CU82" s="17">
        <f>CT82*VLOOKUP('Données projet'!$B$13,Paramètres!$A$1:$I$89,3,0)*VLOOKUP('Données projet'!$B$13,Paramètres!$A$1:$I$89,5,0)</f>
        <v>236.41883999999979</v>
      </c>
      <c r="CV82" s="13">
        <f t="shared" si="95"/>
        <v>57.668353588027863</v>
      </c>
      <c r="CW82" s="20">
        <f t="shared" si="67"/>
        <v>512.20186216581476</v>
      </c>
      <c r="CX82" s="59">
        <f t="shared" si="68"/>
        <v>805.53519549914813</v>
      </c>
      <c r="CY82" s="59">
        <f ca="1">AVERAGE(OFFSET($CX$3,0,0,'Données projet'!$E$13+1,1))-AVERAGE(OFFSET($H$3,0,0,'Données projet'!$E$13+1,1))</f>
        <v>213.18424462765137</v>
      </c>
      <c r="CZ82" s="59">
        <f t="shared" si="96"/>
        <v>158.77848520346532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42.398432639297148</v>
      </c>
      <c r="DG82" s="21">
        <f>EXP(-LN(2)/25)*DG81+(1-EXP(-LN(2)/25))/(LN(2)/25)*Calculateur!DB82*Calculateur!DD82*VLOOKUP('Données projet'!$B$13,Paramètres!$A$1:$I$89,3,0)*0.475*44/12</f>
        <v>10.431404339144429</v>
      </c>
      <c r="DH82" s="21">
        <f>EXP(-LN(2)/2)*DH81+(1-EXP(-LN(2)/2))/(LN(2)/2)*DB82*DE82*VLOOKUP('Données projet'!$B$13,Paramètres!$A$1:$I$89,3,0)*0.475*44/12</f>
        <v>0.21495456895641774</v>
      </c>
      <c r="DI82" s="22">
        <f t="shared" si="69"/>
        <v>53.044791547397992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9.5237179487179446</v>
      </c>
      <c r="N83" s="13">
        <f>IF('Données projet'!$A$36&gt;35,N82+M83-V82,IF(A83&lt;'Données projet'!$A$36,$K$205^A83,IF(A83='Données projet'!$A$36,'Données projet'!$B$36,N82+M83-V82)))</f>
        <v>331.21217948717992</v>
      </c>
      <c r="O83" s="13">
        <f>N83*VLOOKUP('Données projet'!$B$9,Paramètres!$A$1:$I$89,3,0)*VLOOKUP('Données projet'!$B$9,Paramètres!$A$1:$I$89,5,0)</f>
        <v>155.00730000000019</v>
      </c>
      <c r="P83" s="13">
        <f t="shared" si="87"/>
        <v>39.714328701221518</v>
      </c>
      <c r="Q83" s="20">
        <f t="shared" si="54"/>
        <v>339.14016998796109</v>
      </c>
      <c r="R83" s="59">
        <f t="shared" si="55"/>
        <v>632.4735033212944</v>
      </c>
      <c r="S83" s="59">
        <f ca="1">AVERAGE(OFFSET($R$3,0,0,'Données projet'!$E$9+1,1))-AVERAGE(OFFSET($H$3,0,0,'Données projet'!$E$9+1,1))</f>
        <v>181.79645720099597</v>
      </c>
      <c r="T83" s="59">
        <f t="shared" si="88"/>
        <v>120.20040029102233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35.020172948960401</v>
      </c>
      <c r="AA83" s="21">
        <f>EXP(-LN(2)/25)*AA82+(1-EXP(-LN(2)/25))/(LN(2)/25)*Calculateur!V83*Calculateur!X83*VLOOKUP('Données projet'!$B$9,Paramètres!$A$1:$I$89,3,0)*0.475*44/12</f>
        <v>22.104985589525576</v>
      </c>
      <c r="AB83" s="21">
        <f>EXP(-LN(2)/2)*AB82+(1-EXP(-LN(2)/2))/(LN(2)/2)*V83*Y83*VLOOKUP('Données projet'!$B$9,Paramètres!$A$1:$I$89,3,0)*0.475*44/12</f>
        <v>0.58943456399092564</v>
      </c>
      <c r="AC83" s="22">
        <f t="shared" si="57"/>
        <v>57.714593102476904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253.62342381933348</v>
      </c>
      <c r="AO83" s="59">
        <f t="shared" si="90"/>
        <v>230.93438491775407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172.66140589202129</v>
      </c>
      <c r="AV83" s="21">
        <f>EXP(-LN(2)/25)*AV82+(1-EXP(-LN(2)/25))/(LN(2)/25)*Calculateur!AQ83*Calculateur!AS83*VLOOKUP('Données projet'!$B$10,Paramètres!$A$1:$I$89,3,0)*0.475*44/12</f>
        <v>42.02447107120566</v>
      </c>
      <c r="AW83" s="21">
        <f>EXP(-LN(2)/2)*AW82+(1-EXP(-LN(2)/2))/(LN(2)/2)*AQ83*AT83*VLOOKUP('Données projet'!$B$10,Paramètres!$A$1:$I$89,3,0)*0.475*44/12</f>
        <v>1.2447612446709804</v>
      </c>
      <c r="AX83" s="21">
        <f t="shared" si="60"/>
        <v>215.93063820789791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-5.6843418860808015E-14</v>
      </c>
      <c r="BE83" s="13">
        <f>BD83*VLOOKUP('Données projet'!$B$11,Paramètres!$A$1:$I$89,3,0)*VLOOKUP('Données projet'!$B$11,Paramètres!$A$1:$I$89,5,0)</f>
        <v>-3.3992364478763198E-14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199.27781324660782</v>
      </c>
      <c r="BJ83" s="59">
        <f t="shared" si="92"/>
        <v>199.82499536488524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87.296450119292757</v>
      </c>
      <c r="BQ83" s="21">
        <f>EXP(-LN(2)/25)*BQ82+(1-EXP(-LN(2)/25))/(LN(2)/25)*Calculateur!BL83*Calculateur!BN83*VLOOKUP('Données projet'!$B$11,Paramètres!$A$1:$I$89,3,0)*0.475*44/12</f>
        <v>20.769489707297772</v>
      </c>
      <c r="BR83" s="21">
        <f>EXP(-LN(2)/2)*BR82+(1-EXP(-LN(2)/2))/(LN(2)/2)*BL83*BO83*VLOOKUP('Données projet'!$B$11,Paramètres!$A$1:$I$89,3,0)*0.475*44/12</f>
        <v>3.1213698386971855E-2</v>
      </c>
      <c r="BS83" s="22">
        <f t="shared" si="63"/>
        <v>108.0971535249775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-2.8421709430404007E-13</v>
      </c>
      <c r="BZ83" s="13">
        <f>BY83*VLOOKUP('Données projet'!$B$12,Paramètres!$A$1:$I$89,3,0)*VLOOKUP('Données projet'!$B$12,Paramètres!$A$1:$I$89,5,0)</f>
        <v>-1.69961822393816E-13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199.27781323742636</v>
      </c>
      <c r="CE83" s="59">
        <f t="shared" si="94"/>
        <v>199.82499536063892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87.296450119980335</v>
      </c>
      <c r="CL83" s="21">
        <f>EXP(-LN(2)/25)*CL82+(1-EXP(-LN(2)/25))/(LN(2)/25)*Calculateur!CG83*Calculateur!CI83*VLOOKUP('Données projet'!$B$12,Paramètres!$A$1:$I$89,3,0)*0.475*44/12</f>
        <v>20.755935690543573</v>
      </c>
      <c r="CM83" s="21">
        <f>EXP(-LN(2)/2)*CM82+(1-EXP(-LN(2)/2))/(LN(2)/2)*CG83*CJ83*VLOOKUP('Données projet'!$B$12,Paramètres!$A$1:$I$89,3,0)*0.475*44/12</f>
        <v>3.1213719228494356E-2</v>
      </c>
      <c r="CN83" s="22">
        <f t="shared" si="66"/>
        <v>108.08359952975239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402.90769230769229</v>
      </c>
      <c r="CR83" s="12">
        <f>VLOOKUP(A83,'Données projet'!$A$139:$I$159,9,0)</f>
        <v>7.5584615384615343</v>
      </c>
      <c r="CS83" s="12">
        <f t="array" ref="CS83">INDEX(CR:CR,MIN(IF(ISNUMBER(CR83:CR279),ROW(CR83:CR279),"")))</f>
        <v>7.5584615384615343</v>
      </c>
      <c r="CT83" s="12">
        <f>IF('Données projet'!$A$140&gt;35,CT82+CS83-DB82,IF(A83&lt;'Données projet'!$A$140,$CQ$205^A83,IF(A83='Données projet'!$A$140,'Données projet'!$B$140,CT82+CS83-DB82)))</f>
        <v>402.90769230769189</v>
      </c>
      <c r="CU83" s="17">
        <f>CT83*VLOOKUP('Données projet'!$B$13,Paramètres!$A$1:$I$89,3,0)*VLOOKUP('Données projet'!$B$13,Paramètres!$A$1:$I$89,5,0)</f>
        <v>240.93879999999979</v>
      </c>
      <c r="CV83" s="13">
        <f t="shared" si="95"/>
        <v>58.64147195802866</v>
      </c>
      <c r="CW83" s="20">
        <f t="shared" si="67"/>
        <v>521.76897366023286</v>
      </c>
      <c r="CX83" s="59">
        <f t="shared" si="68"/>
        <v>815.10230699356612</v>
      </c>
      <c r="CY83" s="59">
        <f ca="1">AVERAGE(OFFSET($CX$3,0,0,'Données projet'!$E$13+1,1))-AVERAGE(OFFSET($H$3,0,0,'Données projet'!$E$13+1,1))</f>
        <v>213.18424462765137</v>
      </c>
      <c r="CZ83" s="59">
        <f t="shared" si="96"/>
        <v>158.77848520346532</v>
      </c>
      <c r="DA83" s="15">
        <f>IF(ISNA(VLOOKUP(A83,'Données projet'!$A$139:$I$159,3,0)),0,VLOOKUP(A83,'Données projet'!$A$139:$I$159,3,0))</f>
        <v>8</v>
      </c>
      <c r="DB83" s="15">
        <f>IF(ISNA(VLOOKUP(A83,'Données projet'!$A$139:$I$159,4,0)),0,VLOOKUP(A83,'Données projet'!$A$139:$I$159,4,0))</f>
        <v>402.90769230769229</v>
      </c>
      <c r="DC83" s="16">
        <f>IF(ISNA(VLOOKUP(A83,'Données projet'!$A$139:$I$159,5,0)),0%,VLOOKUP(A83,'Données projet'!$A$139:$I$159,5,0)*VLOOKUP('Données projet'!$B$13,Paramètres!$A$1:$I$89,7,0))</f>
        <v>0.315</v>
      </c>
      <c r="DD83" s="16">
        <f>IF(ISNA(VLOOKUP(A83,'Données projet'!$A$139:$I$159,6,0)),0%,VLOOKUP(A83,'Données projet'!$A$139:$I$159,6,0)*VLOOKUP('Données projet'!$B$13,Paramètres!$A$1:$I$89,7,0))</f>
        <v>7.5600000000000001E-2</v>
      </c>
      <c r="DE83" s="16">
        <f>IF(ISNA(VLOOKUP(A83,'Données projet'!$A$139:$I$159,7,0)),0%,VLOOKUP(A83,'Données projet'!$A$139:$I$159,7,0))</f>
        <v>0.13200000000000001</v>
      </c>
      <c r="DF83" s="21">
        <f>EXP(-LN(2)/35)*DF82+(1-EXP(-LN(2)/35))/(LN(2)/35)*DB83*DC83*VLOOKUP('Données projet'!$B$13,Paramètres!$A$1:$I$89,3,0)*0.475*44/12</f>
        <v>142.24759236085166</v>
      </c>
      <c r="DG83" s="21">
        <f>EXP(-LN(2)/25)*DG82+(1-EXP(-LN(2)/25))/(LN(2)/25)*Calculateur!DB83*Calculateur!DD83*VLOOKUP('Données projet'!$B$13,Paramètres!$A$1:$I$89,3,0)*0.475*44/12</f>
        <v>34.214352887737732</v>
      </c>
      <c r="DH83" s="21">
        <f>EXP(-LN(2)/2)*DH82+(1-EXP(-LN(2)/2))/(LN(2)/2)*DB83*DE83*VLOOKUP('Données projet'!$B$13,Paramètres!$A$1:$I$89,3,0)*0.475*44/12</f>
        <v>36.161423056875712</v>
      </c>
      <c r="DI83" s="22">
        <f t="shared" si="69"/>
        <v>212.62336830546511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9.5237179487179446</v>
      </c>
      <c r="N84" s="13">
        <f>IF('Données projet'!$A$36&gt;35,N83+M84-V83,IF(A84&lt;'Données projet'!$A$36,$K$205^A84,IF(A84='Données projet'!$A$36,'Données projet'!$B$36,N83+M84-V83)))</f>
        <v>340.73589743589787</v>
      </c>
      <c r="O84" s="13">
        <f>N84*VLOOKUP('Données projet'!$B$9,Paramètres!$A$1:$I$89,3,0)*VLOOKUP('Données projet'!$B$9,Paramètres!$A$1:$I$89,5,0)</f>
        <v>159.46440000000021</v>
      </c>
      <c r="P84" s="13">
        <f t="shared" si="87"/>
        <v>40.721685766303303</v>
      </c>
      <c r="Q84" s="20">
        <f t="shared" si="54"/>
        <v>348.65743270964526</v>
      </c>
      <c r="R84" s="59">
        <f t="shared" si="55"/>
        <v>641.99076604297852</v>
      </c>
      <c r="S84" s="59">
        <f ca="1">AVERAGE(OFFSET($R$3,0,0,'Données projet'!$E$9+1,1))-AVERAGE(OFFSET($H$3,0,0,'Données projet'!$E$9+1,1))</f>
        <v>181.79645720099597</v>
      </c>
      <c r="T84" s="59">
        <f t="shared" si="88"/>
        <v>120.20040029102233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34.33344871762764</v>
      </c>
      <c r="AA84" s="21">
        <f>EXP(-LN(2)/25)*AA83+(1-EXP(-LN(2)/25))/(LN(2)/25)*Calculateur!V84*Calculateur!X84*VLOOKUP('Données projet'!$B$9,Paramètres!$A$1:$I$89,3,0)*0.475*44/12</f>
        <v>21.50052359612933</v>
      </c>
      <c r="AB84" s="21">
        <f>EXP(-LN(2)/2)*AB83+(1-EXP(-LN(2)/2))/(LN(2)/2)*V84*Y84*VLOOKUP('Données projet'!$B$9,Paramètres!$A$1:$I$89,3,0)*0.475*44/12</f>
        <v>0.41679317726371951</v>
      </c>
      <c r="AC84" s="22">
        <f t="shared" si="57"/>
        <v>56.250765491020694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253.62342381933348</v>
      </c>
      <c r="AO84" s="59">
        <f t="shared" si="90"/>
        <v>230.93438491775407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169.27562103553754</v>
      </c>
      <c r="AV84" s="21">
        <f>EXP(-LN(2)/25)*AV83+(1-EXP(-LN(2)/25))/(LN(2)/25)*Calculateur!AQ84*Calculateur!AS84*VLOOKUP('Données projet'!$B$10,Paramètres!$A$1:$I$89,3,0)*0.475*44/12</f>
        <v>40.875309699792659</v>
      </c>
      <c r="AW84" s="21">
        <f>EXP(-LN(2)/2)*AW83+(1-EXP(-LN(2)/2))/(LN(2)/2)*AQ84*AT84*VLOOKUP('Données projet'!$B$10,Paramètres!$A$1:$I$89,3,0)*0.475*44/12</f>
        <v>0.88017911706505747</v>
      </c>
      <c r="AX84" s="21">
        <f t="shared" si="60"/>
        <v>211.03110985239528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-5.6843418860808015E-14</v>
      </c>
      <c r="BE84" s="13">
        <f>BD84*VLOOKUP('Données projet'!$B$11,Paramètres!$A$1:$I$89,3,0)*VLOOKUP('Données projet'!$B$11,Paramètres!$A$1:$I$89,5,0)</f>
        <v>-3.3992364478763198E-14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199.27781324660782</v>
      </c>
      <c r="BJ84" s="59">
        <f t="shared" si="92"/>
        <v>199.82499536488524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85.584619978030432</v>
      </c>
      <c r="BQ84" s="21">
        <f>EXP(-LN(2)/25)*BQ83+(1-EXP(-LN(2)/25))/(LN(2)/25)*Calculateur!BL84*Calculateur!BN84*VLOOKUP('Données projet'!$B$11,Paramètres!$A$1:$I$89,3,0)*0.475*44/12</f>
        <v>20.201546919031721</v>
      </c>
      <c r="BR84" s="21">
        <f>EXP(-LN(2)/2)*BR83+(1-EXP(-LN(2)/2))/(LN(2)/2)*BL84*BO84*VLOOKUP('Données projet'!$B$11,Paramètres!$A$1:$I$89,3,0)*0.475*44/12</f>
        <v>2.2071417795339401E-2</v>
      </c>
      <c r="BS84" s="22">
        <f t="shared" si="63"/>
        <v>105.80823831485749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-2.8421709430404007E-13</v>
      </c>
      <c r="BZ84" s="13">
        <f>BY84*VLOOKUP('Données projet'!$B$12,Paramètres!$A$1:$I$89,3,0)*VLOOKUP('Données projet'!$B$12,Paramètres!$A$1:$I$89,5,0)</f>
        <v>-1.69961822393816E-13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199.27781323742636</v>
      </c>
      <c r="CE84" s="59">
        <f t="shared" si="94"/>
        <v>199.82499536063892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85.584619978704524</v>
      </c>
      <c r="CL84" s="21">
        <f>EXP(-LN(2)/25)*CL83+(1-EXP(-LN(2)/25))/(LN(2)/25)*Calculateur!CG84*Calculateur!CI84*VLOOKUP('Données projet'!$B$12,Paramètres!$A$1:$I$89,3,0)*0.475*44/12</f>
        <v>20.188363537578439</v>
      </c>
      <c r="CM84" s="21">
        <f>EXP(-LN(2)/2)*CM83+(1-EXP(-LN(2)/2))/(LN(2)/2)*CG84*CJ84*VLOOKUP('Données projet'!$B$12,Paramètres!$A$1:$I$89,3,0)*0.475*44/12</f>
        <v>2.2071432532521293E-2</v>
      </c>
      <c r="CN84" s="22">
        <f t="shared" si="66"/>
        <v>105.79505494881549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-3.979039320256561E-13</v>
      </c>
      <c r="CU84" s="17">
        <f>CT84*VLOOKUP('Données projet'!$B$13,Paramètres!$A$1:$I$89,3,0)*VLOOKUP('Données projet'!$B$13,Paramètres!$A$1:$I$89,5,0)</f>
        <v>-2.379465513513424E-13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213.18424462765137</v>
      </c>
      <c r="CZ84" s="59">
        <f t="shared" si="96"/>
        <v>158.77848520346532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139.45820383711961</v>
      </c>
      <c r="DG84" s="21">
        <f>EXP(-LN(2)/25)*DG83+(1-EXP(-LN(2)/25))/(LN(2)/25)*Calculateur!DB84*Calculateur!DD84*VLOOKUP('Données projet'!$B$13,Paramètres!$A$1:$I$89,3,0)*0.475*44/12</f>
        <v>33.27875960876792</v>
      </c>
      <c r="DH84" s="21">
        <f>EXP(-LN(2)/2)*DH83+(1-EXP(-LN(2)/2))/(LN(2)/2)*DB84*DE84*VLOOKUP('Données projet'!$B$13,Paramètres!$A$1:$I$89,3,0)*0.475*44/12</f>
        <v>25.56998746087239</v>
      </c>
      <c r="DI84" s="22">
        <f t="shared" si="69"/>
        <v>198.30695090675994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9.5237179487179446</v>
      </c>
      <c r="N85" s="13">
        <f>IF('Données projet'!$A$36&gt;35,N84+M85-V84,IF(A85&lt;'Données projet'!$A$36,$K$205^A85,IF(A85='Données projet'!$A$36,'Données projet'!$B$36,N84+M85-V84)))</f>
        <v>350.25961538461581</v>
      </c>
      <c r="O85" s="13">
        <f>N85*VLOOKUP('Données projet'!$B$9,Paramètres!$A$1:$I$89,3,0)*VLOOKUP('Données projet'!$B$9,Paramètres!$A$1:$I$89,5,0)</f>
        <v>163.92150000000018</v>
      </c>
      <c r="P85" s="13">
        <f t="shared" si="87"/>
        <v>41.725770339892605</v>
      </c>
      <c r="Q85" s="20">
        <f t="shared" si="54"/>
        <v>358.16899584197989</v>
      </c>
      <c r="R85" s="59">
        <f t="shared" si="55"/>
        <v>651.50232917531321</v>
      </c>
      <c r="S85" s="59">
        <f ca="1">AVERAGE(OFFSET($R$3,0,0,'Données projet'!$E$9+1,1))-AVERAGE(OFFSET($H$3,0,0,'Données projet'!$E$9+1,1))</f>
        <v>181.79645720099597</v>
      </c>
      <c r="T85" s="59">
        <f t="shared" si="88"/>
        <v>120.20040029102233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33.660190729610896</v>
      </c>
      <c r="AA85" s="21">
        <f>EXP(-LN(2)/25)*AA84+(1-EXP(-LN(2)/25))/(LN(2)/25)*Calculateur!V85*Calculateur!X85*VLOOKUP('Données projet'!$B$9,Paramètres!$A$1:$I$89,3,0)*0.475*44/12</f>
        <v>20.912590647729779</v>
      </c>
      <c r="AB85" s="21">
        <f>EXP(-LN(2)/2)*AB84+(1-EXP(-LN(2)/2))/(LN(2)/2)*V85*Y85*VLOOKUP('Données projet'!$B$9,Paramètres!$A$1:$I$89,3,0)*0.475*44/12</f>
        <v>0.29471728199546282</v>
      </c>
      <c r="AC85" s="22">
        <f t="shared" si="57"/>
        <v>54.867498659336135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253.62342381933348</v>
      </c>
      <c r="AO85" s="59">
        <f t="shared" si="90"/>
        <v>230.93438491775407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165.95622935496459</v>
      </c>
      <c r="AV85" s="21">
        <f>EXP(-LN(2)/25)*AV84+(1-EXP(-LN(2)/25))/(LN(2)/25)*Calculateur!AQ85*Calculateur!AS85*VLOOKUP('Données projet'!$B$10,Paramètres!$A$1:$I$89,3,0)*0.475*44/12</f>
        <v>39.757572206512712</v>
      </c>
      <c r="AW85" s="21">
        <f>EXP(-LN(2)/2)*AW84+(1-EXP(-LN(2)/2))/(LN(2)/2)*AQ85*AT85*VLOOKUP('Données projet'!$B$10,Paramètres!$A$1:$I$89,3,0)*0.475*44/12</f>
        <v>0.62238062233549019</v>
      </c>
      <c r="AX85" s="21">
        <f t="shared" si="60"/>
        <v>206.33618218381281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-5.6843418860808015E-14</v>
      </c>
      <c r="BE85" s="13">
        <f>BD85*VLOOKUP('Données projet'!$B$11,Paramètres!$A$1:$I$89,3,0)*VLOOKUP('Données projet'!$B$11,Paramètres!$A$1:$I$89,5,0)</f>
        <v>-3.3992364478763198E-14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199.27781324660782</v>
      </c>
      <c r="BJ85" s="59">
        <f t="shared" si="92"/>
        <v>199.82499536488524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83.906357781724978</v>
      </c>
      <c r="BQ85" s="21">
        <f>EXP(-LN(2)/25)*BQ84+(1-EXP(-LN(2)/25))/(LN(2)/25)*Calculateur!BL85*Calculateur!BN85*VLOOKUP('Données projet'!$B$11,Paramètres!$A$1:$I$89,3,0)*0.475*44/12</f>
        <v>19.649134556177618</v>
      </c>
      <c r="BR85" s="21">
        <f>EXP(-LN(2)/2)*BR84+(1-EXP(-LN(2)/2))/(LN(2)/2)*BL85*BO85*VLOOKUP('Données projet'!$B$11,Paramètres!$A$1:$I$89,3,0)*0.475*44/12</f>
        <v>1.5606849193485931E-2</v>
      </c>
      <c r="BS85" s="22">
        <f t="shared" si="63"/>
        <v>103.57109918709608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-2.8421709430404007E-13</v>
      </c>
      <c r="BZ85" s="13">
        <f>BY85*VLOOKUP('Données projet'!$B$12,Paramètres!$A$1:$I$89,3,0)*VLOOKUP('Données projet'!$B$12,Paramètres!$A$1:$I$89,5,0)</f>
        <v>-1.69961822393816E-13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199.27781323742636</v>
      </c>
      <c r="CE85" s="59">
        <f t="shared" si="94"/>
        <v>199.82499536063892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83.906357782385854</v>
      </c>
      <c r="CL85" s="21">
        <f>EXP(-LN(2)/25)*CL84+(1-EXP(-LN(2)/25))/(LN(2)/25)*Calculateur!CG85*Calculateur!CI85*VLOOKUP('Données projet'!$B$12,Paramètres!$A$1:$I$89,3,0)*0.475*44/12</f>
        <v>19.63631167498346</v>
      </c>
      <c r="CM85" s="21">
        <f>EXP(-LN(2)/2)*CM84+(1-EXP(-LN(2)/2))/(LN(2)/2)*CG85*CJ85*VLOOKUP('Données projet'!$B$12,Paramètres!$A$1:$I$89,3,0)*0.475*44/12</f>
        <v>1.5606859614247182E-2</v>
      </c>
      <c r="CN85" s="22">
        <f t="shared" si="66"/>
        <v>103.55827631698357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-3.979039320256561E-13</v>
      </c>
      <c r="CU85" s="17">
        <f>CT85*VLOOKUP('Données projet'!$B$13,Paramètres!$A$1:$I$89,3,0)*VLOOKUP('Données projet'!$B$13,Paramètres!$A$1:$I$89,5,0)</f>
        <v>-2.379465513513424E-13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213.18424462765137</v>
      </c>
      <c r="CZ85" s="59">
        <f t="shared" si="96"/>
        <v>158.77848520346532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136.72351352097894</v>
      </c>
      <c r="DG85" s="21">
        <f>EXP(-LN(2)/25)*DG84+(1-EXP(-LN(2)/25))/(LN(2)/25)*Calculateur!DB85*Calculateur!DD85*VLOOKUP('Données projet'!$B$13,Paramètres!$A$1:$I$89,3,0)*0.475*44/12</f>
        <v>32.368750177212256</v>
      </c>
      <c r="DH85" s="21">
        <f>EXP(-LN(2)/2)*DH84+(1-EXP(-LN(2)/2))/(LN(2)/2)*DB85*DE85*VLOOKUP('Données projet'!$B$13,Paramètres!$A$1:$I$89,3,0)*0.475*44/12</f>
        <v>18.08071152843786</v>
      </c>
      <c r="DI85" s="22">
        <f t="shared" si="69"/>
        <v>187.17297522662906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9.5237179487179446</v>
      </c>
      <c r="N86" s="13">
        <f>IF('Données projet'!$A$36&gt;35,N85+M86-V85,IF(A86&lt;'Données projet'!$A$36,$K$205^A86,IF(A86='Données projet'!$A$36,'Données projet'!$B$36,N85+M86-V85)))</f>
        <v>359.78333333333376</v>
      </c>
      <c r="O86" s="13">
        <f>N86*VLOOKUP('Données projet'!$B$9,Paramètres!$A$1:$I$89,3,0)*VLOOKUP('Données projet'!$B$9,Paramètres!$A$1:$I$89,5,0)</f>
        <v>168.3786000000002</v>
      </c>
      <c r="P86" s="13">
        <f t="shared" si="87"/>
        <v>42.726681627572944</v>
      </c>
      <c r="Q86" s="20">
        <f t="shared" si="54"/>
        <v>367.67503216802317</v>
      </c>
      <c r="R86" s="59">
        <f t="shared" si="55"/>
        <v>661.00836550135648</v>
      </c>
      <c r="S86" s="59">
        <f ca="1">AVERAGE(OFFSET($R$3,0,0,'Données projet'!$E$9+1,1))-AVERAGE(OFFSET($H$3,0,0,'Données projet'!$E$9+1,1))</f>
        <v>181.79645720099597</v>
      </c>
      <c r="T86" s="59">
        <f t="shared" si="88"/>
        <v>120.20040029102233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33.000134920092336</v>
      </c>
      <c r="AA86" s="21">
        <f>EXP(-LN(2)/25)*AA85+(1-EXP(-LN(2)/25))/(LN(2)/25)*Calculateur!V86*Calculateur!X86*VLOOKUP('Données projet'!$B$9,Paramètres!$A$1:$I$89,3,0)*0.475*44/12</f>
        <v>20.340734756722263</v>
      </c>
      <c r="AB86" s="21">
        <f>EXP(-LN(2)/2)*AB85+(1-EXP(-LN(2)/2))/(LN(2)/2)*V86*Y86*VLOOKUP('Données projet'!$B$9,Paramètres!$A$1:$I$89,3,0)*0.475*44/12</f>
        <v>0.20839658863185975</v>
      </c>
      <c r="AC86" s="22">
        <f t="shared" si="57"/>
        <v>53.549266265446455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253.62342381933348</v>
      </c>
      <c r="AO86" s="59">
        <f t="shared" si="90"/>
        <v>230.93438491775407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162.70192892061868</v>
      </c>
      <c r="AV86" s="21">
        <f>EXP(-LN(2)/25)*AV85+(1-EXP(-LN(2)/25))/(LN(2)/25)*Calculateur!AQ86*Calculateur!AS86*VLOOKUP('Données projet'!$B$10,Paramètres!$A$1:$I$89,3,0)*0.475*44/12</f>
        <v>38.67039930376577</v>
      </c>
      <c r="AW86" s="21">
        <f>EXP(-LN(2)/2)*AW85+(1-EXP(-LN(2)/2))/(LN(2)/2)*AQ86*AT86*VLOOKUP('Données projet'!$B$10,Paramètres!$A$1:$I$89,3,0)*0.475*44/12</f>
        <v>0.44008955853252874</v>
      </c>
      <c r="AX86" s="21">
        <f t="shared" si="60"/>
        <v>201.81241778291698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-5.6843418860808015E-14</v>
      </c>
      <c r="BE86" s="13">
        <f>BD86*VLOOKUP('Données projet'!$B$11,Paramètres!$A$1:$I$89,3,0)*VLOOKUP('Données projet'!$B$11,Paramètres!$A$1:$I$89,5,0)</f>
        <v>-3.3992364478763198E-14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199.27781324660782</v>
      </c>
      <c r="BJ86" s="59">
        <f t="shared" si="92"/>
        <v>199.82499536488524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82.261005283450203</v>
      </c>
      <c r="BQ86" s="21">
        <f>EXP(-LN(2)/25)*BQ85+(1-EXP(-LN(2)/25))/(LN(2)/25)*Calculateur!BL86*Calculateur!BN86*VLOOKUP('Données projet'!$B$11,Paramètres!$A$1:$I$89,3,0)*0.475*44/12</f>
        <v>19.111827938435862</v>
      </c>
      <c r="BR86" s="21">
        <f>EXP(-LN(2)/2)*BR85+(1-EXP(-LN(2)/2))/(LN(2)/2)*BL86*BO86*VLOOKUP('Données projet'!$B$11,Paramètres!$A$1:$I$89,3,0)*0.475*44/12</f>
        <v>1.1035708897669702E-2</v>
      </c>
      <c r="BS86" s="22">
        <f t="shared" si="63"/>
        <v>101.38386893078373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-2.8421709430404007E-13</v>
      </c>
      <c r="BZ86" s="13">
        <f>BY86*VLOOKUP('Données projet'!$B$12,Paramètres!$A$1:$I$89,3,0)*VLOOKUP('Données projet'!$B$12,Paramètres!$A$1:$I$89,5,0)</f>
        <v>-1.69961822393816E-13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199.27781323742636</v>
      </c>
      <c r="CE86" s="59">
        <f t="shared" si="94"/>
        <v>199.82499536063892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82.261005284098118</v>
      </c>
      <c r="CL86" s="21">
        <f>EXP(-LN(2)/25)*CL85+(1-EXP(-LN(2)/25))/(LN(2)/25)*Calculateur!CG86*Calculateur!CI86*VLOOKUP('Données projet'!$B$12,Paramètres!$A$1:$I$89,3,0)*0.475*44/12</f>
        <v>19.099355699602285</v>
      </c>
      <c r="CM86" s="21">
        <f>EXP(-LN(2)/2)*CM85+(1-EXP(-LN(2)/2))/(LN(2)/2)*CG86*CJ86*VLOOKUP('Données projet'!$B$12,Paramètres!$A$1:$I$89,3,0)*0.475*44/12</f>
        <v>1.1035716266260648E-2</v>
      </c>
      <c r="CN86" s="22">
        <f t="shared" si="66"/>
        <v>101.37139669996667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-3.979039320256561E-13</v>
      </c>
      <c r="CU86" s="17">
        <f>CT86*VLOOKUP('Données projet'!$B$13,Paramètres!$A$1:$I$89,3,0)*VLOOKUP('Données projet'!$B$13,Paramètres!$A$1:$I$89,5,0)</f>
        <v>-2.379465513513424E-13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213.18424462765137</v>
      </c>
      <c r="CZ86" s="59">
        <f t="shared" si="96"/>
        <v>158.77848520346532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134.04244881394141</v>
      </c>
      <c r="DG86" s="21">
        <f>EXP(-LN(2)/25)*DG85+(1-EXP(-LN(2)/25))/(LN(2)/25)*Calculateur!DB86*Calculateur!DD86*VLOOKUP('Données projet'!$B$13,Paramètres!$A$1:$I$89,3,0)*0.475*44/12</f>
        <v>31.483625001417796</v>
      </c>
      <c r="DH86" s="21">
        <f>EXP(-LN(2)/2)*DH85+(1-EXP(-LN(2)/2))/(LN(2)/2)*DB86*DE86*VLOOKUP('Données projet'!$B$13,Paramètres!$A$1:$I$89,3,0)*0.475*44/12</f>
        <v>12.784993730436197</v>
      </c>
      <c r="DI86" s="22">
        <f t="shared" si="69"/>
        <v>178.3110675457954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9.5237179487179446</v>
      </c>
      <c r="N87" s="13">
        <f>IF('Données projet'!$A$36&gt;35,N86+M87-V86,IF(A87&lt;'Données projet'!$A$36,$K$205^A87,IF(A87='Données projet'!$A$36,'Données projet'!$B$36,N86+M87-V86)))</f>
        <v>369.3070512820517</v>
      </c>
      <c r="O87" s="13">
        <f>N87*VLOOKUP('Données projet'!$B$9,Paramètres!$A$1:$I$89,3,0)*VLOOKUP('Données projet'!$B$9,Paramètres!$A$1:$I$89,5,0)</f>
        <v>172.83570000000017</v>
      </c>
      <c r="P87" s="13">
        <f t="shared" si="87"/>
        <v>43.724513283769518</v>
      </c>
      <c r="Q87" s="20">
        <f t="shared" si="54"/>
        <v>377.17570480256546</v>
      </c>
      <c r="R87" s="59">
        <f t="shared" si="55"/>
        <v>670.50903813589878</v>
      </c>
      <c r="S87" s="59">
        <f ca="1">AVERAGE(OFFSET($R$3,0,0,'Données projet'!$E$9+1,1))-AVERAGE(OFFSET($H$3,0,0,'Données projet'!$E$9+1,1))</f>
        <v>181.79645720099597</v>
      </c>
      <c r="T87" s="59">
        <f t="shared" si="88"/>
        <v>120.20040029102233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32.353022402404143</v>
      </c>
      <c r="AA87" s="21">
        <f>EXP(-LN(2)/25)*AA86+(1-EXP(-LN(2)/25))/(LN(2)/25)*Calculateur!V87*Calculateur!X87*VLOOKUP('Données projet'!$B$9,Paramètres!$A$1:$I$89,3,0)*0.475*44/12</f>
        <v>19.784516295126942</v>
      </c>
      <c r="AB87" s="21">
        <f>EXP(-LN(2)/2)*AB86+(1-EXP(-LN(2)/2))/(LN(2)/2)*V87*Y87*VLOOKUP('Données projet'!$B$9,Paramètres!$A$1:$I$89,3,0)*0.475*44/12</f>
        <v>0.14735864099773141</v>
      </c>
      <c r="AC87" s="22">
        <f t="shared" si="57"/>
        <v>52.284897338528815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253.62342381933348</v>
      </c>
      <c r="AO87" s="59">
        <f t="shared" si="90"/>
        <v>230.93438491775407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159.51144333286302</v>
      </c>
      <c r="AV87" s="21">
        <f>EXP(-LN(2)/25)*AV86+(1-EXP(-LN(2)/25))/(LN(2)/25)*Calculateur!AQ87*Calculateur!AS87*VLOOKUP('Données projet'!$B$10,Paramètres!$A$1:$I$89,3,0)*0.475*44/12</f>
        <v>37.61295520121638</v>
      </c>
      <c r="AW87" s="21">
        <f>EXP(-LN(2)/2)*AW86+(1-EXP(-LN(2)/2))/(LN(2)/2)*AQ87*AT87*VLOOKUP('Données projet'!$B$10,Paramètres!$A$1:$I$89,3,0)*0.475*44/12</f>
        <v>0.31119031116774509</v>
      </c>
      <c r="AX87" s="21">
        <f t="shared" si="60"/>
        <v>197.43558884524714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-5.6843418860808015E-14</v>
      </c>
      <c r="BE87" s="13">
        <f>BD87*VLOOKUP('Données projet'!$B$11,Paramètres!$A$1:$I$89,3,0)*VLOOKUP('Données projet'!$B$11,Paramètres!$A$1:$I$89,5,0)</f>
        <v>-3.3992364478763198E-14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199.27781324660782</v>
      </c>
      <c r="BJ87" s="59">
        <f t="shared" si="92"/>
        <v>199.82499536488524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80.647917144100674</v>
      </c>
      <c r="BQ87" s="21">
        <f>EXP(-LN(2)/25)*BQ86+(1-EXP(-LN(2)/25))/(LN(2)/25)*Calculateur!BL87*Calculateur!BN87*VLOOKUP('Données projet'!$B$11,Paramètres!$A$1:$I$89,3,0)*0.475*44/12</f>
        <v>18.589213998411982</v>
      </c>
      <c r="BR87" s="21">
        <f>EXP(-LN(2)/2)*BR86+(1-EXP(-LN(2)/2))/(LN(2)/2)*BL87*BO87*VLOOKUP('Données projet'!$B$11,Paramètres!$A$1:$I$89,3,0)*0.475*44/12</f>
        <v>7.8034245967429665E-3</v>
      </c>
      <c r="BS87" s="22">
        <f t="shared" si="63"/>
        <v>99.244934567109397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-2.8421709430404007E-13</v>
      </c>
      <c r="BZ87" s="13">
        <f>BY87*VLOOKUP('Données projet'!$B$12,Paramètres!$A$1:$I$89,3,0)*VLOOKUP('Données projet'!$B$12,Paramètres!$A$1:$I$89,5,0)</f>
        <v>-1.69961822393816E-13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199.27781323742636</v>
      </c>
      <c r="CE87" s="59">
        <f t="shared" si="94"/>
        <v>199.82499536063892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80.647917144735885</v>
      </c>
      <c r="CL87" s="21">
        <f>EXP(-LN(2)/25)*CL86+(1-EXP(-LN(2)/25))/(LN(2)/25)*Calculateur!CG87*Calculateur!CI87*VLOOKUP('Données projet'!$B$12,Paramètres!$A$1:$I$89,3,0)*0.475*44/12</f>
        <v>18.577082813605195</v>
      </c>
      <c r="CM87" s="21">
        <f>EXP(-LN(2)/2)*CM86+(1-EXP(-LN(2)/2))/(LN(2)/2)*CG87*CJ87*VLOOKUP('Données projet'!$B$12,Paramètres!$A$1:$I$89,3,0)*0.475*44/12</f>
        <v>7.8034298071235917E-3</v>
      </c>
      <c r="CN87" s="22">
        <f t="shared" si="66"/>
        <v>99.232803388148199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-3.979039320256561E-13</v>
      </c>
      <c r="CU87" s="17">
        <f>CT87*VLOOKUP('Données projet'!$B$13,Paramètres!$A$1:$I$89,3,0)*VLOOKUP('Données projet'!$B$13,Paramètres!$A$1:$I$89,5,0)</f>
        <v>-2.379465513513424E-13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213.18424462765137</v>
      </c>
      <c r="CZ87" s="59">
        <f t="shared" si="96"/>
        <v>158.77848520346532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131.41395815052087</v>
      </c>
      <c r="DG87" s="21">
        <f>EXP(-LN(2)/25)*DG86+(1-EXP(-LN(2)/25))/(LN(2)/25)*Calculateur!DB87*Calculateur!DD87*VLOOKUP('Données projet'!$B$13,Paramètres!$A$1:$I$89,3,0)*0.475*44/12</f>
        <v>30.622703620102143</v>
      </c>
      <c r="DH87" s="21">
        <f>EXP(-LN(2)/2)*DH86+(1-EXP(-LN(2)/2))/(LN(2)/2)*DB87*DE87*VLOOKUP('Données projet'!$B$13,Paramètres!$A$1:$I$89,3,0)*0.475*44/12</f>
        <v>9.0403557642189298</v>
      </c>
      <c r="DI87" s="22">
        <f t="shared" si="69"/>
        <v>171.07701753484196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378.83076923076919</v>
      </c>
      <c r="L88" s="12">
        <f>VLOOKUP(A88,'Données projet'!$A$35:$I$55,9,0)</f>
        <v>9.5237179487179446</v>
      </c>
      <c r="M88" s="12">
        <f t="array" ref="M88">INDEX(L:L,MIN(IF(ISNUMBER(L88:L284),ROW(L88:L284),"")))</f>
        <v>9.5237179487179446</v>
      </c>
      <c r="N88" s="13">
        <f>IF('Données projet'!$A$36&gt;35,N87+M88-V87,IF(A88&lt;'Données projet'!$A$36,$K$205^A88,IF(A88='Données projet'!$A$36,'Données projet'!$B$36,N87+M88-V87)))</f>
        <v>378.83076923076965</v>
      </c>
      <c r="O88" s="13">
        <f>N88*VLOOKUP('Données projet'!$B$9,Paramètres!$A$1:$I$89,3,0)*VLOOKUP('Données projet'!$B$9,Paramètres!$A$1:$I$89,5,0)</f>
        <v>177.2928000000002</v>
      </c>
      <c r="P88" s="13">
        <f t="shared" si="87"/>
        <v>44.719353857403945</v>
      </c>
      <c r="Q88" s="20">
        <f t="shared" si="54"/>
        <v>386.67116796831215</v>
      </c>
      <c r="R88" s="59">
        <f t="shared" si="55"/>
        <v>680.0045013016454</v>
      </c>
      <c r="S88" s="59">
        <f ca="1">AVERAGE(OFFSET($R$3,0,0,'Données projet'!$E$9+1,1))-AVERAGE(OFFSET($H$3,0,0,'Données projet'!$E$9+1,1))</f>
        <v>181.79645720099597</v>
      </c>
      <c r="T88" s="59">
        <f t="shared" si="88"/>
        <v>120.20040029102233</v>
      </c>
      <c r="U88" s="15">
        <f>IF(ISNA(VLOOKUP(A88,'Données projet'!$A$35:$I$55,3,0)),0,VLOOKUP(A88,'Données projet'!$A$35:$I$55,3,0))</f>
        <v>4</v>
      </c>
      <c r="V88" s="15">
        <f>IF(ISNA(VLOOKUP(A88,'Données projet'!$A$35:$I$55,4,0)),0,VLOOKUP(A88,'Données projet'!$A$35:$I$55,4,0))</f>
        <v>85.207692307692298</v>
      </c>
      <c r="W88" s="16">
        <f>IF(ISNA(VLOOKUP(A88,'Données projet'!$A$35:$I$55,5,0)),0%,VLOOKUP(A88,'Données projet'!$A$35:$I$55,5,0)*VLOOKUP('Données projet'!$B$9,Paramètres!$A$1:$I$89,7,0))</f>
        <v>0.38500000000000001</v>
      </c>
      <c r="X88" s="16">
        <f>IF(ISNA(VLOOKUP(A88,'Données projet'!$A$35:$I$55,6,0)),0%,VLOOKUP(A88,'Données projet'!$A$35:$I$55,6,0)*VLOOKUP('Données projet'!$B$9,Paramètres!$A$1:$I$89,7,0))</f>
        <v>9.240000000000001E-2</v>
      </c>
      <c r="Y88" s="16">
        <f>IF(ISNA(VLOOKUP(A88,'Données projet'!$A$35:$I$55,7,0)),0%,VLOOKUP(A88,'Données projet'!$A$35:$I$55,7,0))</f>
        <v>0.13200000000000001</v>
      </c>
      <c r="Z88" s="21">
        <f>EXP(-LN(2)/35)*Z87+(1-EXP(-LN(2)/35))/(LN(2)/35)*V88*W88*VLOOKUP('Données projet'!$B$9,Paramètres!$A$1:$I$89,3,0)*0.475*44/12</f>
        <v>52.084974665932798</v>
      </c>
      <c r="AA88" s="21">
        <f>EXP(-LN(2)/25)*AA87+(1-EXP(-LN(2)/25))/(LN(2)/25)*Calculateur!V88*Calculateur!X88*VLOOKUP('Données projet'!$B$9,Paramètres!$A$1:$I$89,3,0)*0.475*44/12</f>
        <v>24.11219208534061</v>
      </c>
      <c r="AB88" s="21">
        <f>EXP(-LN(2)/2)*AB87+(1-EXP(-LN(2)/2))/(LN(2)/2)*V88*Y88*VLOOKUP('Données projet'!$B$9,Paramètres!$A$1:$I$89,3,0)*0.475*44/12</f>
        <v>6.0640317926056841</v>
      </c>
      <c r="AC88" s="22">
        <f t="shared" si="57"/>
        <v>82.261198543879104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253.62342381933348</v>
      </c>
      <c r="AO88" s="59">
        <f t="shared" si="90"/>
        <v>230.93438491775407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156.38352122147919</v>
      </c>
      <c r="AV88" s="21">
        <f>EXP(-LN(2)/25)*AV87+(1-EXP(-LN(2)/25))/(LN(2)/25)*Calculateur!AQ88*Calculateur!AS88*VLOOKUP('Données projet'!$B$10,Paramètres!$A$1:$I$89,3,0)*0.475*44/12</f>
        <v>36.584426963259773</v>
      </c>
      <c r="AW88" s="21">
        <f>EXP(-LN(2)/2)*AW87+(1-EXP(-LN(2)/2))/(LN(2)/2)*AQ88*AT88*VLOOKUP('Données projet'!$B$10,Paramètres!$A$1:$I$89,3,0)*0.475*44/12</f>
        <v>0.22004477926626437</v>
      </c>
      <c r="AX88" s="21">
        <f t="shared" si="60"/>
        <v>193.18799296400522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-5.6843418860808015E-14</v>
      </c>
      <c r="BE88" s="13">
        <f>BD88*VLOOKUP('Données projet'!$B$11,Paramètres!$A$1:$I$89,3,0)*VLOOKUP('Données projet'!$B$11,Paramètres!$A$1:$I$89,5,0)</f>
        <v>-3.3992364478763198E-14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199.27781324660782</v>
      </c>
      <c r="BJ88" s="59">
        <f t="shared" si="92"/>
        <v>199.82499536488524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79.066460679277171</v>
      </c>
      <c r="BQ88" s="21">
        <f>EXP(-LN(2)/25)*BQ87+(1-EXP(-LN(2)/25))/(LN(2)/25)*Calculateur!BL88*Calculateur!BN88*VLOOKUP('Données projet'!$B$11,Paramètres!$A$1:$I$89,3,0)*0.475*44/12</f>
        <v>18.080890964061126</v>
      </c>
      <c r="BR88" s="21">
        <f>EXP(-LN(2)/2)*BR87+(1-EXP(-LN(2)/2))/(LN(2)/2)*BL88*BO88*VLOOKUP('Données projet'!$B$11,Paramètres!$A$1:$I$89,3,0)*0.475*44/12</f>
        <v>5.5178544488348521E-3</v>
      </c>
      <c r="BS88" s="22">
        <f t="shared" si="63"/>
        <v>97.152869497787137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-2.8421709430404007E-13</v>
      </c>
      <c r="BZ88" s="13">
        <f>BY88*VLOOKUP('Données projet'!$B$12,Paramètres!$A$1:$I$89,3,0)*VLOOKUP('Données projet'!$B$12,Paramètres!$A$1:$I$89,5,0)</f>
        <v>-1.69961822393816E-13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199.27781323742636</v>
      </c>
      <c r="CE88" s="59">
        <f t="shared" si="94"/>
        <v>199.82499536063892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79.066460679899933</v>
      </c>
      <c r="CL88" s="21">
        <f>EXP(-LN(2)/25)*CL87+(1-EXP(-LN(2)/25))/(LN(2)/25)*Calculateur!CG88*Calculateur!CI88*VLOOKUP('Données projet'!$B$12,Paramètres!$A$1:$I$89,3,0)*0.475*44/12</f>
        <v>18.069091507140833</v>
      </c>
      <c r="CM88" s="21">
        <f>EXP(-LN(2)/2)*CM87+(1-EXP(-LN(2)/2))/(LN(2)/2)*CG88*CJ88*VLOOKUP('Données projet'!$B$12,Paramètres!$A$1:$I$89,3,0)*0.475*44/12</f>
        <v>5.517858133130325E-3</v>
      </c>
      <c r="CN88" s="22">
        <f t="shared" si="66"/>
        <v>97.14107004517389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-3.979039320256561E-13</v>
      </c>
      <c r="CU88" s="17">
        <f>CT88*VLOOKUP('Données projet'!$B$13,Paramètres!$A$1:$I$89,3,0)*VLOOKUP('Données projet'!$B$13,Paramètres!$A$1:$I$89,5,0)</f>
        <v>-2.379465513513424E-13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213.18424462765137</v>
      </c>
      <c r="CZ88" s="59">
        <f t="shared" si="96"/>
        <v>158.77848520346532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128.83701058578902</v>
      </c>
      <c r="DG88" s="21">
        <f>EXP(-LN(2)/25)*DG87+(1-EXP(-LN(2)/25))/(LN(2)/25)*Calculateur!DB88*Calculateur!DD88*VLOOKUP('Données projet'!$B$13,Paramètres!$A$1:$I$89,3,0)*0.475*44/12</f>
        <v>29.785324179232457</v>
      </c>
      <c r="DH88" s="21">
        <f>EXP(-LN(2)/2)*DH87+(1-EXP(-LN(2)/2))/(LN(2)/2)*DB88*DE88*VLOOKUP('Données projet'!$B$13,Paramètres!$A$1:$I$89,3,0)*0.475*44/12</f>
        <v>6.3924968652180985</v>
      </c>
      <c r="DI88" s="22">
        <f t="shared" si="69"/>
        <v>165.01483163023957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8.7211538461538485</v>
      </c>
      <c r="N89" s="13">
        <f>IF('Données projet'!$A$36&gt;35,N88+M89-V88,IF(A89&lt;'Données projet'!$A$36,$K$205^A89,IF(A89='Données projet'!$A$36,'Données projet'!$B$36,N88+M89-V88)))</f>
        <v>302.34423076923122</v>
      </c>
      <c r="O89" s="13">
        <f>N89*VLOOKUP('Données projet'!$B$9,Paramètres!$A$1:$I$89,3,0)*VLOOKUP('Données projet'!$B$9,Paramètres!$A$1:$I$89,5,0)</f>
        <v>141.49710000000022</v>
      </c>
      <c r="P89" s="13">
        <f t="shared" si="87"/>
        <v>36.639757477223711</v>
      </c>
      <c r="Q89" s="20">
        <f t="shared" si="54"/>
        <v>310.25502677283174</v>
      </c>
      <c r="R89" s="59">
        <f t="shared" si="55"/>
        <v>603.58836010616506</v>
      </c>
      <c r="S89" s="59">
        <f ca="1">AVERAGE(OFFSET($R$3,0,0,'Données projet'!$E$9+1,1))-AVERAGE(OFFSET($H$3,0,0,'Données projet'!$E$9+1,1))</f>
        <v>181.79645720099597</v>
      </c>
      <c r="T89" s="59">
        <f t="shared" si="88"/>
        <v>120.20040029102233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51.063620081431502</v>
      </c>
      <c r="AA89" s="21">
        <f>EXP(-LN(2)/25)*AA88+(1-EXP(-LN(2)/25))/(LN(2)/25)*Calculateur!V89*Calculateur!X89*VLOOKUP('Données projet'!$B$9,Paramètres!$A$1:$I$89,3,0)*0.475*44/12</f>
        <v>23.452842924761899</v>
      </c>
      <c r="AB89" s="21">
        <f>EXP(-LN(2)/2)*AB88+(1-EXP(-LN(2)/2))/(LN(2)/2)*V89*Y89*VLOOKUP('Données projet'!$B$9,Paramètres!$A$1:$I$89,3,0)*0.475*44/12</f>
        <v>4.2879180018822955</v>
      </c>
      <c r="AC89" s="22">
        <f t="shared" si="57"/>
        <v>78.804381008075694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253.62342381933348</v>
      </c>
      <c r="AO89" s="59">
        <f t="shared" si="90"/>
        <v>230.93438491775407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153.31693575485548</v>
      </c>
      <c r="AV89" s="21">
        <f>EXP(-LN(2)/25)*AV88+(1-EXP(-LN(2)/25))/(LN(2)/25)*Calculateur!AQ89*Calculateur!AS89*VLOOKUP('Données projet'!$B$10,Paramètres!$A$1:$I$89,3,0)*0.475*44/12</f>
        <v>35.584023884058034</v>
      </c>
      <c r="AW89" s="21">
        <f>EXP(-LN(2)/2)*AW88+(1-EXP(-LN(2)/2))/(LN(2)/2)*AQ89*AT89*VLOOKUP('Données projet'!$B$10,Paramètres!$A$1:$I$89,3,0)*0.475*44/12</f>
        <v>0.15559515558387255</v>
      </c>
      <c r="AX89" s="21">
        <f t="shared" si="60"/>
        <v>189.0565547944974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-5.6843418860808015E-14</v>
      </c>
      <c r="BE89" s="13">
        <f>BD89*VLOOKUP('Données projet'!$B$11,Paramètres!$A$1:$I$89,3,0)*VLOOKUP('Données projet'!$B$11,Paramètres!$A$1:$I$89,5,0)</f>
        <v>-3.3992364478763198E-14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199.27781324660782</v>
      </c>
      <c r="BJ89" s="59">
        <f t="shared" si="92"/>
        <v>199.82499536488524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77.516015611135657</v>
      </c>
      <c r="BQ89" s="21">
        <f>EXP(-LN(2)/25)*BQ88+(1-EXP(-LN(2)/25))/(LN(2)/25)*Calculateur!BL89*Calculateur!BN89*VLOOKUP('Données projet'!$B$11,Paramètres!$A$1:$I$89,3,0)*0.475*44/12</f>
        <v>17.586468049816144</v>
      </c>
      <c r="BR89" s="21">
        <f>EXP(-LN(2)/2)*BR88+(1-EXP(-LN(2)/2))/(LN(2)/2)*BL89*BO89*VLOOKUP('Données projet'!$B$11,Paramètres!$A$1:$I$89,3,0)*0.475*44/12</f>
        <v>3.9017122983714837E-3</v>
      </c>
      <c r="BS89" s="22">
        <f t="shared" si="63"/>
        <v>95.106385373250177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-2.8421709430404007E-13</v>
      </c>
      <c r="BZ89" s="13">
        <f>BY89*VLOOKUP('Données projet'!$B$12,Paramètres!$A$1:$I$89,3,0)*VLOOKUP('Données projet'!$B$12,Paramètres!$A$1:$I$89,5,0)</f>
        <v>-1.69961822393816E-13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199.27781323742636</v>
      </c>
      <c r="CE89" s="59">
        <f t="shared" si="94"/>
        <v>199.82499536063892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77.516015611746212</v>
      </c>
      <c r="CL89" s="21">
        <f>EXP(-LN(2)/25)*CL88+(1-EXP(-LN(2)/25))/(LN(2)/25)*Calculateur!CG89*Calculateur!CI89*VLOOKUP('Données projet'!$B$12,Paramètres!$A$1:$I$89,3,0)*0.475*44/12</f>
        <v>17.574991249665842</v>
      </c>
      <c r="CM89" s="21">
        <f>EXP(-LN(2)/2)*CM88+(1-EXP(-LN(2)/2))/(LN(2)/2)*CG89*CJ89*VLOOKUP('Données projet'!$B$12,Paramètres!$A$1:$I$89,3,0)*0.475*44/12</f>
        <v>3.9017149035617967E-3</v>
      </c>
      <c r="CN89" s="22">
        <f t="shared" si="66"/>
        <v>95.094908576315618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-3.979039320256561E-13</v>
      </c>
      <c r="CU89" s="17">
        <f>CT89*VLOOKUP('Données projet'!$B$13,Paramètres!$A$1:$I$89,3,0)*VLOOKUP('Données projet'!$B$13,Paramètres!$A$1:$I$89,5,0)</f>
        <v>-2.379465513513424E-13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213.18424462765137</v>
      </c>
      <c r="CZ89" s="59">
        <f t="shared" si="96"/>
        <v>158.77848520346532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126.31059539101874</v>
      </c>
      <c r="DG89" s="21">
        <f>EXP(-LN(2)/25)*DG88+(1-EXP(-LN(2)/25))/(LN(2)/25)*Calculateur!DB89*Calculateur!DD89*VLOOKUP('Données projet'!$B$13,Paramètres!$A$1:$I$89,3,0)*0.475*44/12</f>
        <v>28.970842923209222</v>
      </c>
      <c r="DH89" s="21">
        <f>EXP(-LN(2)/2)*DH88+(1-EXP(-LN(2)/2))/(LN(2)/2)*DB89*DE89*VLOOKUP('Données projet'!$B$13,Paramètres!$A$1:$I$89,3,0)*0.475*44/12</f>
        <v>4.5201778821094649</v>
      </c>
      <c r="DI89" s="22">
        <f t="shared" si="69"/>
        <v>159.80161619633742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8.7211538461538485</v>
      </c>
      <c r="N90" s="13">
        <f>IF('Données projet'!$A$36&gt;35,N89+M90-V89,IF(A90&lt;'Données projet'!$A$36,$K$205^A90,IF(A90='Données projet'!$A$36,'Données projet'!$B$36,N89+M90-V89)))</f>
        <v>311.06538461538508</v>
      </c>
      <c r="O90" s="13">
        <f>N90*VLOOKUP('Données projet'!$B$9,Paramètres!$A$1:$I$89,3,0)*VLOOKUP('Données projet'!$B$9,Paramètres!$A$1:$I$89,5,0)</f>
        <v>145.57860000000022</v>
      </c>
      <c r="P90" s="13">
        <f t="shared" si="87"/>
        <v>37.572063695955627</v>
      </c>
      <c r="Q90" s="20">
        <f t="shared" si="54"/>
        <v>318.98740593712301</v>
      </c>
      <c r="R90" s="59">
        <f t="shared" si="55"/>
        <v>612.32073927045633</v>
      </c>
      <c r="S90" s="59">
        <f ca="1">AVERAGE(OFFSET($R$3,0,0,'Données projet'!$E$9+1,1))-AVERAGE(OFFSET($H$3,0,0,'Données projet'!$E$9+1,1))</f>
        <v>181.79645720099597</v>
      </c>
      <c r="T90" s="59">
        <f t="shared" si="88"/>
        <v>120.20040029102233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50.062293637367496</v>
      </c>
      <c r="AA90" s="21">
        <f>EXP(-LN(2)/25)*AA89+(1-EXP(-LN(2)/25))/(LN(2)/25)*Calculateur!V90*Calculateur!X90*VLOOKUP('Données projet'!$B$9,Paramètres!$A$1:$I$89,3,0)*0.475*44/12</f>
        <v>22.811523701652877</v>
      </c>
      <c r="AB90" s="21">
        <f>EXP(-LN(2)/2)*AB89+(1-EXP(-LN(2)/2))/(LN(2)/2)*V90*Y90*VLOOKUP('Données projet'!$B$9,Paramètres!$A$1:$I$89,3,0)*0.475*44/12</f>
        <v>3.0320158963028425</v>
      </c>
      <c r="AC90" s="22">
        <f t="shared" si="57"/>
        <v>75.905833235323215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253.62342381933348</v>
      </c>
      <c r="AO90" s="59">
        <f t="shared" si="90"/>
        <v>230.93438491775407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150.31048415879982</v>
      </c>
      <c r="AV90" s="21">
        <f>EXP(-LN(2)/25)*AV89+(1-EXP(-LN(2)/25))/(LN(2)/25)*Calculateur!AQ90*Calculateur!AS90*VLOOKUP('Données projet'!$B$10,Paramètres!$A$1:$I$89,3,0)*0.475*44/12</f>
        <v>34.610976879665976</v>
      </c>
      <c r="AW90" s="21">
        <f>EXP(-LN(2)/2)*AW89+(1-EXP(-LN(2)/2))/(LN(2)/2)*AQ90*AT90*VLOOKUP('Données projet'!$B$10,Paramètres!$A$1:$I$89,3,0)*0.475*44/12</f>
        <v>0.11002238963313218</v>
      </c>
      <c r="AX90" s="21">
        <f t="shared" si="60"/>
        <v>185.03148342809894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-5.6843418860808015E-14</v>
      </c>
      <c r="BE90" s="13">
        <f>BD90*VLOOKUP('Données projet'!$B$11,Paramètres!$A$1:$I$89,3,0)*VLOOKUP('Données projet'!$B$11,Paramètres!$A$1:$I$89,5,0)</f>
        <v>-3.3992364478763198E-14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199.27781324660782</v>
      </c>
      <c r="BJ90" s="59">
        <f t="shared" si="92"/>
        <v>199.82499536488524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75.995973825102283</v>
      </c>
      <c r="BQ90" s="21">
        <f>EXP(-LN(2)/25)*BQ89+(1-EXP(-LN(2)/25))/(LN(2)/25)*Calculateur!BL90*Calculateur!BN90*VLOOKUP('Données projet'!$B$11,Paramètres!$A$1:$I$89,3,0)*0.475*44/12</f>
        <v>17.105565156161763</v>
      </c>
      <c r="BR90" s="21">
        <f>EXP(-LN(2)/2)*BR89+(1-EXP(-LN(2)/2))/(LN(2)/2)*BL90*BO90*VLOOKUP('Données projet'!$B$11,Paramètres!$A$1:$I$89,3,0)*0.475*44/12</f>
        <v>2.7589272244174265E-3</v>
      </c>
      <c r="BS90" s="22">
        <f t="shared" si="63"/>
        <v>93.104297908488462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-2.8421709430404007E-13</v>
      </c>
      <c r="BZ90" s="13">
        <f>BY90*VLOOKUP('Données projet'!$B$12,Paramètres!$A$1:$I$89,3,0)*VLOOKUP('Données projet'!$B$12,Paramètres!$A$1:$I$89,5,0)</f>
        <v>-1.69961822393816E-13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199.27781323742636</v>
      </c>
      <c r="CE90" s="59">
        <f t="shared" si="94"/>
        <v>199.82499536063892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75.995973825700872</v>
      </c>
      <c r="CL90" s="21">
        <f>EXP(-LN(2)/25)*CL89+(1-EXP(-LN(2)/25))/(LN(2)/25)*Calculateur!CG90*Calculateur!CI90*VLOOKUP('Données projet'!$B$12,Paramètres!$A$1:$I$89,3,0)*0.475*44/12</f>
        <v>17.094402189715108</v>
      </c>
      <c r="CM90" s="21">
        <f>EXP(-LN(2)/2)*CM89+(1-EXP(-LN(2)/2))/(LN(2)/2)*CG90*CJ90*VLOOKUP('Données projet'!$B$12,Paramètres!$A$1:$I$89,3,0)*0.475*44/12</f>
        <v>2.7589290665651629E-3</v>
      </c>
      <c r="CN90" s="22">
        <f t="shared" si="66"/>
        <v>93.093134944482543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-3.979039320256561E-13</v>
      </c>
      <c r="CU90" s="17">
        <f>CT90*VLOOKUP('Données projet'!$B$13,Paramètres!$A$1:$I$89,3,0)*VLOOKUP('Données projet'!$B$13,Paramètres!$A$1:$I$89,5,0)</f>
        <v>-2.379465513513424E-13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213.18424462765137</v>
      </c>
      <c r="CZ90" s="59">
        <f t="shared" si="96"/>
        <v>158.77848520346532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123.8337216572568</v>
      </c>
      <c r="DG90" s="21">
        <f>EXP(-LN(2)/25)*DG89+(1-EXP(-LN(2)/25))/(LN(2)/25)*Calculateur!DB90*Calculateur!DD90*VLOOKUP('Données projet'!$B$13,Paramètres!$A$1:$I$89,3,0)*0.475*44/12</f>
        <v>28.178633699963651</v>
      </c>
      <c r="DH90" s="21">
        <f>EXP(-LN(2)/2)*DH89+(1-EXP(-LN(2)/2))/(LN(2)/2)*DB90*DE90*VLOOKUP('Données projet'!$B$13,Paramètres!$A$1:$I$89,3,0)*0.475*44/12</f>
        <v>3.1962484326090492</v>
      </c>
      <c r="DI90" s="22">
        <f t="shared" si="69"/>
        <v>155.20860378982951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8.7211538461538485</v>
      </c>
      <c r="N91" s="13">
        <f>IF('Données projet'!$A$36&gt;35,N90+M91-V90,IF(A91&lt;'Données projet'!$A$36,$K$205^A91,IF(A91='Données projet'!$A$36,'Données projet'!$B$36,N90+M91-V90)))</f>
        <v>319.78653846153895</v>
      </c>
      <c r="O91" s="13">
        <f>N91*VLOOKUP('Données projet'!$B$9,Paramètres!$A$1:$I$89,3,0)*VLOOKUP('Données projet'!$B$9,Paramètres!$A$1:$I$89,5,0)</f>
        <v>149.66010000000023</v>
      </c>
      <c r="P91" s="13">
        <f t="shared" si="87"/>
        <v>38.501331930603563</v>
      </c>
      <c r="Q91" s="20">
        <f t="shared" si="54"/>
        <v>327.71449394580162</v>
      </c>
      <c r="R91" s="59">
        <f t="shared" si="55"/>
        <v>621.04782727913494</v>
      </c>
      <c r="S91" s="59">
        <f ca="1">AVERAGE(OFFSET($R$3,0,0,'Données projet'!$E$9+1,1))-AVERAGE(OFFSET($H$3,0,0,'Données projet'!$E$9+1,1))</f>
        <v>181.79645720099597</v>
      </c>
      <c r="T91" s="59">
        <f t="shared" si="88"/>
        <v>120.20040029102233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49.080602594122759</v>
      </c>
      <c r="AA91" s="21">
        <f>EXP(-LN(2)/25)*AA90+(1-EXP(-LN(2)/25))/(LN(2)/25)*Calculateur!V91*Calculateur!X91*VLOOKUP('Données projet'!$B$9,Paramètres!$A$1:$I$89,3,0)*0.475*44/12</f>
        <v>22.187741386425284</v>
      </c>
      <c r="AB91" s="21">
        <f>EXP(-LN(2)/2)*AB90+(1-EXP(-LN(2)/2))/(LN(2)/2)*V91*Y91*VLOOKUP('Données projet'!$B$9,Paramètres!$A$1:$I$89,3,0)*0.475*44/12</f>
        <v>2.1439590009411478</v>
      </c>
      <c r="AC91" s="22">
        <f t="shared" si="57"/>
        <v>73.412302981489191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253.62342381933348</v>
      </c>
      <c r="AO91" s="59">
        <f t="shared" si="90"/>
        <v>230.93438491775407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147.36298724478843</v>
      </c>
      <c r="AV91" s="21">
        <f>EXP(-LN(2)/25)*AV90+(1-EXP(-LN(2)/25))/(LN(2)/25)*Calculateur!AQ91*Calculateur!AS91*VLOOKUP('Données projet'!$B$10,Paramètres!$A$1:$I$89,3,0)*0.475*44/12</f>
        <v>33.664537896779343</v>
      </c>
      <c r="AW91" s="21">
        <f>EXP(-LN(2)/2)*AW90+(1-EXP(-LN(2)/2))/(LN(2)/2)*AQ91*AT91*VLOOKUP('Données projet'!$B$10,Paramètres!$A$1:$I$89,3,0)*0.475*44/12</f>
        <v>7.7797577791936273E-2</v>
      </c>
      <c r="AX91" s="21">
        <f t="shared" si="60"/>
        <v>181.10532271935969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-5.6843418860808015E-14</v>
      </c>
      <c r="BE91" s="13">
        <f>BD91*VLOOKUP('Données projet'!$B$11,Paramètres!$A$1:$I$89,3,0)*VLOOKUP('Données projet'!$B$11,Paramètres!$A$1:$I$89,5,0)</f>
        <v>-3.3992364478763198E-14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199.27781324660782</v>
      </c>
      <c r="BJ91" s="59">
        <f t="shared" si="92"/>
        <v>199.82499536488524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74.505739131359078</v>
      </c>
      <c r="BQ91" s="21">
        <f>EXP(-LN(2)/25)*BQ90+(1-EXP(-LN(2)/25))/(LN(2)/25)*Calculateur!BL91*Calculateur!BN91*VLOOKUP('Données projet'!$B$11,Paramètres!$A$1:$I$89,3,0)*0.475*44/12</f>
        <v>16.637812577423944</v>
      </c>
      <c r="BR91" s="21">
        <f>EXP(-LN(2)/2)*BR90+(1-EXP(-LN(2)/2))/(LN(2)/2)*BL91*BO91*VLOOKUP('Données projet'!$B$11,Paramètres!$A$1:$I$89,3,0)*0.475*44/12</f>
        <v>1.9508561491857423E-3</v>
      </c>
      <c r="BS91" s="22">
        <f t="shared" si="63"/>
        <v>91.145502564932201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-2.8421709430404007E-13</v>
      </c>
      <c r="BZ91" s="13">
        <f>BY91*VLOOKUP('Données projet'!$B$12,Paramètres!$A$1:$I$89,3,0)*VLOOKUP('Données projet'!$B$12,Paramètres!$A$1:$I$89,5,0)</f>
        <v>-1.69961822393816E-13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199.27781323742636</v>
      </c>
      <c r="CE91" s="59">
        <f t="shared" si="94"/>
        <v>199.82499536063892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74.50573913194593</v>
      </c>
      <c r="CL91" s="21">
        <f>EXP(-LN(2)/25)*CL90+(1-EXP(-LN(2)/25))/(LN(2)/25)*Calculateur!CG91*Calculateur!CI91*VLOOKUP('Données projet'!$B$12,Paramètres!$A$1:$I$89,3,0)*0.475*44/12</f>
        <v>16.626954862881806</v>
      </c>
      <c r="CM91" s="21">
        <f>EXP(-LN(2)/2)*CM90+(1-EXP(-LN(2)/2))/(LN(2)/2)*CG91*CJ91*VLOOKUP('Données projet'!$B$12,Paramètres!$A$1:$I$89,3,0)*0.475*44/12</f>
        <v>1.9508574517808986E-3</v>
      </c>
      <c r="CN91" s="22">
        <f t="shared" si="66"/>
        <v>91.134644852279507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-3.979039320256561E-13</v>
      </c>
      <c r="CU91" s="17">
        <f>CT91*VLOOKUP('Données projet'!$B$13,Paramètres!$A$1:$I$89,3,0)*VLOOKUP('Données projet'!$B$13,Paramètres!$A$1:$I$89,5,0)</f>
        <v>-2.379465513513424E-13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213.18424462765137</v>
      </c>
      <c r="CZ91" s="59">
        <f t="shared" si="96"/>
        <v>158.77848520346532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121.40541790667012</v>
      </c>
      <c r="DG91" s="21">
        <f>EXP(-LN(2)/25)*DG90+(1-EXP(-LN(2)/25))/(LN(2)/25)*Calculateur!DB91*Calculateur!DD91*VLOOKUP('Données projet'!$B$13,Paramètres!$A$1:$I$89,3,0)*0.475*44/12</f>
        <v>27.4080874795882</v>
      </c>
      <c r="DH91" s="21">
        <f>EXP(-LN(2)/2)*DH90+(1-EXP(-LN(2)/2))/(LN(2)/2)*DB91*DE91*VLOOKUP('Données projet'!$B$13,Paramètres!$A$1:$I$89,3,0)*0.475*44/12</f>
        <v>2.2600889410547325</v>
      </c>
      <c r="DI91" s="22">
        <f t="shared" si="69"/>
        <v>151.07359432731306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8.7211538461538485</v>
      </c>
      <c r="N92" s="13">
        <f>IF('Données projet'!$A$36&gt;35,N91+M92-V91,IF(A92&lt;'Données projet'!$A$36,$K$205^A92,IF(A92='Données projet'!$A$36,'Données projet'!$B$36,N91+M92-V91)))</f>
        <v>328.50769230769282</v>
      </c>
      <c r="O92" s="13">
        <f>N92*VLOOKUP('Données projet'!$B$9,Paramètres!$A$1:$I$89,3,0)*VLOOKUP('Données projet'!$B$9,Paramètres!$A$1:$I$89,5,0)</f>
        <v>153.74160000000023</v>
      </c>
      <c r="P92" s="13">
        <f t="shared" si="87"/>
        <v>39.427654552879716</v>
      </c>
      <c r="Q92" s="20">
        <f t="shared" si="54"/>
        <v>336.4364516795992</v>
      </c>
      <c r="R92" s="59">
        <f t="shared" si="55"/>
        <v>629.76978501293252</v>
      </c>
      <c r="S92" s="59">
        <f ca="1">AVERAGE(OFFSET($R$3,0,0,'Données projet'!$E$9+1,1))-AVERAGE(OFFSET($H$3,0,0,'Données projet'!$E$9+1,1))</f>
        <v>181.79645720099597</v>
      </c>
      <c r="T92" s="59">
        <f t="shared" si="88"/>
        <v>120.20040029102233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48.118161913463638</v>
      </c>
      <c r="AA92" s="21">
        <f>EXP(-LN(2)/25)*AA91+(1-EXP(-LN(2)/25))/(LN(2)/25)*Calculateur!V92*Calculateur!X92*VLOOKUP('Données projet'!$B$9,Paramètres!$A$1:$I$89,3,0)*0.475*44/12</f>
        <v>21.581016431410877</v>
      </c>
      <c r="AB92" s="21">
        <f>EXP(-LN(2)/2)*AB91+(1-EXP(-LN(2)/2))/(LN(2)/2)*V92*Y92*VLOOKUP('Données projet'!$B$9,Paramètres!$A$1:$I$89,3,0)*0.475*44/12</f>
        <v>1.5160079481514213</v>
      </c>
      <c r="AC92" s="22">
        <f t="shared" si="57"/>
        <v>71.215186293025937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253.62342381933348</v>
      </c>
      <c r="AO92" s="59">
        <f t="shared" si="90"/>
        <v>230.93438491775407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144.47328894746519</v>
      </c>
      <c r="AV92" s="21">
        <f>EXP(-LN(2)/25)*AV91+(1-EXP(-LN(2)/25))/(LN(2)/25)*Calculateur!AQ92*Calculateur!AS92*VLOOKUP('Données projet'!$B$10,Paramètres!$A$1:$I$89,3,0)*0.475*44/12</f>
        <v>32.743979337650806</v>
      </c>
      <c r="AW92" s="21">
        <f>EXP(-LN(2)/2)*AW91+(1-EXP(-LN(2)/2))/(LN(2)/2)*AQ92*AT92*VLOOKUP('Données projet'!$B$10,Paramètres!$A$1:$I$89,3,0)*0.475*44/12</f>
        <v>5.5011194816566092E-2</v>
      </c>
      <c r="AX92" s="21">
        <f t="shared" si="60"/>
        <v>177.27227947993256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-5.6843418860808015E-14</v>
      </c>
      <c r="BE92" s="13">
        <f>BD92*VLOOKUP('Données projet'!$B$11,Paramètres!$A$1:$I$89,3,0)*VLOOKUP('Données projet'!$B$11,Paramètres!$A$1:$I$89,5,0)</f>
        <v>-3.3992364478763198E-14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199.27781324660782</v>
      </c>
      <c r="BJ92" s="59">
        <f t="shared" si="92"/>
        <v>199.82499536488524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73.044727031006772</v>
      </c>
      <c r="BQ92" s="21">
        <f>EXP(-LN(2)/25)*BQ91+(1-EXP(-LN(2)/25))/(LN(2)/25)*Calculateur!BL92*Calculateur!BN92*VLOOKUP('Données projet'!$B$11,Paramètres!$A$1:$I$89,3,0)*0.475*44/12</f>
        <v>16.182850717549748</v>
      </c>
      <c r="BR92" s="21">
        <f>EXP(-LN(2)/2)*BR91+(1-EXP(-LN(2)/2))/(LN(2)/2)*BL92*BO92*VLOOKUP('Données projet'!$B$11,Paramètres!$A$1:$I$89,3,0)*0.475*44/12</f>
        <v>1.3794636122087135E-3</v>
      </c>
      <c r="BS92" s="22">
        <f t="shared" si="63"/>
        <v>89.228957212168723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-2.8421709430404007E-13</v>
      </c>
      <c r="BZ92" s="13">
        <f>BY92*VLOOKUP('Données projet'!$B$12,Paramètres!$A$1:$I$89,3,0)*VLOOKUP('Données projet'!$B$12,Paramètres!$A$1:$I$89,5,0)</f>
        <v>-1.69961822393816E-13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199.27781323742636</v>
      </c>
      <c r="CE92" s="59">
        <f t="shared" si="94"/>
        <v>199.82499536063892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73.044727031582113</v>
      </c>
      <c r="CL92" s="21">
        <f>EXP(-LN(2)/25)*CL91+(1-EXP(-LN(2)/25))/(LN(2)/25)*Calculateur!CG92*Calculateur!CI92*VLOOKUP('Données projet'!$B$12,Paramètres!$A$1:$I$89,3,0)*0.475*44/12</f>
        <v>16.172289907782748</v>
      </c>
      <c r="CM92" s="21">
        <f>EXP(-LN(2)/2)*CM91+(1-EXP(-LN(2)/2))/(LN(2)/2)*CG92*CJ92*VLOOKUP('Données projet'!$B$12,Paramètres!$A$1:$I$89,3,0)*0.475*44/12</f>
        <v>1.3794645332825817E-3</v>
      </c>
      <c r="CN92" s="22">
        <f t="shared" si="66"/>
        <v>89.218396403898154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-3.979039320256561E-13</v>
      </c>
      <c r="CU92" s="17">
        <f>CT92*VLOOKUP('Données projet'!$B$13,Paramètres!$A$1:$I$89,3,0)*VLOOKUP('Données projet'!$B$13,Paramètres!$A$1:$I$89,5,0)</f>
        <v>-2.379465513513424E-13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213.18424462765137</v>
      </c>
      <c r="CZ92" s="59">
        <f t="shared" si="96"/>
        <v>158.77848520346532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119.02473171151341</v>
      </c>
      <c r="DG92" s="21">
        <f>EXP(-LN(2)/25)*DG91+(1-EXP(-LN(2)/25))/(LN(2)/25)*Calculateur!DB92*Calculateur!DD92*VLOOKUP('Données projet'!$B$13,Paramètres!$A$1:$I$89,3,0)*0.475*44/12</f>
        <v>26.658611886130181</v>
      </c>
      <c r="DH92" s="21">
        <f>EXP(-LN(2)/2)*DH91+(1-EXP(-LN(2)/2))/(LN(2)/2)*DB92*DE92*VLOOKUP('Données projet'!$B$13,Paramètres!$A$1:$I$89,3,0)*0.475*44/12</f>
        <v>1.5981242163045246</v>
      </c>
      <c r="DI92" s="22">
        <f t="shared" si="69"/>
        <v>147.2814678139481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8.7211538461538485</v>
      </c>
      <c r="N93" s="13">
        <f>IF('Données projet'!$A$36&gt;35,N92+M93-V92,IF(A93&lt;'Données projet'!$A$36,$K$205^A93,IF(A93='Données projet'!$A$36,'Données projet'!$B$36,N92+M93-V92)))</f>
        <v>337.22884615384669</v>
      </c>
      <c r="O93" s="13">
        <f>N93*VLOOKUP('Données projet'!$B$9,Paramètres!$A$1:$I$89,3,0)*VLOOKUP('Données projet'!$B$9,Paramètres!$A$1:$I$89,5,0)</f>
        <v>157.82310000000024</v>
      </c>
      <c r="P93" s="13">
        <f t="shared" si="87"/>
        <v>40.351118750694802</v>
      </c>
      <c r="Q93" s="20">
        <f t="shared" si="54"/>
        <v>345.15343099079388</v>
      </c>
      <c r="R93" s="59">
        <f t="shared" si="55"/>
        <v>638.48676432412719</v>
      </c>
      <c r="S93" s="59">
        <f ca="1">AVERAGE(OFFSET($R$3,0,0,'Données projet'!$E$9+1,1))-AVERAGE(OFFSET($H$3,0,0,'Données projet'!$E$9+1,1))</f>
        <v>181.79645720099597</v>
      </c>
      <c r="T93" s="59">
        <f t="shared" si="88"/>
        <v>120.20040029102233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47.174594107521393</v>
      </c>
      <c r="AA93" s="21">
        <f>EXP(-LN(2)/25)*AA92+(1-EXP(-LN(2)/25))/(LN(2)/25)*Calculateur!V93*Calculateur!X93*VLOOKUP('Données projet'!$B$9,Paramètres!$A$1:$I$89,3,0)*0.475*44/12</f>
        <v>20.990882402197617</v>
      </c>
      <c r="AB93" s="21">
        <f>EXP(-LN(2)/2)*AB92+(1-EXP(-LN(2)/2))/(LN(2)/2)*V93*Y93*VLOOKUP('Données projet'!$B$9,Paramètres!$A$1:$I$89,3,0)*0.475*44/12</f>
        <v>1.0719795004705739</v>
      </c>
      <c r="AC93" s="22">
        <f t="shared" si="57"/>
        <v>69.23745601018959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253.62342381933348</v>
      </c>
      <c r="AO93" s="59">
        <f t="shared" si="90"/>
        <v>230.93438491775407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141.64025587121054</v>
      </c>
      <c r="AV93" s="21">
        <f>EXP(-LN(2)/25)*AV92+(1-EXP(-LN(2)/25))/(LN(2)/25)*Calculateur!AQ93*Calculateur!AS93*VLOOKUP('Données projet'!$B$10,Paramètres!$A$1:$I$89,3,0)*0.475*44/12</f>
        <v>31.84859350073171</v>
      </c>
      <c r="AW93" s="21">
        <f>EXP(-LN(2)/2)*AW92+(1-EXP(-LN(2)/2))/(LN(2)/2)*AQ93*AT93*VLOOKUP('Données projet'!$B$10,Paramètres!$A$1:$I$89,3,0)*0.475*44/12</f>
        <v>3.8898788895968137E-2</v>
      </c>
      <c r="AX93" s="21">
        <f t="shared" si="60"/>
        <v>173.52774816083823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-5.6843418860808015E-14</v>
      </c>
      <c r="BE93" s="13">
        <f>BD93*VLOOKUP('Données projet'!$B$11,Paramètres!$A$1:$I$89,3,0)*VLOOKUP('Données projet'!$B$11,Paramètres!$A$1:$I$89,5,0)</f>
        <v>-3.3992364478763198E-14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199.27781324660782</v>
      </c>
      <c r="BJ93" s="59">
        <f t="shared" si="92"/>
        <v>199.82499536488524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71.612364486812993</v>
      </c>
      <c r="BQ93" s="21">
        <f>EXP(-LN(2)/25)*BQ92+(1-EXP(-LN(2)/25))/(LN(2)/25)*Calculateur!BL93*Calculateur!BN93*VLOOKUP('Données projet'!$B$11,Paramètres!$A$1:$I$89,3,0)*0.475*44/12</f>
        <v>15.740329813659217</v>
      </c>
      <c r="BR93" s="21">
        <f>EXP(-LN(2)/2)*BR92+(1-EXP(-LN(2)/2))/(LN(2)/2)*BL93*BO93*VLOOKUP('Données projet'!$B$11,Paramètres!$A$1:$I$89,3,0)*0.475*44/12</f>
        <v>9.7542807459287124E-4</v>
      </c>
      <c r="BS93" s="22">
        <f t="shared" si="63"/>
        <v>87.353669728546805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-2.8421709430404007E-13</v>
      </c>
      <c r="BZ93" s="13">
        <f>BY93*VLOOKUP('Données projet'!$B$12,Paramètres!$A$1:$I$89,3,0)*VLOOKUP('Données projet'!$B$12,Paramètres!$A$1:$I$89,5,0)</f>
        <v>-1.69961822393816E-13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199.27781323742636</v>
      </c>
      <c r="CE93" s="59">
        <f t="shared" si="94"/>
        <v>199.82499536063892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71.61236448737705</v>
      </c>
      <c r="CL93" s="21">
        <f>EXP(-LN(2)/25)*CL92+(1-EXP(-LN(2)/25))/(LN(2)/25)*Calculateur!CG93*Calculateur!CI93*VLOOKUP('Données projet'!$B$12,Paramètres!$A$1:$I$89,3,0)*0.475*44/12</f>
        <v>15.730057789790665</v>
      </c>
      <c r="CM93" s="21">
        <f>EXP(-LN(2)/2)*CM92+(1-EXP(-LN(2)/2))/(LN(2)/2)*CG93*CJ93*VLOOKUP('Données projet'!$B$12,Paramètres!$A$1:$I$89,3,0)*0.475*44/12</f>
        <v>9.754287258904495E-4</v>
      </c>
      <c r="CN93" s="22">
        <f t="shared" si="66"/>
        <v>87.343397705893608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-3.979039320256561E-13</v>
      </c>
      <c r="CU93" s="17">
        <f>CT93*VLOOKUP('Données projet'!$B$13,Paramètres!$A$1:$I$89,3,0)*VLOOKUP('Données projet'!$B$13,Paramètres!$A$1:$I$89,5,0)</f>
        <v>-2.379465513513424E-13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213.18424462765137</v>
      </c>
      <c r="CZ93" s="59">
        <f t="shared" si="96"/>
        <v>158.77848520346532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116.69072932056852</v>
      </c>
      <c r="DG93" s="21">
        <f>EXP(-LN(2)/25)*DG92+(1-EXP(-LN(2)/25))/(LN(2)/25)*Calculateur!DB93*Calculateur!DD93*VLOOKUP('Données projet'!$B$13,Paramètres!$A$1:$I$89,3,0)*0.475*44/12</f>
        <v>25.929630742188483</v>
      </c>
      <c r="DH93" s="21">
        <f>EXP(-LN(2)/2)*DH92+(1-EXP(-LN(2)/2))/(LN(2)/2)*DB93*DE93*VLOOKUP('Données projet'!$B$13,Paramètres!$A$1:$I$89,3,0)*0.475*44/12</f>
        <v>1.1300444705273662</v>
      </c>
      <c r="DI93" s="22">
        <f t="shared" si="69"/>
        <v>143.75040453328438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8.7211538461538485</v>
      </c>
      <c r="N94" s="13">
        <f>IF('Données projet'!$A$36&gt;35,N93+M94-V93,IF(A94&lt;'Données projet'!$A$36,$K$205^A94,IF(A94='Données projet'!$A$36,'Données projet'!$B$36,N93+M94-V93)))</f>
        <v>345.95000000000056</v>
      </c>
      <c r="O94" s="13">
        <f>N94*VLOOKUP('Données projet'!$B$9,Paramètres!$A$1:$I$89,3,0)*VLOOKUP('Données projet'!$B$9,Paramètres!$A$1:$I$89,5,0)</f>
        <v>161.90460000000027</v>
      </c>
      <c r="P94" s="13">
        <f t="shared" si="87"/>
        <v>41.27180694550065</v>
      </c>
      <c r="Q94" s="20">
        <f t="shared" si="54"/>
        <v>353.86557543008075</v>
      </c>
      <c r="R94" s="59">
        <f t="shared" si="55"/>
        <v>647.19890876341401</v>
      </c>
      <c r="S94" s="59">
        <f ca="1">AVERAGE(OFFSET($R$3,0,0,'Données projet'!$E$9+1,1))-AVERAGE(OFFSET($H$3,0,0,'Données projet'!$E$9+1,1))</f>
        <v>181.79645720099597</v>
      </c>
      <c r="T94" s="59">
        <f t="shared" si="88"/>
        <v>120.20040029102233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46.249529090734143</v>
      </c>
      <c r="AA94" s="21">
        <f>EXP(-LN(2)/25)*AA93+(1-EXP(-LN(2)/25))/(LN(2)/25)*Calculateur!V94*Calculateur!X94*VLOOKUP('Données projet'!$B$9,Paramètres!$A$1:$I$89,3,0)*0.475*44/12</f>
        <v>20.416885619046994</v>
      </c>
      <c r="AB94" s="21">
        <f>EXP(-LN(2)/2)*AB93+(1-EXP(-LN(2)/2))/(LN(2)/2)*V94*Y94*VLOOKUP('Données projet'!$B$9,Paramètres!$A$1:$I$89,3,0)*0.475*44/12</f>
        <v>0.75800397407571063</v>
      </c>
      <c r="AC94" s="22">
        <f t="shared" si="57"/>
        <v>67.424418683856842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253.62342381933348</v>
      </c>
      <c r="AO94" s="59">
        <f t="shared" si="90"/>
        <v>230.93438491775407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138.86277684560167</v>
      </c>
      <c r="AV94" s="21">
        <f>EXP(-LN(2)/25)*AV93+(1-EXP(-LN(2)/25))/(LN(2)/25)*Calculateur!AQ94*Calculateur!AS94*VLOOKUP('Données projet'!$B$10,Paramètres!$A$1:$I$89,3,0)*0.475*44/12</f>
        <v>30.977692036609461</v>
      </c>
      <c r="AW94" s="21">
        <f>EXP(-LN(2)/2)*AW93+(1-EXP(-LN(2)/2))/(LN(2)/2)*AQ94*AT94*VLOOKUP('Données projet'!$B$10,Paramètres!$A$1:$I$89,3,0)*0.475*44/12</f>
        <v>2.7505597408283046E-2</v>
      </c>
      <c r="AX94" s="21">
        <f t="shared" si="60"/>
        <v>169.86797447961942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-5.6843418860808015E-14</v>
      </c>
      <c r="BE94" s="13">
        <f>BD94*VLOOKUP('Données projet'!$B$11,Paramètres!$A$1:$I$89,3,0)*VLOOKUP('Données projet'!$B$11,Paramètres!$A$1:$I$89,5,0)</f>
        <v>-3.3992364478763198E-14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199.27781324660782</v>
      </c>
      <c r="BJ94" s="59">
        <f t="shared" si="92"/>
        <v>199.82499536488524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70.208089698455964</v>
      </c>
      <c r="BQ94" s="21">
        <f>EXP(-LN(2)/25)*BQ93+(1-EXP(-LN(2)/25))/(LN(2)/25)*Calculateur!BL94*Calculateur!BN94*VLOOKUP('Données projet'!$B$11,Paramètres!$A$1:$I$89,3,0)*0.475*44/12</f>
        <v>15.309909667156736</v>
      </c>
      <c r="BR94" s="21">
        <f>EXP(-LN(2)/2)*BR93+(1-EXP(-LN(2)/2))/(LN(2)/2)*BL94*BO94*VLOOKUP('Données projet'!$B$11,Paramètres!$A$1:$I$89,3,0)*0.475*44/12</f>
        <v>6.8973180610435684E-4</v>
      </c>
      <c r="BS94" s="22">
        <f t="shared" si="63"/>
        <v>85.5186890974188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-2.8421709430404007E-13</v>
      </c>
      <c r="BZ94" s="13">
        <f>BY94*VLOOKUP('Données projet'!$B$12,Paramètres!$A$1:$I$89,3,0)*VLOOKUP('Données projet'!$B$12,Paramètres!$A$1:$I$89,5,0)</f>
        <v>-1.69961822393816E-13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199.27781323742636</v>
      </c>
      <c r="CE94" s="59">
        <f t="shared" si="94"/>
        <v>199.82499536063892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70.208089699008951</v>
      </c>
      <c r="CL94" s="21">
        <f>EXP(-LN(2)/25)*CL93+(1-EXP(-LN(2)/25))/(LN(2)/25)*Calculateur!CG94*Calculateur!CI94*VLOOKUP('Données projet'!$B$12,Paramètres!$A$1:$I$89,3,0)*0.475*44/12</f>
        <v>15.299918532321051</v>
      </c>
      <c r="CM94" s="21">
        <f>EXP(-LN(2)/2)*CM93+(1-EXP(-LN(2)/2))/(LN(2)/2)*CG94*CJ94*VLOOKUP('Données projet'!$B$12,Paramètres!$A$1:$I$89,3,0)*0.475*44/12</f>
        <v>6.8973226664129094E-4</v>
      </c>
      <c r="CN94" s="22">
        <f t="shared" si="66"/>
        <v>85.508697963596632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-3.979039320256561E-13</v>
      </c>
      <c r="CU94" s="17">
        <f>CT94*VLOOKUP('Données projet'!$B$13,Paramètres!$A$1:$I$89,3,0)*VLOOKUP('Données projet'!$B$13,Paramètres!$A$1:$I$89,5,0)</f>
        <v>-2.379465513513424E-13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213.18424462765137</v>
      </c>
      <c r="CZ94" s="59">
        <f t="shared" si="96"/>
        <v>158.77848520346532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114.40249529290918</v>
      </c>
      <c r="DG94" s="21">
        <f>EXP(-LN(2)/25)*DG93+(1-EXP(-LN(2)/25))/(LN(2)/25)*Calculateur!DB94*Calculateur!DD94*VLOOKUP('Données projet'!$B$13,Paramètres!$A$1:$I$89,3,0)*0.475*44/12</f>
        <v>25.220583625963322</v>
      </c>
      <c r="DH94" s="21">
        <f>EXP(-LN(2)/2)*DH93+(1-EXP(-LN(2)/2))/(LN(2)/2)*DB94*DE94*VLOOKUP('Données projet'!$B$13,Paramètres!$A$1:$I$89,3,0)*0.475*44/12</f>
        <v>0.79906210815226231</v>
      </c>
      <c r="DI94" s="22">
        <f t="shared" si="69"/>
        <v>140.42214102702476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8.7211538461538485</v>
      </c>
      <c r="N95" s="13">
        <f>IF('Données projet'!$A$36&gt;35,N94+M95-V94,IF(A95&lt;'Données projet'!$A$36,$K$205^A95,IF(A95='Données projet'!$A$36,'Données projet'!$B$36,N94+M95-V94)))</f>
        <v>354.67115384615443</v>
      </c>
      <c r="O95" s="13">
        <f>N95*VLOOKUP('Données projet'!$B$9,Paramètres!$A$1:$I$89,3,0)*VLOOKUP('Données projet'!$B$9,Paramètres!$A$1:$I$89,5,0)</f>
        <v>165.98610000000025</v>
      </c>
      <c r="P95" s="13">
        <f t="shared" si="87"/>
        <v>42.189797166364926</v>
      </c>
      <c r="Q95" s="20">
        <f t="shared" si="54"/>
        <v>362.57302089808604</v>
      </c>
      <c r="R95" s="59">
        <f t="shared" si="55"/>
        <v>655.9063542314193</v>
      </c>
      <c r="S95" s="59">
        <f ca="1">AVERAGE(OFFSET($R$3,0,0,'Données projet'!$E$9+1,1))-AVERAGE(OFFSET($H$3,0,0,'Données projet'!$E$9+1,1))</f>
        <v>181.79645720099597</v>
      </c>
      <c r="T95" s="59">
        <f t="shared" si="88"/>
        <v>120.20040029102233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45.342604034692144</v>
      </c>
      <c r="AA95" s="21">
        <f>EXP(-LN(2)/25)*AA94+(1-EXP(-LN(2)/25))/(LN(2)/25)*Calculateur!V95*Calculateur!X95*VLOOKUP('Données projet'!$B$9,Paramètres!$A$1:$I$89,3,0)*0.475*44/12</f>
        <v>19.858584808116802</v>
      </c>
      <c r="AB95" s="21">
        <f>EXP(-LN(2)/2)*AB94+(1-EXP(-LN(2)/2))/(LN(2)/2)*V95*Y95*VLOOKUP('Données projet'!$B$9,Paramètres!$A$1:$I$89,3,0)*0.475*44/12</f>
        <v>0.53598975023528694</v>
      </c>
      <c r="AC95" s="22">
        <f t="shared" si="57"/>
        <v>65.737178593044234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253.62342381933348</v>
      </c>
      <c r="AO95" s="59">
        <f t="shared" si="90"/>
        <v>230.93438491775407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136.13976248959008</v>
      </c>
      <c r="AV95" s="21">
        <f>EXP(-LN(2)/25)*AV94+(1-EXP(-LN(2)/25))/(LN(2)/25)*Calculateur!AQ95*Calculateur!AS95*VLOOKUP('Données projet'!$B$10,Paramètres!$A$1:$I$89,3,0)*0.475*44/12</f>
        <v>30.130605418822352</v>
      </c>
      <c r="AW95" s="21">
        <f>EXP(-LN(2)/2)*AW94+(1-EXP(-LN(2)/2))/(LN(2)/2)*AQ95*AT95*VLOOKUP('Données projet'!$B$10,Paramètres!$A$1:$I$89,3,0)*0.475*44/12</f>
        <v>1.9449394447984068E-2</v>
      </c>
      <c r="AX95" s="21">
        <f t="shared" si="60"/>
        <v>166.2898173028604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-5.6843418860808015E-14</v>
      </c>
      <c r="BE95" s="13">
        <f>BD95*VLOOKUP('Données projet'!$B$11,Paramètres!$A$1:$I$89,3,0)*VLOOKUP('Données projet'!$B$11,Paramètres!$A$1:$I$89,5,0)</f>
        <v>-3.3992364478763198E-14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199.27781324660782</v>
      </c>
      <c r="BJ95" s="59">
        <f t="shared" si="92"/>
        <v>199.82499536488524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68.831351882175568</v>
      </c>
      <c r="BQ95" s="21">
        <f>EXP(-LN(2)/25)*BQ94+(1-EXP(-LN(2)/25))/(LN(2)/25)*Calculateur!BL95*Calculateur!BN95*VLOOKUP('Données projet'!$B$11,Paramètres!$A$1:$I$89,3,0)*0.475*44/12</f>
        <v>14.891259382195177</v>
      </c>
      <c r="BR95" s="21">
        <f>EXP(-LN(2)/2)*BR94+(1-EXP(-LN(2)/2))/(LN(2)/2)*BL95*BO95*VLOOKUP('Données projet'!$B$11,Paramètres!$A$1:$I$89,3,0)*0.475*44/12</f>
        <v>4.8771403729643573E-4</v>
      </c>
      <c r="BS95" s="22">
        <f t="shared" si="63"/>
        <v>83.723098978408032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-2.8421709430404007E-13</v>
      </c>
      <c r="BZ95" s="13">
        <f>BY95*VLOOKUP('Données projet'!$B$12,Paramètres!$A$1:$I$89,3,0)*VLOOKUP('Données projet'!$B$12,Paramètres!$A$1:$I$89,5,0)</f>
        <v>-1.69961822393816E-13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199.27781323742636</v>
      </c>
      <c r="CE95" s="59">
        <f t="shared" si="94"/>
        <v>199.82499536063892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68.831351882717712</v>
      </c>
      <c r="CL95" s="21">
        <f>EXP(-LN(2)/25)*CL94+(1-EXP(-LN(2)/25))/(LN(2)/25)*Calculateur!CG95*Calculateur!CI95*VLOOKUP('Données projet'!$B$12,Paramètres!$A$1:$I$89,3,0)*0.475*44/12</f>
        <v>14.881541455466985</v>
      </c>
      <c r="CM95" s="21">
        <f>EXP(-LN(2)/2)*CM94+(1-EXP(-LN(2)/2))/(LN(2)/2)*CG95*CJ95*VLOOKUP('Données projet'!$B$12,Paramètres!$A$1:$I$89,3,0)*0.475*44/12</f>
        <v>4.877143629452248E-4</v>
      </c>
      <c r="CN95" s="22">
        <f t="shared" si="66"/>
        <v>83.713381052547646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-3.979039320256561E-13</v>
      </c>
      <c r="CU95" s="17">
        <f>CT95*VLOOKUP('Données projet'!$B$13,Paramètres!$A$1:$I$89,3,0)*VLOOKUP('Données projet'!$B$13,Paramètres!$A$1:$I$89,5,0)</f>
        <v>-2.379465513513424E-13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213.18424462765137</v>
      </c>
      <c r="CZ95" s="59">
        <f t="shared" si="96"/>
        <v>158.77848520346532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112.1591321388473</v>
      </c>
      <c r="DG95" s="21">
        <f>EXP(-LN(2)/25)*DG94+(1-EXP(-LN(2)/25))/(LN(2)/25)*Calculateur!DB95*Calculateur!DD95*VLOOKUP('Données projet'!$B$13,Paramètres!$A$1:$I$89,3,0)*0.475*44/12</f>
        <v>24.530925440418503</v>
      </c>
      <c r="DH95" s="21">
        <f>EXP(-LN(2)/2)*DH94+(1-EXP(-LN(2)/2))/(LN(2)/2)*DB95*DE95*VLOOKUP('Données projet'!$B$13,Paramètres!$A$1:$I$89,3,0)*0.475*44/12</f>
        <v>0.56502223526368311</v>
      </c>
      <c r="DI95" s="22">
        <f t="shared" si="69"/>
        <v>137.25507981452949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8.7211538461538485</v>
      </c>
      <c r="N96" s="13">
        <f>IF('Données projet'!$A$36&gt;35,N95+M96-V95,IF(A96&lt;'Données projet'!$A$36,$K$205^A96,IF(A96='Données projet'!$A$36,'Données projet'!$B$36,N95+M96-V95)))</f>
        <v>363.39230769230829</v>
      </c>
      <c r="O96" s="13">
        <f>N96*VLOOKUP('Données projet'!$B$9,Paramètres!$A$1:$I$89,3,0)*VLOOKUP('Données projet'!$B$9,Paramètres!$A$1:$I$89,5,0)</f>
        <v>170.06760000000031</v>
      </c>
      <c r="P96" s="13">
        <f t="shared" si="87"/>
        <v>43.105163386216866</v>
      </c>
      <c r="Q96" s="20">
        <f t="shared" si="54"/>
        <v>371.27589623099493</v>
      </c>
      <c r="R96" s="59">
        <f t="shared" si="55"/>
        <v>664.60922956432819</v>
      </c>
      <c r="S96" s="59">
        <f ca="1">AVERAGE(OFFSET($R$3,0,0,'Données projet'!$E$9+1,1))-AVERAGE(OFFSET($H$3,0,0,'Données projet'!$E$9+1,1))</f>
        <v>181.79645720099597</v>
      </c>
      <c r="T96" s="59">
        <f t="shared" si="88"/>
        <v>120.20040029102233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44.453463225829466</v>
      </c>
      <c r="AA96" s="21">
        <f>EXP(-LN(2)/25)*AA95+(1-EXP(-LN(2)/25))/(LN(2)/25)*Calculateur!V96*Calculateur!X96*VLOOKUP('Données projet'!$B$9,Paramètres!$A$1:$I$89,3,0)*0.475*44/12</f>
        <v>19.31555076222126</v>
      </c>
      <c r="AB96" s="21">
        <f>EXP(-LN(2)/2)*AB95+(1-EXP(-LN(2)/2))/(LN(2)/2)*V96*Y96*VLOOKUP('Données projet'!$B$9,Paramètres!$A$1:$I$89,3,0)*0.475*44/12</f>
        <v>0.37900198703785531</v>
      </c>
      <c r="AC96" s="22">
        <f t="shared" si="57"/>
        <v>64.148015975088583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253.62342381933348</v>
      </c>
      <c r="AO96" s="59">
        <f t="shared" si="90"/>
        <v>230.93438491775407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133.47014478422511</v>
      </c>
      <c r="AV96" s="21">
        <f>EXP(-LN(2)/25)*AV95+(1-EXP(-LN(2)/25))/(LN(2)/25)*Calculateur!AQ96*Calculateur!AS96*VLOOKUP('Données projet'!$B$10,Paramètres!$A$1:$I$89,3,0)*0.475*44/12</f>
        <v>29.306682429144981</v>
      </c>
      <c r="AW96" s="21">
        <f>EXP(-LN(2)/2)*AW95+(1-EXP(-LN(2)/2))/(LN(2)/2)*AQ96*AT96*VLOOKUP('Données projet'!$B$10,Paramètres!$A$1:$I$89,3,0)*0.475*44/12</f>
        <v>1.3752798704141523E-2</v>
      </c>
      <c r="AX96" s="21">
        <f t="shared" si="60"/>
        <v>162.79058001207423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-5.6843418860808015E-14</v>
      </c>
      <c r="BE96" s="13">
        <f>BD96*VLOOKUP('Données projet'!$B$11,Paramètres!$A$1:$I$89,3,0)*VLOOKUP('Données projet'!$B$11,Paramètres!$A$1:$I$89,5,0)</f>
        <v>-3.3992364478763198E-14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199.27781324660782</v>
      </c>
      <c r="BJ96" s="59">
        <f t="shared" si="92"/>
        <v>199.82499536488524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67.481611054745272</v>
      </c>
      <c r="BQ96" s="21">
        <f>EXP(-LN(2)/25)*BQ95+(1-EXP(-LN(2)/25))/(LN(2)/25)*Calculateur!BL96*Calculateur!BN96*VLOOKUP('Données projet'!$B$11,Paramètres!$A$1:$I$89,3,0)*0.475*44/12</f>
        <v>14.484057111291753</v>
      </c>
      <c r="BR96" s="21">
        <f>EXP(-LN(2)/2)*BR95+(1-EXP(-LN(2)/2))/(LN(2)/2)*BL96*BO96*VLOOKUP('Données projet'!$B$11,Paramètres!$A$1:$I$89,3,0)*0.475*44/12</f>
        <v>3.4486590305217847E-4</v>
      </c>
      <c r="BS96" s="22">
        <f t="shared" si="63"/>
        <v>81.966013031940065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-2.8421709430404007E-13</v>
      </c>
      <c r="BZ96" s="13">
        <f>BY96*VLOOKUP('Données projet'!$B$12,Paramètres!$A$1:$I$89,3,0)*VLOOKUP('Données projet'!$B$12,Paramètres!$A$1:$I$89,5,0)</f>
        <v>-1.69961822393816E-13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199.27781323742636</v>
      </c>
      <c r="CE96" s="59">
        <f t="shared" si="94"/>
        <v>199.82499536063892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67.481611055276787</v>
      </c>
      <c r="CL96" s="21">
        <f>EXP(-LN(2)/25)*CL95+(1-EXP(-LN(2)/25))/(LN(2)/25)*Calculateur!CG96*Calculateur!CI96*VLOOKUP('Données projet'!$B$12,Paramètres!$A$1:$I$89,3,0)*0.475*44/12</f>
        <v>14.474604921780987</v>
      </c>
      <c r="CM96" s="21">
        <f>EXP(-LN(2)/2)*CM95+(1-EXP(-LN(2)/2))/(LN(2)/2)*CG96*CJ96*VLOOKUP('Données projet'!$B$12,Paramètres!$A$1:$I$89,3,0)*0.475*44/12</f>
        <v>3.4486613332064553E-4</v>
      </c>
      <c r="CN96" s="22">
        <f t="shared" si="66"/>
        <v>81.956560843191099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-3.979039320256561E-13</v>
      </c>
      <c r="CU96" s="17">
        <f>CT96*VLOOKUP('Données projet'!$B$13,Paramètres!$A$1:$I$89,3,0)*VLOOKUP('Données projet'!$B$13,Paramètres!$A$1:$I$89,5,0)</f>
        <v>-2.379465513513424E-13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213.18424462765137</v>
      </c>
      <c r="CZ96" s="59">
        <f t="shared" si="96"/>
        <v>158.77848520346532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109.95975996792015</v>
      </c>
      <c r="DG96" s="21">
        <f>EXP(-LN(2)/25)*DG95+(1-EXP(-LN(2)/25))/(LN(2)/25)*Calculateur!DB96*Calculateur!DD96*VLOOKUP('Données projet'!$B$13,Paramètres!$A$1:$I$89,3,0)*0.475*44/12</f>
        <v>23.860125994224958</v>
      </c>
      <c r="DH96" s="21">
        <f>EXP(-LN(2)/2)*DH95+(1-EXP(-LN(2)/2))/(LN(2)/2)*DB96*DE96*VLOOKUP('Données projet'!$B$13,Paramètres!$A$1:$I$89,3,0)*0.475*44/12</f>
        <v>0.39953105407613115</v>
      </c>
      <c r="DI96" s="22">
        <f t="shared" si="69"/>
        <v>134.21941701622126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8.7211538461538485</v>
      </c>
      <c r="N97" s="13">
        <f>IF('Données projet'!$A$36&gt;35,N96+M97-V96,IF(A97&lt;'Données projet'!$A$36,$K$205^A97,IF(A97='Données projet'!$A$36,'Données projet'!$B$36,N96+M97-V96)))</f>
        <v>372.11346153846216</v>
      </c>
      <c r="O97" s="13">
        <f>N97*VLOOKUP('Données projet'!$B$9,Paramètres!$A$1:$I$89,3,0)*VLOOKUP('Données projet'!$B$9,Paramètres!$A$1:$I$89,5,0)</f>
        <v>174.14910000000029</v>
      </c>
      <c r="P97" s="13">
        <f t="shared" si="87"/>
        <v>44.017975824904859</v>
      </c>
      <c r="Q97" s="20">
        <f t="shared" si="54"/>
        <v>379.97432372837642</v>
      </c>
      <c r="R97" s="59">
        <f t="shared" si="55"/>
        <v>673.30765706170973</v>
      </c>
      <c r="S97" s="59">
        <f ca="1">AVERAGE(OFFSET($R$3,0,0,'Données projet'!$E$9+1,1))-AVERAGE(OFFSET($H$3,0,0,'Données projet'!$E$9+1,1))</f>
        <v>181.79645720099597</v>
      </c>
      <c r="T97" s="59">
        <f t="shared" si="88"/>
        <v>120.20040029102233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43.581757925906238</v>
      </c>
      <c r="AA97" s="21">
        <f>EXP(-LN(2)/25)*AA96+(1-EXP(-LN(2)/25))/(LN(2)/25)*Calculateur!V97*Calculateur!X97*VLOOKUP('Données projet'!$B$9,Paramètres!$A$1:$I$89,3,0)*0.475*44/12</f>
        <v>18.78736601086765</v>
      </c>
      <c r="AB97" s="21">
        <f>EXP(-LN(2)/2)*AB96+(1-EXP(-LN(2)/2))/(LN(2)/2)*V97*Y97*VLOOKUP('Données projet'!$B$9,Paramètres!$A$1:$I$89,3,0)*0.475*44/12</f>
        <v>0.26799487511764347</v>
      </c>
      <c r="AC97" s="22">
        <f t="shared" si="57"/>
        <v>62.637118811891533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253.62342381933348</v>
      </c>
      <c r="AO97" s="59">
        <f t="shared" si="90"/>
        <v>230.93438491775407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130.85287665375634</v>
      </c>
      <c r="AV97" s="21">
        <f>EXP(-LN(2)/25)*AV96+(1-EXP(-LN(2)/25))/(LN(2)/25)*Calculateur!AQ97*Calculateur!AS97*VLOOKUP('Données projet'!$B$10,Paramètres!$A$1:$I$89,3,0)*0.475*44/12</f>
        <v>28.505289656948563</v>
      </c>
      <c r="AW97" s="21">
        <f>EXP(-LN(2)/2)*AW96+(1-EXP(-LN(2)/2))/(LN(2)/2)*AQ97*AT97*VLOOKUP('Données projet'!$B$10,Paramètres!$A$1:$I$89,3,0)*0.475*44/12</f>
        <v>9.7246972239920342E-3</v>
      </c>
      <c r="AX97" s="21">
        <f t="shared" si="60"/>
        <v>159.3678910079289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-5.6843418860808015E-14</v>
      </c>
      <c r="BE97" s="13">
        <f>BD97*VLOOKUP('Données projet'!$B$11,Paramètres!$A$1:$I$89,3,0)*VLOOKUP('Données projet'!$B$11,Paramètres!$A$1:$I$89,5,0)</f>
        <v>-3.3992364478763198E-14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199.27781324660782</v>
      </c>
      <c r="BJ97" s="59">
        <f t="shared" si="92"/>
        <v>199.82499536488524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66.158337821680277</v>
      </c>
      <c r="BQ97" s="21">
        <f>EXP(-LN(2)/25)*BQ96+(1-EXP(-LN(2)/25))/(LN(2)/25)*Calculateur!BL97*Calculateur!BN97*VLOOKUP('Données projet'!$B$11,Paramètres!$A$1:$I$89,3,0)*0.475*44/12</f>
        <v>14.087989807900019</v>
      </c>
      <c r="BR97" s="21">
        <f>EXP(-LN(2)/2)*BR96+(1-EXP(-LN(2)/2))/(LN(2)/2)*BL97*BO97*VLOOKUP('Données projet'!$B$11,Paramètres!$A$1:$I$89,3,0)*0.475*44/12</f>
        <v>2.4385701864821789E-4</v>
      </c>
      <c r="BS97" s="22">
        <f t="shared" si="63"/>
        <v>80.246571486598938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-2.8421709430404007E-13</v>
      </c>
      <c r="BZ97" s="13">
        <f>BY97*VLOOKUP('Données projet'!$B$12,Paramètres!$A$1:$I$89,3,0)*VLOOKUP('Données projet'!$B$12,Paramètres!$A$1:$I$89,5,0)</f>
        <v>-1.69961822393816E-13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199.27781323742636</v>
      </c>
      <c r="CE97" s="59">
        <f t="shared" si="94"/>
        <v>199.82499536063892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66.158337822201375</v>
      </c>
      <c r="CL97" s="21">
        <f>EXP(-LN(2)/25)*CL96+(1-EXP(-LN(2)/25))/(LN(2)/25)*Calculateur!CG97*Calculateur!CI97*VLOOKUP('Données projet'!$B$12,Paramètres!$A$1:$I$89,3,0)*0.475*44/12</f>
        <v>14.078796089008495</v>
      </c>
      <c r="CM97" s="21">
        <f>EXP(-LN(2)/2)*CM96+(1-EXP(-LN(2)/2))/(LN(2)/2)*CG97*CJ97*VLOOKUP('Données projet'!$B$12,Paramètres!$A$1:$I$89,3,0)*0.475*44/12</f>
        <v>2.4385718147261243E-4</v>
      </c>
      <c r="CN97" s="22">
        <f t="shared" si="66"/>
        <v>80.23737776839134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-3.979039320256561E-13</v>
      </c>
      <c r="CU97" s="17">
        <f>CT97*VLOOKUP('Données projet'!$B$13,Paramètres!$A$1:$I$89,3,0)*VLOOKUP('Données projet'!$B$13,Paramètres!$A$1:$I$89,5,0)</f>
        <v>-2.379465513513424E-13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213.18424462765137</v>
      </c>
      <c r="CZ97" s="59">
        <f t="shared" si="96"/>
        <v>158.77848520346532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107.80351614378031</v>
      </c>
      <c r="DG97" s="21">
        <f>EXP(-LN(2)/25)*DG96+(1-EXP(-LN(2)/25))/(LN(2)/25)*Calculateur!DB97*Calculateur!DD97*VLOOKUP('Données projet'!$B$13,Paramètres!$A$1:$I$89,3,0)*0.475*44/12</f>
        <v>23.207669594163384</v>
      </c>
      <c r="DH97" s="21">
        <f>EXP(-LN(2)/2)*DH96+(1-EXP(-LN(2)/2))/(LN(2)/2)*DB97*DE97*VLOOKUP('Données projet'!$B$13,Paramètres!$A$1:$I$89,3,0)*0.475*44/12</f>
        <v>0.28251111763184156</v>
      </c>
      <c r="DI97" s="22">
        <f t="shared" si="69"/>
        <v>131.29369685557555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8.7211538461538485</v>
      </c>
      <c r="N98" s="13">
        <f>IF('Données projet'!$A$36&gt;35,N97+M98-V97,IF(A98&lt;'Données projet'!$A$36,$K$205^A98,IF(A98='Données projet'!$A$36,'Données projet'!$B$36,N97+M98-V97)))</f>
        <v>380.83461538461603</v>
      </c>
      <c r="O98" s="13">
        <f>N98*VLOOKUP('Données projet'!$B$9,Paramètres!$A$1:$I$89,3,0)*VLOOKUP('Données projet'!$B$9,Paramètres!$A$1:$I$89,5,0)</f>
        <v>178.23060000000029</v>
      </c>
      <c r="P98" s="13">
        <f t="shared" si="87"/>
        <v>44.928301223043398</v>
      </c>
      <c r="Q98" s="20">
        <f t="shared" si="54"/>
        <v>388.66841963013439</v>
      </c>
      <c r="R98" s="59">
        <f t="shared" si="55"/>
        <v>682.00175296346765</v>
      </c>
      <c r="S98" s="59">
        <f ca="1">AVERAGE(OFFSET($R$3,0,0,'Données projet'!$E$9+1,1))-AVERAGE(OFFSET($H$3,0,0,'Données projet'!$E$9+1,1))</f>
        <v>181.79645720099597</v>
      </c>
      <c r="T98" s="59">
        <f t="shared" si="88"/>
        <v>120.20040029102233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42.727146235226776</v>
      </c>
      <c r="AA98" s="21">
        <f>EXP(-LN(2)/25)*AA97+(1-EXP(-LN(2)/25))/(LN(2)/25)*Calculateur!V98*Calculateur!X98*VLOOKUP('Données projet'!$B$9,Paramètres!$A$1:$I$89,3,0)*0.475*44/12</f>
        <v>18.273624499315837</v>
      </c>
      <c r="AB98" s="21">
        <f>EXP(-LN(2)/2)*AB97+(1-EXP(-LN(2)/2))/(LN(2)/2)*V98*Y98*VLOOKUP('Données projet'!$B$9,Paramètres!$A$1:$I$89,3,0)*0.475*44/12</f>
        <v>0.18950099351892766</v>
      </c>
      <c r="AC98" s="22">
        <f t="shared" si="57"/>
        <v>61.190271728061539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253.62342381933348</v>
      </c>
      <c r="AO98" s="59">
        <f t="shared" si="90"/>
        <v>230.93438491775407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128.28693155495012</v>
      </c>
      <c r="AV98" s="21">
        <f>EXP(-LN(2)/25)*AV97+(1-EXP(-LN(2)/25))/(LN(2)/25)*Calculateur!AQ98*Calculateur!AS98*VLOOKUP('Données projet'!$B$10,Paramètres!$A$1:$I$89,3,0)*0.475*44/12</f>
        <v>27.72581101225127</v>
      </c>
      <c r="AW98" s="21">
        <f>EXP(-LN(2)/2)*AW97+(1-EXP(-LN(2)/2))/(LN(2)/2)*AQ98*AT98*VLOOKUP('Données projet'!$B$10,Paramètres!$A$1:$I$89,3,0)*0.475*44/12</f>
        <v>6.8763993520707615E-3</v>
      </c>
      <c r="AX98" s="21">
        <f t="shared" si="60"/>
        <v>156.01961896655345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-5.6843418860808015E-14</v>
      </c>
      <c r="BE98" s="13">
        <f>BD98*VLOOKUP('Données projet'!$B$11,Paramètres!$A$1:$I$89,3,0)*VLOOKUP('Données projet'!$B$11,Paramètres!$A$1:$I$89,5,0)</f>
        <v>-3.3992364478763198E-14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199.27781324660782</v>
      </c>
      <c r="BJ98" s="59">
        <f t="shared" si="92"/>
        <v>199.82499536488524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64.861013169598706</v>
      </c>
      <c r="BQ98" s="21">
        <f>EXP(-LN(2)/25)*BQ97+(1-EXP(-LN(2)/25))/(LN(2)/25)*Calculateur!BL98*Calculateur!BN98*VLOOKUP('Données projet'!$B$11,Paramètres!$A$1:$I$89,3,0)*0.475*44/12</f>
        <v>13.702752985747807</v>
      </c>
      <c r="BR98" s="21">
        <f>EXP(-LN(2)/2)*BR97+(1-EXP(-LN(2)/2))/(LN(2)/2)*BL98*BO98*VLOOKUP('Données projet'!$B$11,Paramètres!$A$1:$I$89,3,0)*0.475*44/12</f>
        <v>1.7243295152608926E-4</v>
      </c>
      <c r="BS98" s="22">
        <f t="shared" si="63"/>
        <v>78.563938588298043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-2.8421709430404007E-13</v>
      </c>
      <c r="BZ98" s="13">
        <f>BY98*VLOOKUP('Données projet'!$B$12,Paramètres!$A$1:$I$89,3,0)*VLOOKUP('Données projet'!$B$12,Paramètres!$A$1:$I$89,5,0)</f>
        <v>-1.69961822393816E-13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199.27781323742636</v>
      </c>
      <c r="CE98" s="59">
        <f t="shared" si="94"/>
        <v>199.82499536063892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64.861013170109587</v>
      </c>
      <c r="CL98" s="21">
        <f>EXP(-LN(2)/25)*CL97+(1-EXP(-LN(2)/25))/(LN(2)/25)*Calculateur!CG98*Calculateur!CI98*VLOOKUP('Données projet'!$B$12,Paramètres!$A$1:$I$89,3,0)*0.475*44/12</f>
        <v>13.693810669582849</v>
      </c>
      <c r="CM98" s="21">
        <f>EXP(-LN(2)/2)*CM97+(1-EXP(-LN(2)/2))/(LN(2)/2)*CG98*CJ98*VLOOKUP('Données projet'!$B$12,Paramètres!$A$1:$I$89,3,0)*0.475*44/12</f>
        <v>1.7243306666032279E-4</v>
      </c>
      <c r="CN98" s="22">
        <f t="shared" si="66"/>
        <v>78.554996272759098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-3.979039320256561E-13</v>
      </c>
      <c r="CU98" s="17">
        <f>CT98*VLOOKUP('Données projet'!$B$13,Paramètres!$A$1:$I$89,3,0)*VLOOKUP('Données projet'!$B$13,Paramètres!$A$1:$I$89,5,0)</f>
        <v>-2.379465513513424E-13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213.18424462765137</v>
      </c>
      <c r="CZ98" s="59">
        <f t="shared" si="96"/>
        <v>158.77848520346532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105.68955494585299</v>
      </c>
      <c r="DG98" s="21">
        <f>EXP(-LN(2)/25)*DG97+(1-EXP(-LN(2)/25))/(LN(2)/25)*Calculateur!DB98*Calculateur!DD98*VLOOKUP('Données projet'!$B$13,Paramètres!$A$1:$I$89,3,0)*0.475*44/12</f>
        <v>22.573054648672684</v>
      </c>
      <c r="DH98" s="21">
        <f>EXP(-LN(2)/2)*DH97+(1-EXP(-LN(2)/2))/(LN(2)/2)*DB98*DE98*VLOOKUP('Données projet'!$B$13,Paramètres!$A$1:$I$89,3,0)*0.475*44/12</f>
        <v>0.19976552703806558</v>
      </c>
      <c r="DI98" s="22">
        <f t="shared" si="69"/>
        <v>128.46237512156375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8.7211538461538485</v>
      </c>
      <c r="N99" s="13">
        <f>IF('Données projet'!$A$36&gt;35,N98+M99-V98,IF(A99&lt;'Données projet'!$A$36,$K$205^A99,IF(A99='Données projet'!$A$36,'Données projet'!$B$36,N98+M99-V98)))</f>
        <v>389.5557692307699</v>
      </c>
      <c r="O99" s="13">
        <f>N99*VLOOKUP('Données projet'!$B$9,Paramètres!$A$1:$I$89,3,0)*VLOOKUP('Données projet'!$B$9,Paramètres!$A$1:$I$89,5,0)</f>
        <v>182.31210000000033</v>
      </c>
      <c r="P99" s="13">
        <f t="shared" si="87"/>
        <v>45.836203090068118</v>
      </c>
      <c r="Q99" s="20">
        <f t="shared" ref="Q99:Q130" si="107">(O99+P99)*0.475*44/12</f>
        <v>397.35829454853587</v>
      </c>
      <c r="R99" s="59">
        <f t="shared" si="55"/>
        <v>690.69162788186918</v>
      </c>
      <c r="S99" s="59">
        <f ca="1">AVERAGE(OFFSET($R$3,0,0,'Données projet'!$E$9+1,1))-AVERAGE(OFFSET($H$3,0,0,'Données projet'!$E$9+1,1))</f>
        <v>181.79645720099597</v>
      </c>
      <c r="T99" s="59">
        <f t="shared" si="88"/>
        <v>120.20040029102233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41.889292958539876</v>
      </c>
      <c r="AA99" s="21">
        <f>EXP(-LN(2)/25)*AA98+(1-EXP(-LN(2)/25))/(LN(2)/25)*Calculateur!V99*Calculateur!X99*VLOOKUP('Données projet'!$B$9,Paramètres!$A$1:$I$89,3,0)*0.475*44/12</f>
        <v>17.773931276413897</v>
      </c>
      <c r="AB99" s="21">
        <f>EXP(-LN(2)/2)*AB98+(1-EXP(-LN(2)/2))/(LN(2)/2)*V99*Y99*VLOOKUP('Données projet'!$B$9,Paramètres!$A$1:$I$89,3,0)*0.475*44/12</f>
        <v>0.13399743755882174</v>
      </c>
      <c r="AC99" s="22">
        <f t="shared" si="57"/>
        <v>59.797221672512592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253.62342381933348</v>
      </c>
      <c r="AO99" s="59">
        <f t="shared" si="90"/>
        <v>230.93438491775407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125.77130307445951</v>
      </c>
      <c r="AV99" s="21">
        <f>EXP(-LN(2)/25)*AV98+(1-EXP(-LN(2)/25))/(LN(2)/25)*Calculateur!AQ99*Calculateur!AS99*VLOOKUP('Données projet'!$B$10,Paramètres!$A$1:$I$89,3,0)*0.475*44/12</f>
        <v>26.967647252084227</v>
      </c>
      <c r="AW99" s="21">
        <f>EXP(-LN(2)/2)*AW98+(1-EXP(-LN(2)/2))/(LN(2)/2)*AQ99*AT99*VLOOKUP('Données projet'!$B$10,Paramètres!$A$1:$I$89,3,0)*0.475*44/12</f>
        <v>4.8623486119960171E-3</v>
      </c>
      <c r="AX99" s="21">
        <f t="shared" si="60"/>
        <v>152.74381267515574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-5.6843418860808015E-14</v>
      </c>
      <c r="BE99" s="13">
        <f>BD99*VLOOKUP('Données projet'!$B$11,Paramètres!$A$1:$I$89,3,0)*VLOOKUP('Données projet'!$B$11,Paramètres!$A$1:$I$89,5,0)</f>
        <v>-3.3992364478763198E-14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199.27781324660782</v>
      </c>
      <c r="BJ99" s="59">
        <f t="shared" si="92"/>
        <v>199.82499536488524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63.589128262654555</v>
      </c>
      <c r="BQ99" s="21">
        <f>EXP(-LN(2)/25)*BQ98+(1-EXP(-LN(2)/25))/(LN(2)/25)*Calculateur!BL99*Calculateur!BN99*VLOOKUP('Données projet'!$B$11,Paramètres!$A$1:$I$89,3,0)*0.475*44/12</f>
        <v>13.328050484756073</v>
      </c>
      <c r="BR99" s="21">
        <f>EXP(-LN(2)/2)*BR98+(1-EXP(-LN(2)/2))/(LN(2)/2)*BL99*BO99*VLOOKUP('Données projet'!$B$11,Paramètres!$A$1:$I$89,3,0)*0.475*44/12</f>
        <v>1.2192850932410896E-4</v>
      </c>
      <c r="BS99" s="22">
        <f t="shared" si="63"/>
        <v>76.917300675919961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-2.8421709430404007E-13</v>
      </c>
      <c r="BZ99" s="13">
        <f>BY99*VLOOKUP('Données projet'!$B$12,Paramètres!$A$1:$I$89,3,0)*VLOOKUP('Données projet'!$B$12,Paramètres!$A$1:$I$89,5,0)</f>
        <v>-1.69961822393816E-13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199.27781323742636</v>
      </c>
      <c r="CE99" s="59">
        <f t="shared" si="94"/>
        <v>199.82499536063892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63.589128263155416</v>
      </c>
      <c r="CL99" s="21">
        <f>EXP(-LN(2)/25)*CL98+(1-EXP(-LN(2)/25))/(LN(2)/25)*Calculateur!CG99*Calculateur!CI99*VLOOKUP('Données projet'!$B$12,Paramètres!$A$1:$I$89,3,0)*0.475*44/12</f>
        <v>13.3193526966969</v>
      </c>
      <c r="CM99" s="21">
        <f>EXP(-LN(2)/2)*CM98+(1-EXP(-LN(2)/2))/(LN(2)/2)*CG99*CJ99*VLOOKUP('Données projet'!$B$12,Paramètres!$A$1:$I$89,3,0)*0.475*44/12</f>
        <v>1.2192859073630624E-4</v>
      </c>
      <c r="CN99" s="22">
        <f t="shared" si="66"/>
        <v>76.908602888443042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-3.979039320256561E-13</v>
      </c>
      <c r="CU99" s="17">
        <f>CT99*VLOOKUP('Données projet'!$B$13,Paramètres!$A$1:$I$89,3,0)*VLOOKUP('Données projet'!$B$13,Paramètres!$A$1:$I$89,5,0)</f>
        <v>-2.379465513513424E-13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213.18424462765137</v>
      </c>
      <c r="CZ99" s="59">
        <f t="shared" si="96"/>
        <v>158.77848520346532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103.61704723762801</v>
      </c>
      <c r="DG99" s="21">
        <f>EXP(-LN(2)/25)*DG98+(1-EXP(-LN(2)/25))/(LN(2)/25)*Calculateur!DB99*Calculateur!DD99*VLOOKUP('Données projet'!$B$13,Paramètres!$A$1:$I$89,3,0)*0.475*44/12</f>
        <v>21.955793282239377</v>
      </c>
      <c r="DH99" s="21">
        <f>EXP(-LN(2)/2)*DH98+(1-EXP(-LN(2)/2))/(LN(2)/2)*DB99*DE99*VLOOKUP('Données projet'!$B$13,Paramètres!$A$1:$I$89,3,0)*0.475*44/12</f>
        <v>0.14125555881592078</v>
      </c>
      <c r="DI99" s="22">
        <f t="shared" si="69"/>
        <v>125.7140960786833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>
        <f>VLOOKUP(A100,'Données projet'!$A$35:$I$55,2,0)</f>
        <v>398.27692307692308</v>
      </c>
      <c r="L100" s="12">
        <f>VLOOKUP(A100,'Données projet'!$A$35:$I$55,9,0)</f>
        <v>8.7211538461538485</v>
      </c>
      <c r="M100" s="12">
        <f t="array" ref="M100">INDEX(L:L,MIN(IF(ISNUMBER(L100:L296),ROW(L100:L296),"")))</f>
        <v>8.7211538461538485</v>
      </c>
      <c r="N100" s="13">
        <f>IF('Données projet'!$A$36&gt;35,N99+M100-V99,IF(A100&lt;'Données projet'!$A$36,$K$205^A100,IF(A100='Données projet'!$A$36,'Données projet'!$B$36,N99+M100-V99)))</f>
        <v>398.27692307692377</v>
      </c>
      <c r="O100" s="13">
        <f>N100*VLOOKUP('Données projet'!$B$9,Paramètres!$A$1:$I$89,3,0)*VLOOKUP('Données projet'!$B$9,Paramètres!$A$1:$I$89,5,0)</f>
        <v>186.39360000000033</v>
      </c>
      <c r="P100" s="13">
        <f t="shared" si="87"/>
        <v>46.741741929451443</v>
      </c>
      <c r="Q100" s="20">
        <f t="shared" si="107"/>
        <v>406.04405386046182</v>
      </c>
      <c r="R100" s="59">
        <f t="shared" si="55"/>
        <v>699.37738719379513</v>
      </c>
      <c r="S100" s="59">
        <f ca="1">AVERAGE(OFFSET($R$3,0,0,'Données projet'!$E$9+1,1))-AVERAGE(OFFSET($H$3,0,0,'Données projet'!$E$9+1,1))</f>
        <v>181.79645720099597</v>
      </c>
      <c r="T100" s="59">
        <f t="shared" si="88"/>
        <v>120.20040029102233</v>
      </c>
      <c r="U100" s="15">
        <f>IF(ISNA(VLOOKUP(A100,'Données projet'!$A$35:$I$55,3,0)),0,VLOOKUP(A100,'Données projet'!$A$35:$I$55,3,0))</f>
        <v>5</v>
      </c>
      <c r="V100" s="15">
        <f>IF(ISNA(VLOOKUP(A100,'Données projet'!$A$35:$I$55,4,0)),0,VLOOKUP(A100,'Données projet'!$A$35:$I$55,4,0))</f>
        <v>79.669230769230765</v>
      </c>
      <c r="W100" s="16">
        <f>IF(ISNA(VLOOKUP(A100,'Données projet'!$A$35:$I$55,5,0)),0%,VLOOKUP(A100,'Données projet'!$A$35:$I$55,5,0)*VLOOKUP('Données projet'!$B$9,Paramètres!$A$1:$I$89,7,0))</f>
        <v>0.38500000000000001</v>
      </c>
      <c r="X100" s="16">
        <f>IF(ISNA(VLOOKUP(A100,'Données projet'!$A$35:$I$55,6,0)),0%,VLOOKUP(A100,'Données projet'!$A$35:$I$55,6,0)*VLOOKUP('Données projet'!$B$9,Paramètres!$A$1:$I$89,7,0))</f>
        <v>9.240000000000001E-2</v>
      </c>
      <c r="Y100" s="16">
        <f>IF(ISNA(VLOOKUP(A100,'Données projet'!$A$35:$I$55,7,0)),0%,VLOOKUP(A100,'Données projet'!$A$35:$I$55,7,0))</f>
        <v>0.13200000000000001</v>
      </c>
      <c r="Z100" s="21">
        <f>EXP(-LN(2)/35)*Z99+(1-EXP(-LN(2)/35))/(LN(2)/35)*V100*W100*VLOOKUP('Données projet'!$B$9,Paramètres!$A$1:$I$89,3,0)*0.475*44/12</f>
        <v>60.110439571641187</v>
      </c>
      <c r="AA100" s="21">
        <f>EXP(-LN(2)/25)*AA99+(1-EXP(-LN(2)/25))/(LN(2)/25)*Calculateur!V100*Calculateur!X100*VLOOKUP('Données projet'!$B$9,Paramètres!$A$1:$I$89,3,0)*0.475*44/12</f>
        <v>21.84012432948392</v>
      </c>
      <c r="AB100" s="21">
        <f>EXP(-LN(2)/2)*AB99+(1-EXP(-LN(2)/2))/(LN(2)/2)*V100*Y100*VLOOKUP('Données projet'!$B$9,Paramètres!$A$1:$I$89,3,0)*0.475*44/12</f>
        <v>5.6671975078443229</v>
      </c>
      <c r="AC100" s="22">
        <f t="shared" si="57"/>
        <v>87.617761408969429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253.62342381933348</v>
      </c>
      <c r="AO100" s="59">
        <f t="shared" si="90"/>
        <v>230.93438491775407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123.30500453408946</v>
      </c>
      <c r="AV100" s="21">
        <f>EXP(-LN(2)/25)*AV99+(1-EXP(-LN(2)/25))/(LN(2)/25)*Calculateur!AQ100*Calculateur!AS100*VLOOKUP('Données projet'!$B$10,Paramètres!$A$1:$I$89,3,0)*0.475*44/12</f>
        <v>26.23021551980905</v>
      </c>
      <c r="AW100" s="21">
        <f>EXP(-LN(2)/2)*AW99+(1-EXP(-LN(2)/2))/(LN(2)/2)*AQ100*AT100*VLOOKUP('Données projet'!$B$10,Paramètres!$A$1:$I$89,3,0)*0.475*44/12</f>
        <v>3.4381996760353807E-3</v>
      </c>
      <c r="AX100" s="21">
        <f t="shared" si="60"/>
        <v>149.53865825357454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-5.6843418860808015E-14</v>
      </c>
      <c r="BE100" s="13">
        <f>BD100*VLOOKUP('Données projet'!$B$11,Paramètres!$A$1:$I$89,3,0)*VLOOKUP('Données projet'!$B$11,Paramètres!$A$1:$I$89,5,0)</f>
        <v>-3.3992364478763198E-14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199.27781324660782</v>
      </c>
      <c r="BJ100" s="59">
        <f t="shared" si="92"/>
        <v>199.82499536488524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62.342184242962382</v>
      </c>
      <c r="BQ100" s="21">
        <f>EXP(-LN(2)/25)*BQ99+(1-EXP(-LN(2)/25))/(LN(2)/25)*Calculateur!BL100*Calculateur!BN100*VLOOKUP('Données projet'!$B$11,Paramètres!$A$1:$I$89,3,0)*0.475*44/12</f>
        <v>12.963594243358704</v>
      </c>
      <c r="BR100" s="21">
        <f>EXP(-LN(2)/2)*BR99+(1-EXP(-LN(2)/2))/(LN(2)/2)*BL100*BO100*VLOOKUP('Données projet'!$B$11,Paramètres!$A$1:$I$89,3,0)*0.475*44/12</f>
        <v>8.6216475763044645E-5</v>
      </c>
      <c r="BS100" s="22">
        <f t="shared" si="63"/>
        <v>75.305864702796853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-2.8421709430404007E-13</v>
      </c>
      <c r="BZ100" s="13">
        <f>BY100*VLOOKUP('Données projet'!$B$12,Paramètres!$A$1:$I$89,3,0)*VLOOKUP('Données projet'!$B$12,Paramètres!$A$1:$I$89,5,0)</f>
        <v>-1.69961822393816E-13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199.27781323742636</v>
      </c>
      <c r="CE100" s="59">
        <f t="shared" si="94"/>
        <v>199.82499536063892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62.342184243453424</v>
      </c>
      <c r="CL100" s="21">
        <f>EXP(-LN(2)/25)*CL99+(1-EXP(-LN(2)/25))/(LN(2)/25)*Calculateur!CG100*Calculateur!CI100*VLOOKUP('Données projet'!$B$12,Paramètres!$A$1:$I$89,3,0)*0.475*44/12</f>
        <v>12.955134296771407</v>
      </c>
      <c r="CM100" s="21">
        <f>EXP(-LN(2)/2)*CM99+(1-EXP(-LN(2)/2))/(LN(2)/2)*CG100*CJ100*VLOOKUP('Données projet'!$B$12,Paramètres!$A$1:$I$89,3,0)*0.475*44/12</f>
        <v>8.6216533330161409E-5</v>
      </c>
      <c r="CN100" s="22">
        <f t="shared" si="66"/>
        <v>75.297404756758169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-3.979039320256561E-13</v>
      </c>
      <c r="CU100" s="17">
        <f>CT100*VLOOKUP('Données projet'!$B$13,Paramètres!$A$1:$I$89,3,0)*VLOOKUP('Données projet'!$B$13,Paramètres!$A$1:$I$89,5,0)</f>
        <v>-2.379465513513424E-13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213.18424462765137</v>
      </c>
      <c r="CZ100" s="59">
        <f t="shared" si="96"/>
        <v>158.77848520346532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101.58518014145645</v>
      </c>
      <c r="DG100" s="21">
        <f>EXP(-LN(2)/25)*DG99+(1-EXP(-LN(2)/25))/(LN(2)/25)*Calculateur!DB100*Calculateur!DD100*VLOOKUP('Données projet'!$B$13,Paramètres!$A$1:$I$89,3,0)*0.475*44/12</f>
        <v>21.355410960331554</v>
      </c>
      <c r="DH100" s="21">
        <f>EXP(-LN(2)/2)*DH99+(1-EXP(-LN(2)/2))/(LN(2)/2)*DB100*DE100*VLOOKUP('Données projet'!$B$13,Paramètres!$A$1:$I$89,3,0)*0.475*44/12</f>
        <v>9.9882763519032788E-2</v>
      </c>
      <c r="DI100" s="22">
        <f t="shared" si="69"/>
        <v>123.04047386530704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7.882692307692305</v>
      </c>
      <c r="N101" s="13">
        <f>IF('Données projet'!$A$36&gt;35,N100+M101-V100,IF(A101&lt;'Données projet'!$A$36,$K$205^A101,IF(A101='Données projet'!$A$36,'Données projet'!$B$36,N100+M101-V100)))</f>
        <v>326.49038461538532</v>
      </c>
      <c r="O101" s="13">
        <f>N101*VLOOKUP('Données projet'!$B$9,Paramètres!$A$1:$I$89,3,0)*VLOOKUP('Données projet'!$B$9,Paramètres!$A$1:$I$89,5,0)</f>
        <v>152.79750000000033</v>
      </c>
      <c r="P101" s="13">
        <f t="shared" si="87"/>
        <v>39.213642223408968</v>
      </c>
      <c r="Q101" s="20">
        <f t="shared" si="107"/>
        <v>334.41940603910456</v>
      </c>
      <c r="R101" s="59">
        <f t="shared" si="55"/>
        <v>627.75273937243787</v>
      </c>
      <c r="S101" s="59">
        <f ca="1">AVERAGE(OFFSET($R$3,0,0,'Données projet'!$E$9+1,1))-AVERAGE(OFFSET($H$3,0,0,'Données projet'!$E$9+1,1))</f>
        <v>181.79645720099597</v>
      </c>
      <c r="T101" s="59">
        <f t="shared" si="88"/>
        <v>120.20040029102233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58.931710515389199</v>
      </c>
      <c r="AA101" s="21">
        <f>EXP(-LN(2)/25)*AA100+(1-EXP(-LN(2)/25))/(LN(2)/25)*Calculateur!V101*Calculateur!X101*VLOOKUP('Données projet'!$B$9,Paramètres!$A$1:$I$89,3,0)*0.475*44/12</f>
        <v>21.242904981171961</v>
      </c>
      <c r="AB101" s="21">
        <f>EXP(-LN(2)/2)*AB100+(1-EXP(-LN(2)/2))/(LN(2)/2)*V101*Y101*VLOOKUP('Données projet'!$B$9,Paramètres!$A$1:$I$89,3,0)*0.475*44/12</f>
        <v>4.0073137881202232</v>
      </c>
      <c r="AC101" s="22">
        <f t="shared" si="57"/>
        <v>84.181929284681388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253.62342381933348</v>
      </c>
      <c r="AO101" s="59">
        <f t="shared" si="90"/>
        <v>230.93438491775407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120.8870686038025</v>
      </c>
      <c r="AV101" s="21">
        <f>EXP(-LN(2)/25)*AV100+(1-EXP(-LN(2)/25))/(LN(2)/25)*Calculateur!AQ101*Calculateur!AS101*VLOOKUP('Données projet'!$B$10,Paramètres!$A$1:$I$89,3,0)*0.475*44/12</f>
        <v>25.512948897032789</v>
      </c>
      <c r="AW101" s="21">
        <f>EXP(-LN(2)/2)*AW100+(1-EXP(-LN(2)/2))/(LN(2)/2)*AQ101*AT101*VLOOKUP('Données projet'!$B$10,Paramètres!$A$1:$I$89,3,0)*0.475*44/12</f>
        <v>2.4311743059980085E-3</v>
      </c>
      <c r="AX101" s="21">
        <f t="shared" si="60"/>
        <v>146.4024486751413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-5.6843418860808015E-14</v>
      </c>
      <c r="BE101" s="13">
        <f>BD101*VLOOKUP('Données projet'!$B$11,Paramètres!$A$1:$I$89,3,0)*VLOOKUP('Données projet'!$B$11,Paramètres!$A$1:$I$89,5,0)</f>
        <v>-3.3992364478763198E-14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199.27781324660782</v>
      </c>
      <c r="BJ101" s="59">
        <f t="shared" si="92"/>
        <v>199.82499536488524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61.119692034935625</v>
      </c>
      <c r="BQ101" s="21">
        <f>EXP(-LN(2)/25)*BQ100+(1-EXP(-LN(2)/25))/(LN(2)/25)*Calculateur!BL101*Calculateur!BN101*VLOOKUP('Données projet'!$B$11,Paramètres!$A$1:$I$89,3,0)*0.475*44/12</f>
        <v>12.609104077048269</v>
      </c>
      <c r="BR101" s="21">
        <f>EXP(-LN(2)/2)*BR100+(1-EXP(-LN(2)/2))/(LN(2)/2)*BL101*BO101*VLOOKUP('Données projet'!$B$11,Paramètres!$A$1:$I$89,3,0)*0.475*44/12</f>
        <v>6.0964254662054493E-5</v>
      </c>
      <c r="BS101" s="22">
        <f t="shared" si="63"/>
        <v>73.728857076238555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-2.8421709430404007E-13</v>
      </c>
      <c r="BZ101" s="13">
        <f>BY101*VLOOKUP('Données projet'!$B$12,Paramètres!$A$1:$I$89,3,0)*VLOOKUP('Données projet'!$B$12,Paramètres!$A$1:$I$89,5,0)</f>
        <v>-1.69961822393816E-13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199.27781323742636</v>
      </c>
      <c r="CE101" s="59">
        <f t="shared" si="94"/>
        <v>199.82499536063892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61.119692035417039</v>
      </c>
      <c r="CL101" s="21">
        <f>EXP(-LN(2)/25)*CL100+(1-EXP(-LN(2)/25))/(LN(2)/25)*Calculateur!CG101*Calculateur!CI101*VLOOKUP('Données projet'!$B$12,Paramètres!$A$1:$I$89,3,0)*0.475*44/12</f>
        <v>12.60087546814529</v>
      </c>
      <c r="CM101" s="21">
        <f>EXP(-LN(2)/2)*CM100+(1-EXP(-LN(2)/2))/(LN(2)/2)*CG101*CJ101*VLOOKUP('Données projet'!$B$12,Paramètres!$A$1:$I$89,3,0)*0.475*44/12</f>
        <v>6.0964295368153128E-5</v>
      </c>
      <c r="CN101" s="22">
        <f t="shared" si="66"/>
        <v>73.720628467857708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-3.979039320256561E-13</v>
      </c>
      <c r="CU101" s="17">
        <f>CT101*VLOOKUP('Données projet'!$B$13,Paramètres!$A$1:$I$89,3,0)*VLOOKUP('Données projet'!$B$13,Paramètres!$A$1:$I$89,5,0)</f>
        <v>-2.379465513513424E-13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213.18424462765137</v>
      </c>
      <c r="CZ101" s="59">
        <f t="shared" si="96"/>
        <v>158.77848520346532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99.593156719724249</v>
      </c>
      <c r="DG101" s="21">
        <f>EXP(-LN(2)/25)*DG100+(1-EXP(-LN(2)/25))/(LN(2)/25)*Calculateur!DB101*Calculateur!DD101*VLOOKUP('Données projet'!$B$13,Paramètres!$A$1:$I$89,3,0)*0.475*44/12</f>
        <v>20.771446124589033</v>
      </c>
      <c r="DH101" s="21">
        <f>EXP(-LN(2)/2)*DH100+(1-EXP(-LN(2)/2))/(LN(2)/2)*DB101*DE101*VLOOKUP('Données projet'!$B$13,Paramètres!$A$1:$I$89,3,0)*0.475*44/12</f>
        <v>7.0627779407960389E-2</v>
      </c>
      <c r="DI101" s="22">
        <f t="shared" si="69"/>
        <v>120.43523062372124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7.882692307692305</v>
      </c>
      <c r="N102" s="13">
        <f>IF('Données projet'!$A$36&gt;35,N101+M102-V101,IF(A102&lt;'Données projet'!$A$36,$K$205^A102,IF(A102='Données projet'!$A$36,'Données projet'!$B$36,N101+M102-V101)))</f>
        <v>334.37307692307763</v>
      </c>
      <c r="O102" s="13">
        <f>N102*VLOOKUP('Données projet'!$B$9,Paramètres!$A$1:$I$89,3,0)*VLOOKUP('Données projet'!$B$9,Paramètres!$A$1:$I$89,5,0)</f>
        <v>156.48660000000032</v>
      </c>
      <c r="P102" s="13">
        <f t="shared" si="87"/>
        <v>40.049037096609261</v>
      </c>
      <c r="Q102" s="20">
        <f t="shared" si="107"/>
        <v>342.29956794326159</v>
      </c>
      <c r="R102" s="59">
        <f t="shared" si="55"/>
        <v>635.63290127659491</v>
      </c>
      <c r="S102" s="59">
        <f ca="1">AVERAGE(OFFSET($R$3,0,0,'Données projet'!$E$9+1,1))-AVERAGE(OFFSET($H$3,0,0,'Données projet'!$E$9+1,1))</f>
        <v>181.79645720099597</v>
      </c>
      <c r="T102" s="59">
        <f t="shared" si="88"/>
        <v>120.20040029102233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57.776095616976576</v>
      </c>
      <c r="AA102" s="21">
        <f>EXP(-LN(2)/25)*AA101+(1-EXP(-LN(2)/25))/(LN(2)/25)*Calculateur!V102*Calculateur!X102*VLOOKUP('Données projet'!$B$9,Paramètres!$A$1:$I$89,3,0)*0.475*44/12</f>
        <v>20.662016627345992</v>
      </c>
      <c r="AB102" s="21">
        <f>EXP(-LN(2)/2)*AB101+(1-EXP(-LN(2)/2))/(LN(2)/2)*V102*Y102*VLOOKUP('Données projet'!$B$9,Paramètres!$A$1:$I$89,3,0)*0.475*44/12</f>
        <v>2.8335987539221619</v>
      </c>
      <c r="AC102" s="22">
        <f t="shared" si="57"/>
        <v>81.271710998244728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253.62342381933348</v>
      </c>
      <c r="AO102" s="59">
        <f t="shared" si="90"/>
        <v>230.93438491775407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118.51654692231317</v>
      </c>
      <c r="AV102" s="21">
        <f>EXP(-LN(2)/25)*AV101+(1-EXP(-LN(2)/25))/(LN(2)/25)*Calculateur!AQ102*Calculateur!AS102*VLOOKUP('Données projet'!$B$10,Paramètres!$A$1:$I$89,3,0)*0.475*44/12</f>
        <v>24.815295967775757</v>
      </c>
      <c r="AW102" s="21">
        <f>EXP(-LN(2)/2)*AW101+(1-EXP(-LN(2)/2))/(LN(2)/2)*AQ102*AT102*VLOOKUP('Données projet'!$B$10,Paramètres!$A$1:$I$89,3,0)*0.475*44/12</f>
        <v>1.7190998380176904E-3</v>
      </c>
      <c r="AX102" s="21">
        <f t="shared" si="60"/>
        <v>143.33356198992695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-5.6843418860808015E-14</v>
      </c>
      <c r="BE102" s="13">
        <f>BD102*VLOOKUP('Données projet'!$B$11,Paramètres!$A$1:$I$89,3,0)*VLOOKUP('Données projet'!$B$11,Paramètres!$A$1:$I$89,5,0)</f>
        <v>-3.3992364478763198E-14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199.27781324660782</v>
      </c>
      <c r="BJ102" s="59">
        <f t="shared" si="92"/>
        <v>199.82499536488524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59.921172153461647</v>
      </c>
      <c r="BQ102" s="21">
        <f>EXP(-LN(2)/25)*BQ101+(1-EXP(-LN(2)/25))/(LN(2)/25)*Calculateur!BL102*Calculateur!BN102*VLOOKUP('Données projet'!$B$11,Paramètres!$A$1:$I$89,3,0)*0.475*44/12</f>
        <v>12.264307462977419</v>
      </c>
      <c r="BR102" s="21">
        <f>EXP(-LN(2)/2)*BR101+(1-EXP(-LN(2)/2))/(LN(2)/2)*BL102*BO102*VLOOKUP('Données projet'!$B$11,Paramètres!$A$1:$I$89,3,0)*0.475*44/12</f>
        <v>4.3108237881522329E-5</v>
      </c>
      <c r="BS102" s="22">
        <f t="shared" si="63"/>
        <v>72.185522724676943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-2.8421709430404007E-13</v>
      </c>
      <c r="BZ102" s="13">
        <f>BY102*VLOOKUP('Données projet'!$B$12,Paramètres!$A$1:$I$89,3,0)*VLOOKUP('Données projet'!$B$12,Paramètres!$A$1:$I$89,5,0)</f>
        <v>-1.69961822393816E-13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199.27781323742636</v>
      </c>
      <c r="CE102" s="59">
        <f t="shared" si="94"/>
        <v>199.82499536063892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59.921172153933625</v>
      </c>
      <c r="CL102" s="21">
        <f>EXP(-LN(2)/25)*CL101+(1-EXP(-LN(2)/25))/(LN(2)/25)*Calculateur!CG102*Calculateur!CI102*VLOOKUP('Données projet'!$B$12,Paramètres!$A$1:$I$89,3,0)*0.475*44/12</f>
        <v>12.256303865817616</v>
      </c>
      <c r="CM102" s="21">
        <f>EXP(-LN(2)/2)*CM101+(1-EXP(-LN(2)/2))/(LN(2)/2)*CG102*CJ102*VLOOKUP('Données projet'!$B$12,Paramètres!$A$1:$I$89,3,0)*0.475*44/12</f>
        <v>4.3108266665080711E-5</v>
      </c>
      <c r="CN102" s="22">
        <f t="shared" si="66"/>
        <v>72.177519128017906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-3.979039320256561E-13</v>
      </c>
      <c r="CU102" s="17">
        <f>CT102*VLOOKUP('Données projet'!$B$13,Paramètres!$A$1:$I$89,3,0)*VLOOKUP('Données projet'!$B$13,Paramètres!$A$1:$I$89,5,0)</f>
        <v>-2.379465513513424E-13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213.18424462765137</v>
      </c>
      <c r="CZ102" s="59">
        <f t="shared" si="96"/>
        <v>158.77848520346532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97.640195662277904</v>
      </c>
      <c r="DG102" s="21">
        <f>EXP(-LN(2)/25)*DG101+(1-EXP(-LN(2)/25))/(LN(2)/25)*Calculateur!DB102*Calculateur!DD102*VLOOKUP('Données projet'!$B$13,Paramètres!$A$1:$I$89,3,0)*0.475*44/12</f>
        <v>20.203449837989268</v>
      </c>
      <c r="DH102" s="21">
        <f>EXP(-LN(2)/2)*DH101+(1-EXP(-LN(2)/2))/(LN(2)/2)*DB102*DE102*VLOOKUP('Données projet'!$B$13,Paramètres!$A$1:$I$89,3,0)*0.475*44/12</f>
        <v>4.9941381759516394E-2</v>
      </c>
      <c r="DI102" s="22">
        <f t="shared" si="69"/>
        <v>117.89358688202668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7.882692307692305</v>
      </c>
      <c r="N103" s="13">
        <f>IF('Données projet'!$A$36&gt;35,N102+M103-V102,IF(A103&lt;'Données projet'!$A$36,$K$205^A103,IF(A103='Données projet'!$A$36,'Données projet'!$B$36,N102+M103-V102)))</f>
        <v>342.25576923076994</v>
      </c>
      <c r="O103" s="13">
        <f>N103*VLOOKUP('Données projet'!$B$9,Paramètres!$A$1:$I$89,3,0)*VLOOKUP('Données projet'!$B$9,Paramètres!$A$1:$I$89,5,0)</f>
        <v>160.17570000000035</v>
      </c>
      <c r="P103" s="13">
        <f t="shared" si="87"/>
        <v>40.882142500403575</v>
      </c>
      <c r="Q103" s="20">
        <f t="shared" si="107"/>
        <v>350.17574235487018</v>
      </c>
      <c r="R103" s="59">
        <f t="shared" si="55"/>
        <v>643.50907568820344</v>
      </c>
      <c r="S103" s="59">
        <f ca="1">AVERAGE(OFFSET($R$3,0,0,'Données projet'!$E$9+1,1))-AVERAGE(OFFSET($H$3,0,0,'Données projet'!$E$9+1,1))</f>
        <v>181.79645720099597</v>
      </c>
      <c r="T103" s="59">
        <f t="shared" si="88"/>
        <v>120.20040029102233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56.643141621866334</v>
      </c>
      <c r="AA103" s="21">
        <f>EXP(-LN(2)/25)*AA102+(1-EXP(-LN(2)/25))/(LN(2)/25)*Calculateur!V103*Calculateur!X103*VLOOKUP('Données projet'!$B$9,Paramètres!$A$1:$I$89,3,0)*0.475*44/12</f>
        <v>20.097012696102986</v>
      </c>
      <c r="AB103" s="21">
        <f>EXP(-LN(2)/2)*AB102+(1-EXP(-LN(2)/2))/(LN(2)/2)*V103*Y103*VLOOKUP('Données projet'!$B$9,Paramètres!$A$1:$I$89,3,0)*0.475*44/12</f>
        <v>2.003656894060112</v>
      </c>
      <c r="AC103" s="22">
        <f t="shared" si="57"/>
        <v>78.743811212029428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253.62342381933348</v>
      </c>
      <c r="AO103" s="59">
        <f t="shared" si="90"/>
        <v>230.93438491775407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116.19250972512239</v>
      </c>
      <c r="AV103" s="21">
        <f>EXP(-LN(2)/25)*AV102+(1-EXP(-LN(2)/25))/(LN(2)/25)*Calculateur!AQ103*Calculateur!AS103*VLOOKUP('Données projet'!$B$10,Paramètres!$A$1:$I$89,3,0)*0.475*44/12</f>
        <v>24.13672039455723</v>
      </c>
      <c r="AW103" s="21">
        <f>EXP(-LN(2)/2)*AW102+(1-EXP(-LN(2)/2))/(LN(2)/2)*AQ103*AT103*VLOOKUP('Données projet'!$B$10,Paramètres!$A$1:$I$89,3,0)*0.475*44/12</f>
        <v>1.2155871529990043E-3</v>
      </c>
      <c r="AX103" s="21">
        <f t="shared" si="60"/>
        <v>140.33044570683262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-5.6843418860808015E-14</v>
      </c>
      <c r="BE103" s="13">
        <f>BD103*VLOOKUP('Données projet'!$B$11,Paramètres!$A$1:$I$89,3,0)*VLOOKUP('Données projet'!$B$11,Paramètres!$A$1:$I$89,5,0)</f>
        <v>-3.3992364478763198E-14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199.27781324660782</v>
      </c>
      <c r="BJ103" s="59">
        <f t="shared" si="92"/>
        <v>199.82499536488524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58.746154515838434</v>
      </c>
      <c r="BQ103" s="21">
        <f>EXP(-LN(2)/25)*BQ102+(1-EXP(-LN(2)/25))/(LN(2)/25)*Calculateur!BL103*Calculateur!BN103*VLOOKUP('Données projet'!$B$11,Paramètres!$A$1:$I$89,3,0)*0.475*44/12</f>
        <v>11.928939330450403</v>
      </c>
      <c r="BR103" s="21">
        <f>EXP(-LN(2)/2)*BR102+(1-EXP(-LN(2)/2))/(LN(2)/2)*BL103*BO103*VLOOKUP('Données projet'!$B$11,Paramètres!$A$1:$I$89,3,0)*0.475*44/12</f>
        <v>3.048212733102725E-5</v>
      </c>
      <c r="BS103" s="22">
        <f t="shared" si="63"/>
        <v>70.67512432841616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-2.8421709430404007E-13</v>
      </c>
      <c r="BZ103" s="13">
        <f>BY103*VLOOKUP('Données projet'!$B$12,Paramètres!$A$1:$I$89,3,0)*VLOOKUP('Données projet'!$B$12,Paramètres!$A$1:$I$89,5,0)</f>
        <v>-1.69961822393816E-13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199.27781323742636</v>
      </c>
      <c r="CE103" s="59">
        <f t="shared" si="94"/>
        <v>199.82499536063892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58.746154516301154</v>
      </c>
      <c r="CL103" s="21">
        <f>EXP(-LN(2)/25)*CL102+(1-EXP(-LN(2)/25))/(LN(2)/25)*Calculateur!CG103*Calculateur!CI103*VLOOKUP('Données projet'!$B$12,Paramètres!$A$1:$I$89,3,0)*0.475*44/12</f>
        <v>11.921154592075824</v>
      </c>
      <c r="CM103" s="21">
        <f>EXP(-LN(2)/2)*CM102+(1-EXP(-LN(2)/2))/(LN(2)/2)*CG103*CJ103*VLOOKUP('Données projet'!$B$12,Paramètres!$A$1:$I$89,3,0)*0.475*44/12</f>
        <v>3.0482147684076571E-5</v>
      </c>
      <c r="CN103" s="22">
        <f t="shared" si="66"/>
        <v>70.667339590524662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-3.979039320256561E-13</v>
      </c>
      <c r="CU103" s="17">
        <f>CT103*VLOOKUP('Données projet'!$B$13,Paramètres!$A$1:$I$89,3,0)*VLOOKUP('Données projet'!$B$13,Paramètres!$A$1:$I$89,5,0)</f>
        <v>-2.379465513513424E-13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213.18424462765137</v>
      </c>
      <c r="CZ103" s="59">
        <f t="shared" si="96"/>
        <v>158.77848520346532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95.725530979979453</v>
      </c>
      <c r="DG103" s="21">
        <f>EXP(-LN(2)/25)*DG102+(1-EXP(-LN(2)/25))/(LN(2)/25)*Calculateur!DB103*Calculateur!DD103*VLOOKUP('Données projet'!$B$13,Paramètres!$A$1:$I$89,3,0)*0.475*44/12</f>
        <v>19.650985439716202</v>
      </c>
      <c r="DH103" s="21">
        <f>EXP(-LN(2)/2)*DH102+(1-EXP(-LN(2)/2))/(LN(2)/2)*DB103*DE103*VLOOKUP('Données projet'!$B$13,Paramètres!$A$1:$I$89,3,0)*0.475*44/12</f>
        <v>3.5313889703980195E-2</v>
      </c>
      <c r="DI103" s="22">
        <f t="shared" si="69"/>
        <v>115.41183030939965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7.882692307692305</v>
      </c>
      <c r="N104" s="13">
        <f>IF('Données projet'!$A$36&gt;35,N103+M104-V103,IF(A104&lt;'Données projet'!$A$36,$K$205^A104,IF(A104='Données projet'!$A$36,'Données projet'!$B$36,N103+M104-V103)))</f>
        <v>350.13846153846225</v>
      </c>
      <c r="O104" s="13">
        <f>N104*VLOOKUP('Données projet'!$B$9,Paramètres!$A$1:$I$89,3,0)*VLOOKUP('Données projet'!$B$9,Paramètres!$A$1:$I$89,5,0)</f>
        <v>163.86480000000032</v>
      </c>
      <c r="P104" s="13">
        <f t="shared" si="87"/>
        <v>41.713017234350204</v>
      </c>
      <c r="Q104" s="20">
        <f t="shared" si="107"/>
        <v>358.04803168316045</v>
      </c>
      <c r="R104" s="59">
        <f t="shared" si="55"/>
        <v>651.38136501649376</v>
      </c>
      <c r="S104" s="59">
        <f ca="1">AVERAGE(OFFSET($R$3,0,0,'Données projet'!$E$9+1,1))-AVERAGE(OFFSET($H$3,0,0,'Données projet'!$E$9+1,1))</f>
        <v>181.79645720099597</v>
      </c>
      <c r="T104" s="59">
        <f t="shared" si="88"/>
        <v>120.20040029102233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55.532404163566504</v>
      </c>
      <c r="AA104" s="21">
        <f>EXP(-LN(2)/25)*AA103+(1-EXP(-LN(2)/25))/(LN(2)/25)*Calculateur!V104*Calculateur!X104*VLOOKUP('Données projet'!$B$9,Paramètres!$A$1:$I$89,3,0)*0.475*44/12</f>
        <v>19.547458827072084</v>
      </c>
      <c r="AB104" s="21">
        <f>EXP(-LN(2)/2)*AB103+(1-EXP(-LN(2)/2))/(LN(2)/2)*V104*Y104*VLOOKUP('Données projet'!$B$9,Paramètres!$A$1:$I$89,3,0)*0.475*44/12</f>
        <v>1.4167993769610812</v>
      </c>
      <c r="AC104" s="22">
        <f t="shared" si="57"/>
        <v>76.496662367599669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253.62342381933348</v>
      </c>
      <c r="AO104" s="59">
        <f t="shared" si="90"/>
        <v>230.93438491775407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113.9140454798458</v>
      </c>
      <c r="AV104" s="21">
        <f>EXP(-LN(2)/25)*AV103+(1-EXP(-LN(2)/25))/(LN(2)/25)*Calculateur!AQ104*Calculateur!AS104*VLOOKUP('Données projet'!$B$10,Paramètres!$A$1:$I$89,3,0)*0.475*44/12</f>
        <v>23.476700506073101</v>
      </c>
      <c r="AW104" s="21">
        <f>EXP(-LN(2)/2)*AW103+(1-EXP(-LN(2)/2))/(LN(2)/2)*AQ104*AT104*VLOOKUP('Données projet'!$B$10,Paramètres!$A$1:$I$89,3,0)*0.475*44/12</f>
        <v>8.5954991900884519E-4</v>
      </c>
      <c r="AX104" s="21">
        <f t="shared" si="60"/>
        <v>137.3916055358379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-5.6843418860808015E-14</v>
      </c>
      <c r="BE104" s="13">
        <f>BD104*VLOOKUP('Données projet'!$B$11,Paramètres!$A$1:$I$89,3,0)*VLOOKUP('Données projet'!$B$11,Paramètres!$A$1:$I$89,5,0)</f>
        <v>-3.3992364478763198E-14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199.27781324660782</v>
      </c>
      <c r="BJ104" s="59">
        <f t="shared" si="92"/>
        <v>199.82499536488524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57.594178257399015</v>
      </c>
      <c r="BQ104" s="21">
        <f>EXP(-LN(2)/25)*BQ103+(1-EXP(-LN(2)/25))/(LN(2)/25)*Calculateur!BL104*Calculateur!BN104*VLOOKUP('Données projet'!$B$11,Paramètres!$A$1:$I$89,3,0)*0.475*44/12</f>
        <v>11.602741857143581</v>
      </c>
      <c r="BR104" s="21">
        <f>EXP(-LN(2)/2)*BR103+(1-EXP(-LN(2)/2))/(LN(2)/2)*BL104*BO104*VLOOKUP('Données projet'!$B$11,Paramètres!$A$1:$I$89,3,0)*0.475*44/12</f>
        <v>2.1554118940761168E-5</v>
      </c>
      <c r="BS104" s="22">
        <f t="shared" si="63"/>
        <v>69.196941668661538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-2.8421709430404007E-13</v>
      </c>
      <c r="BZ104" s="13">
        <f>BY104*VLOOKUP('Données projet'!$B$12,Paramètres!$A$1:$I$89,3,0)*VLOOKUP('Données projet'!$B$12,Paramètres!$A$1:$I$89,5,0)</f>
        <v>-1.69961822393816E-13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199.27781323742636</v>
      </c>
      <c r="CE104" s="59">
        <f t="shared" si="94"/>
        <v>199.82499536063892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57.594178257852661</v>
      </c>
      <c r="CL104" s="21">
        <f>EXP(-LN(2)/25)*CL103+(1-EXP(-LN(2)/25))/(LN(2)/25)*Calculateur!CG104*Calculateur!CI104*VLOOKUP('Données projet'!$B$12,Paramètres!$A$1:$I$89,3,0)*0.475*44/12</f>
        <v>11.595169992849238</v>
      </c>
      <c r="CM104" s="21">
        <f>EXP(-LN(2)/2)*CM103+(1-EXP(-LN(2)/2))/(LN(2)/2)*CG104*CJ104*VLOOKUP('Données projet'!$B$12,Paramètres!$A$1:$I$89,3,0)*0.475*44/12</f>
        <v>2.1554133332540359E-5</v>
      </c>
      <c r="CN104" s="22">
        <f t="shared" si="66"/>
        <v>69.189369804835223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-3.979039320256561E-13</v>
      </c>
      <c r="CU104" s="17">
        <f>CT104*VLOOKUP('Données projet'!$B$13,Paramètres!$A$1:$I$89,3,0)*VLOOKUP('Données projet'!$B$13,Paramètres!$A$1:$I$89,5,0)</f>
        <v>-2.379465513513424E-13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213.18424462765137</v>
      </c>
      <c r="CZ104" s="59">
        <f t="shared" si="96"/>
        <v>158.77848520346532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93.848411704270731</v>
      </c>
      <c r="DG104" s="21">
        <f>EXP(-LN(2)/25)*DG103+(1-EXP(-LN(2)/25))/(LN(2)/25)*Calculateur!DB104*Calculateur!DD104*VLOOKUP('Données projet'!$B$13,Paramètres!$A$1:$I$89,3,0)*0.475*44/12</f>
        <v>19.11362820946675</v>
      </c>
      <c r="DH104" s="21">
        <f>EXP(-LN(2)/2)*DH103+(1-EXP(-LN(2)/2))/(LN(2)/2)*DB104*DE104*VLOOKUP('Données projet'!$B$13,Paramètres!$A$1:$I$89,3,0)*0.475*44/12</f>
        <v>2.4970690879758197E-2</v>
      </c>
      <c r="DI104" s="22">
        <f t="shared" si="69"/>
        <v>112.98701060461724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7.882692307692305</v>
      </c>
      <c r="N105" s="13">
        <f>IF('Données projet'!$A$36&gt;35,N104+M105-V104,IF(A105&lt;'Données projet'!$A$36,$K$205^A105,IF(A105='Données projet'!$A$36,'Données projet'!$B$36,N104+M105-V104)))</f>
        <v>358.02115384615456</v>
      </c>
      <c r="O105" s="13">
        <f>N105*VLOOKUP('Données projet'!$B$9,Paramètres!$A$1:$I$89,3,0)*VLOOKUP('Données projet'!$B$9,Paramètres!$A$1:$I$89,5,0)</f>
        <v>167.55390000000031</v>
      </c>
      <c r="P105" s="13">
        <f t="shared" si="87"/>
        <v>42.541717299361345</v>
      </c>
      <c r="Q105" s="20">
        <f t="shared" si="107"/>
        <v>365.91653346305492</v>
      </c>
      <c r="R105" s="59">
        <f t="shared" si="55"/>
        <v>659.24986679638823</v>
      </c>
      <c r="S105" s="59">
        <f ca="1">AVERAGE(OFFSET($R$3,0,0,'Données projet'!$E$9+1,1))-AVERAGE(OFFSET($H$3,0,0,'Données projet'!$E$9+1,1))</f>
        <v>181.79645720099597</v>
      </c>
      <c r="T105" s="59">
        <f t="shared" si="88"/>
        <v>120.20040029102233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54.443447589340977</v>
      </c>
      <c r="AA105" s="21">
        <f>EXP(-LN(2)/25)*AA104+(1-EXP(-LN(2)/25))/(LN(2)/25)*Calculateur!V105*Calculateur!X105*VLOOKUP('Données projet'!$B$9,Paramètres!$A$1:$I$89,3,0)*0.475*44/12</f>
        <v>19.012932537489615</v>
      </c>
      <c r="AB105" s="21">
        <f>EXP(-LN(2)/2)*AB104+(1-EXP(-LN(2)/2))/(LN(2)/2)*V105*Y105*VLOOKUP('Données projet'!$B$9,Paramètres!$A$1:$I$89,3,0)*0.475*44/12</f>
        <v>1.0018284470300562</v>
      </c>
      <c r="AC105" s="22">
        <f t="shared" si="57"/>
        <v>74.458208573860645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253.62342381933348</v>
      </c>
      <c r="AO105" s="59">
        <f t="shared" si="90"/>
        <v>230.93438491775407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111.68026052869311</v>
      </c>
      <c r="AV105" s="21">
        <f>EXP(-LN(2)/25)*AV104+(1-EXP(-LN(2)/25))/(LN(2)/25)*Calculateur!AQ105*Calculateur!AS105*VLOOKUP('Données projet'!$B$10,Paramètres!$A$1:$I$89,3,0)*0.475*44/12</f>
        <v>22.834728896148508</v>
      </c>
      <c r="AW105" s="21">
        <f>EXP(-LN(2)/2)*AW104+(1-EXP(-LN(2)/2))/(LN(2)/2)*AQ105*AT105*VLOOKUP('Données projet'!$B$10,Paramètres!$A$1:$I$89,3,0)*0.475*44/12</f>
        <v>6.0779357649950213E-4</v>
      </c>
      <c r="AX105" s="21">
        <f t="shared" si="60"/>
        <v>134.51559721841812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-5.6843418860808015E-14</v>
      </c>
      <c r="BE105" s="13">
        <f>BD105*VLOOKUP('Données projet'!$B$11,Paramètres!$A$1:$I$89,3,0)*VLOOKUP('Données projet'!$B$11,Paramètres!$A$1:$I$89,5,0)</f>
        <v>-3.3992364478763198E-14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199.27781324660782</v>
      </c>
      <c r="BJ105" s="59">
        <f t="shared" si="92"/>
        <v>199.82499536488524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56.464791550751457</v>
      </c>
      <c r="BQ105" s="21">
        <f>EXP(-LN(2)/25)*BQ104+(1-EXP(-LN(2)/25))/(LN(2)/25)*Calculateur!BL105*Calculateur!BN105*VLOOKUP('Données projet'!$B$11,Paramètres!$A$1:$I$89,3,0)*0.475*44/12</f>
        <v>11.285464270898315</v>
      </c>
      <c r="BR105" s="21">
        <f>EXP(-LN(2)/2)*BR104+(1-EXP(-LN(2)/2))/(LN(2)/2)*BL105*BO105*VLOOKUP('Données projet'!$B$11,Paramètres!$A$1:$I$89,3,0)*0.475*44/12</f>
        <v>1.5241063665513628E-5</v>
      </c>
      <c r="BS105" s="22">
        <f t="shared" si="63"/>
        <v>67.750271062713438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-2.8421709430404007E-13</v>
      </c>
      <c r="BZ105" s="13">
        <f>BY105*VLOOKUP('Données projet'!$B$12,Paramètres!$A$1:$I$89,3,0)*VLOOKUP('Données projet'!$B$12,Paramètres!$A$1:$I$89,5,0)</f>
        <v>-1.69961822393816E-13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199.27781323742636</v>
      </c>
      <c r="CE105" s="59">
        <f t="shared" si="94"/>
        <v>199.82499536063892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56.464791551196207</v>
      </c>
      <c r="CL105" s="21">
        <f>EXP(-LN(2)/25)*CL104+(1-EXP(-LN(2)/25))/(LN(2)/25)*Calculateur!CG105*Calculateur!CI105*VLOOKUP('Données projet'!$B$12,Paramètres!$A$1:$I$89,3,0)*0.475*44/12</f>
        <v>11.278099459631287</v>
      </c>
      <c r="CM105" s="21">
        <f>EXP(-LN(2)/2)*CM104+(1-EXP(-LN(2)/2))/(LN(2)/2)*CG105*CJ105*VLOOKUP('Données projet'!$B$12,Paramètres!$A$1:$I$89,3,0)*0.475*44/12</f>
        <v>1.5241073842038287E-5</v>
      </c>
      <c r="CN105" s="22">
        <f t="shared" si="66"/>
        <v>67.742906251901331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-3.979039320256561E-13</v>
      </c>
      <c r="CU105" s="17">
        <f>CT105*VLOOKUP('Données projet'!$B$13,Paramètres!$A$1:$I$89,3,0)*VLOOKUP('Données projet'!$B$13,Paramètres!$A$1:$I$89,5,0)</f>
        <v>-2.379465513513424E-13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213.18424462765137</v>
      </c>
      <c r="CZ105" s="59">
        <f t="shared" si="96"/>
        <v>158.77848520346532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92.008101592628961</v>
      </c>
      <c r="DG105" s="21">
        <f>EXP(-LN(2)/25)*DG104+(1-EXP(-LN(2)/25))/(LN(2)/25)*Calculateur!DB105*Calculateur!DD105*VLOOKUP('Données projet'!$B$13,Paramètres!$A$1:$I$89,3,0)*0.475*44/12</f>
        <v>18.590965040936858</v>
      </c>
      <c r="DH105" s="21">
        <f>EXP(-LN(2)/2)*DH104+(1-EXP(-LN(2)/2))/(LN(2)/2)*DB105*DE105*VLOOKUP('Données projet'!$B$13,Paramètres!$A$1:$I$89,3,0)*0.475*44/12</f>
        <v>1.7656944851990097E-2</v>
      </c>
      <c r="DI105" s="22">
        <f t="shared" si="69"/>
        <v>110.61672357841782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7.882692307692305</v>
      </c>
      <c r="N106" s="13">
        <f>IF('Données projet'!$A$36&gt;35,N105+M106-V105,IF(A106&lt;'Données projet'!$A$36,$K$205^A106,IF(A106='Données projet'!$A$36,'Données projet'!$B$36,N105+M106-V105)))</f>
        <v>365.90384615384687</v>
      </c>
      <c r="O106" s="13">
        <f>N106*VLOOKUP('Données projet'!$B$9,Paramètres!$A$1:$I$89,3,0)*VLOOKUP('Données projet'!$B$9,Paramètres!$A$1:$I$89,5,0)</f>
        <v>171.24300000000036</v>
      </c>
      <c r="P106" s="13">
        <f t="shared" si="87"/>
        <v>43.368296089548551</v>
      </c>
      <c r="Q106" s="20">
        <f t="shared" si="107"/>
        <v>373.78134068929762</v>
      </c>
      <c r="R106" s="59">
        <f t="shared" si="55"/>
        <v>667.11467402263088</v>
      </c>
      <c r="S106" s="59">
        <f ca="1">AVERAGE(OFFSET($R$3,0,0,'Données projet'!$E$9+1,1))-AVERAGE(OFFSET($H$3,0,0,'Données projet'!$E$9+1,1))</f>
        <v>181.79645720099597</v>
      </c>
      <c r="T106" s="59">
        <f t="shared" si="88"/>
        <v>120.20040029102233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53.375844789338089</v>
      </c>
      <c r="AA106" s="21">
        <f>EXP(-LN(2)/25)*AA105+(1-EXP(-LN(2)/25))/(LN(2)/25)*Calculateur!V106*Calculateur!X106*VLOOKUP('Données projet'!$B$9,Paramètres!$A$1:$I$89,3,0)*0.475*44/12</f>
        <v>18.493022897405293</v>
      </c>
      <c r="AB106" s="21">
        <f>EXP(-LN(2)/2)*AB105+(1-EXP(-LN(2)/2))/(LN(2)/2)*V106*Y106*VLOOKUP('Données projet'!$B$9,Paramètres!$A$1:$I$89,3,0)*0.475*44/12</f>
        <v>0.7083996884805408</v>
      </c>
      <c r="AC106" s="22">
        <f t="shared" si="57"/>
        <v>72.577267375223926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253.62342381933348</v>
      </c>
      <c r="AO106" s="59">
        <f t="shared" si="90"/>
        <v>230.93438491775407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109.49027873795825</v>
      </c>
      <c r="AV106" s="21">
        <f>EXP(-LN(2)/25)*AV105+(1-EXP(-LN(2)/25))/(LN(2)/25)*Calculateur!AQ106*Calculateur!AS106*VLOOKUP('Données projet'!$B$10,Paramètres!$A$1:$I$89,3,0)*0.475*44/12</f>
        <v>22.210312033657125</v>
      </c>
      <c r="AW106" s="21">
        <f>EXP(-LN(2)/2)*AW105+(1-EXP(-LN(2)/2))/(LN(2)/2)*AQ106*AT106*VLOOKUP('Données projet'!$B$10,Paramètres!$A$1:$I$89,3,0)*0.475*44/12</f>
        <v>4.2977495950442259E-4</v>
      </c>
      <c r="AX106" s="21">
        <f t="shared" si="60"/>
        <v>131.70102054657488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-5.6843418860808015E-14</v>
      </c>
      <c r="BE106" s="13">
        <f>BD106*VLOOKUP('Données projet'!$B$11,Paramètres!$A$1:$I$89,3,0)*VLOOKUP('Données projet'!$B$11,Paramètres!$A$1:$I$89,5,0)</f>
        <v>-3.3992364478763198E-14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199.27781324660782</v>
      </c>
      <c r="BJ106" s="59">
        <f t="shared" si="92"/>
        <v>199.82499536488524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55.35755142856339</v>
      </c>
      <c r="BQ106" s="21">
        <f>EXP(-LN(2)/25)*BQ105+(1-EXP(-LN(2)/25))/(LN(2)/25)*Calculateur!BL106*Calculateur!BN106*VLOOKUP('Données projet'!$B$11,Paramètres!$A$1:$I$89,3,0)*0.475*44/12</f>
        <v>10.976862656933827</v>
      </c>
      <c r="BR106" s="21">
        <f>EXP(-LN(2)/2)*BR105+(1-EXP(-LN(2)/2))/(LN(2)/2)*BL106*BO106*VLOOKUP('Données projet'!$B$11,Paramètres!$A$1:$I$89,3,0)*0.475*44/12</f>
        <v>1.0777059470380586E-5</v>
      </c>
      <c r="BS106" s="22">
        <f t="shared" si="63"/>
        <v>66.334424862556688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-2.8421709430404007E-13</v>
      </c>
      <c r="BZ106" s="13">
        <f>BY106*VLOOKUP('Données projet'!$B$12,Paramètres!$A$1:$I$89,3,0)*VLOOKUP('Données projet'!$B$12,Paramètres!$A$1:$I$89,5,0)</f>
        <v>-1.69961822393816E-13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199.27781323742636</v>
      </c>
      <c r="CE106" s="59">
        <f t="shared" si="94"/>
        <v>199.82499536063892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55.357551428999415</v>
      </c>
      <c r="CL106" s="21">
        <f>EXP(-LN(2)/25)*CL105+(1-EXP(-LN(2)/25))/(LN(2)/25)*Calculateur!CG106*Calculateur!CI106*VLOOKUP('Données projet'!$B$12,Paramètres!$A$1:$I$89,3,0)*0.475*44/12</f>
        <v>10.969699236818196</v>
      </c>
      <c r="CM106" s="21">
        <f>EXP(-LN(2)/2)*CM105+(1-EXP(-LN(2)/2))/(LN(2)/2)*CG106*CJ106*VLOOKUP('Données projet'!$B$12,Paramètres!$A$1:$I$89,3,0)*0.475*44/12</f>
        <v>1.0777066666270181E-5</v>
      </c>
      <c r="CN106" s="22">
        <f t="shared" si="66"/>
        <v>66.327261442884279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-3.979039320256561E-13</v>
      </c>
      <c r="CU106" s="17">
        <f>CT106*VLOOKUP('Données projet'!$B$13,Paramètres!$A$1:$I$89,3,0)*VLOOKUP('Données projet'!$B$13,Paramètres!$A$1:$I$89,5,0)</f>
        <v>-2.379465513513424E-13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213.18424462765137</v>
      </c>
      <c r="CZ106" s="59">
        <f t="shared" si="96"/>
        <v>158.77848520346532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90.203878839798151</v>
      </c>
      <c r="DG106" s="21">
        <f>EXP(-LN(2)/25)*DG105+(1-EXP(-LN(2)/25))/(LN(2)/25)*Calculateur!DB106*Calculateur!DD106*VLOOKUP('Données projet'!$B$13,Paramètres!$A$1:$I$89,3,0)*0.475*44/12</f>
        <v>18.082594124236078</v>
      </c>
      <c r="DH106" s="21">
        <f>EXP(-LN(2)/2)*DH105+(1-EXP(-LN(2)/2))/(LN(2)/2)*DB106*DE106*VLOOKUP('Données projet'!$B$13,Paramètres!$A$1:$I$89,3,0)*0.475*44/12</f>
        <v>1.2485345439879099E-2</v>
      </c>
      <c r="DI106" s="22">
        <f t="shared" si="69"/>
        <v>108.29895830947412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7.882692307692305</v>
      </c>
      <c r="N107" s="13">
        <f>IF('Données projet'!$A$36&gt;35,N106+M107-V106,IF(A107&lt;'Données projet'!$A$36,$K$205^A107,IF(A107='Données projet'!$A$36,'Données projet'!$B$36,N106+M107-V106)))</f>
        <v>373.78653846153918</v>
      </c>
      <c r="O107" s="13">
        <f>N107*VLOOKUP('Données projet'!$B$9,Paramètres!$A$1:$I$89,3,0)*VLOOKUP('Données projet'!$B$9,Paramètres!$A$1:$I$89,5,0)</f>
        <v>174.93210000000036</v>
      </c>
      <c r="P107" s="13">
        <f t="shared" si="87"/>
        <v>44.192804567069899</v>
      </c>
      <c r="Q107" s="20">
        <f t="shared" si="107"/>
        <v>381.64254212098064</v>
      </c>
      <c r="R107" s="59">
        <f t="shared" si="55"/>
        <v>674.97587545431395</v>
      </c>
      <c r="S107" s="59">
        <f ca="1">AVERAGE(OFFSET($R$3,0,0,'Données projet'!$E$9+1,1))-AVERAGE(OFFSET($H$3,0,0,'Données projet'!$E$9+1,1))</f>
        <v>181.79645720099597</v>
      </c>
      <c r="T107" s="59">
        <f t="shared" si="88"/>
        <v>120.20040029102233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52.329177029069847</v>
      </c>
      <c r="AA107" s="21">
        <f>EXP(-LN(2)/25)*AA106+(1-EXP(-LN(2)/25))/(LN(2)/25)*Calculateur!V107*Calculateur!X107*VLOOKUP('Données projet'!$B$9,Paramètres!$A$1:$I$89,3,0)*0.475*44/12</f>
        <v>17.987330213769937</v>
      </c>
      <c r="AB107" s="21">
        <f>EXP(-LN(2)/2)*AB106+(1-EXP(-LN(2)/2))/(LN(2)/2)*V107*Y107*VLOOKUP('Données projet'!$B$9,Paramètres!$A$1:$I$89,3,0)*0.475*44/12</f>
        <v>0.50091422351502823</v>
      </c>
      <c r="AC107" s="22">
        <f t="shared" si="57"/>
        <v>70.817421466354801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253.62342381933348</v>
      </c>
      <c r="AO107" s="59">
        <f t="shared" si="90"/>
        <v>230.93438491775407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107.3432411543827</v>
      </c>
      <c r="AV107" s="21">
        <f>EXP(-LN(2)/25)*AV106+(1-EXP(-LN(2)/25))/(LN(2)/25)*Calculateur!AQ107*Calculateur!AS107*VLOOKUP('Données projet'!$B$10,Paramètres!$A$1:$I$89,3,0)*0.475*44/12</f>
        <v>21.602969883107225</v>
      </c>
      <c r="AW107" s="21">
        <f>EXP(-LN(2)/2)*AW106+(1-EXP(-LN(2)/2))/(LN(2)/2)*AQ107*AT107*VLOOKUP('Données projet'!$B$10,Paramètres!$A$1:$I$89,3,0)*0.475*44/12</f>
        <v>3.0389678824975107E-4</v>
      </c>
      <c r="AX107" s="21">
        <f t="shared" si="60"/>
        <v>128.94651493427816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-5.6843418860808015E-14</v>
      </c>
      <c r="BE107" s="13">
        <f>BD107*VLOOKUP('Données projet'!$B$11,Paramètres!$A$1:$I$89,3,0)*VLOOKUP('Données projet'!$B$11,Paramètres!$A$1:$I$89,5,0)</f>
        <v>-3.3992364478763198E-14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199.27781324660782</v>
      </c>
      <c r="BJ107" s="59">
        <f t="shared" si="92"/>
        <v>199.82499536488524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54.272023609821638</v>
      </c>
      <c r="BQ107" s="21">
        <f>EXP(-LN(2)/25)*BQ106+(1-EXP(-LN(2)/25))/(LN(2)/25)*Calculateur!BL107*Calculateur!BN107*VLOOKUP('Données projet'!$B$11,Paramètres!$A$1:$I$89,3,0)*0.475*44/12</f>
        <v>10.676699770331853</v>
      </c>
      <c r="BR107" s="21">
        <f>EXP(-LN(2)/2)*BR106+(1-EXP(-LN(2)/2))/(LN(2)/2)*BL107*BO107*VLOOKUP('Données projet'!$B$11,Paramètres!$A$1:$I$89,3,0)*0.475*44/12</f>
        <v>7.620531832756815E-6</v>
      </c>
      <c r="BS107" s="22">
        <f t="shared" si="63"/>
        <v>64.948731000685328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-2.8421709430404007E-13</v>
      </c>
      <c r="BZ107" s="13">
        <f>BY107*VLOOKUP('Données projet'!$B$12,Paramètres!$A$1:$I$89,3,0)*VLOOKUP('Données projet'!$B$12,Paramètres!$A$1:$I$89,5,0)</f>
        <v>-1.69961822393816E-13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199.27781323742636</v>
      </c>
      <c r="CE107" s="59">
        <f t="shared" si="94"/>
        <v>199.82499536063892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54.272023610249114</v>
      </c>
      <c r="CL107" s="21">
        <f>EXP(-LN(2)/25)*CL106+(1-EXP(-LN(2)/25))/(LN(2)/25)*Calculateur!CG107*Calculateur!CI107*VLOOKUP('Données projet'!$B$12,Paramètres!$A$1:$I$89,3,0)*0.475*44/12</f>
        <v>10.66973223431599</v>
      </c>
      <c r="CM107" s="21">
        <f>EXP(-LN(2)/2)*CM106+(1-EXP(-LN(2)/2))/(LN(2)/2)*CG107*CJ107*VLOOKUP('Données projet'!$B$12,Paramètres!$A$1:$I$89,3,0)*0.475*44/12</f>
        <v>7.6205369210191443E-6</v>
      </c>
      <c r="CN107" s="22">
        <f t="shared" si="66"/>
        <v>64.941763465102028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-3.979039320256561E-13</v>
      </c>
      <c r="CU107" s="17">
        <f>CT107*VLOOKUP('Données projet'!$B$13,Paramètres!$A$1:$I$89,3,0)*VLOOKUP('Données projet'!$B$13,Paramètres!$A$1:$I$89,5,0)</f>
        <v>-2.379465513513424E-13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213.18424462765137</v>
      </c>
      <c r="CZ107" s="59">
        <f t="shared" si="96"/>
        <v>158.77848520346532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88.435035794683131</v>
      </c>
      <c r="DG107" s="21">
        <f>EXP(-LN(2)/25)*DG106+(1-EXP(-LN(2)/25))/(LN(2)/25)*Calculateur!DB107*Calculateur!DD107*VLOOKUP('Données projet'!$B$13,Paramètres!$A$1:$I$89,3,0)*0.475*44/12</f>
        <v>17.588124636986546</v>
      </c>
      <c r="DH107" s="21">
        <f>EXP(-LN(2)/2)*DH106+(1-EXP(-LN(2)/2))/(LN(2)/2)*DB107*DE107*VLOOKUP('Données projet'!$B$13,Paramètres!$A$1:$I$89,3,0)*0.475*44/12</f>
        <v>8.8284724259950487E-3</v>
      </c>
      <c r="DI107" s="22">
        <f t="shared" si="69"/>
        <v>106.03198890409567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7.882692307692305</v>
      </c>
      <c r="N108" s="13">
        <f>IF('Données projet'!$A$36&gt;35,N107+M108-V107,IF(A108&lt;'Données projet'!$A$36,$K$205^A108,IF(A108='Données projet'!$A$36,'Données projet'!$B$36,N107+M108-V107)))</f>
        <v>381.66923076923149</v>
      </c>
      <c r="O108" s="13">
        <f>N108*VLOOKUP('Données projet'!$B$9,Paramètres!$A$1:$I$89,3,0)*VLOOKUP('Données projet'!$B$9,Paramètres!$A$1:$I$89,5,0)</f>
        <v>178.62120000000033</v>
      </c>
      <c r="P108" s="13">
        <f t="shared" si="87"/>
        <v>45.01529142181213</v>
      </c>
      <c r="Q108" s="20">
        <f t="shared" si="107"/>
        <v>389.50022255965672</v>
      </c>
      <c r="R108" s="59">
        <f t="shared" si="55"/>
        <v>682.83355589299003</v>
      </c>
      <c r="S108" s="59">
        <f ca="1">AVERAGE(OFFSET($R$3,0,0,'Données projet'!$E$9+1,1))-AVERAGE(OFFSET($H$3,0,0,'Données projet'!$E$9+1,1))</f>
        <v>181.79645720099597</v>
      </c>
      <c r="T108" s="59">
        <f t="shared" si="88"/>
        <v>120.20040029102233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51.303033785176169</v>
      </c>
      <c r="AA108" s="21">
        <f>EXP(-LN(2)/25)*AA107+(1-EXP(-LN(2)/25))/(LN(2)/25)*Calculateur!V108*Calculateur!X108*VLOOKUP('Données projet'!$B$9,Paramètres!$A$1:$I$89,3,0)*0.475*44/12</f>
        <v>17.495465723161814</v>
      </c>
      <c r="AB108" s="21">
        <f>EXP(-LN(2)/2)*AB107+(1-EXP(-LN(2)/2))/(LN(2)/2)*V108*Y108*VLOOKUP('Données projet'!$B$9,Paramètres!$A$1:$I$89,3,0)*0.475*44/12</f>
        <v>0.35419984424027046</v>
      </c>
      <c r="AC108" s="22">
        <f t="shared" si="57"/>
        <v>69.152699352578253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253.62342381933348</v>
      </c>
      <c r="AO108" s="59">
        <f t="shared" si="90"/>
        <v>230.93438491775407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105.23830566825744</v>
      </c>
      <c r="AV108" s="21">
        <f>EXP(-LN(2)/25)*AV107+(1-EXP(-LN(2)/25))/(LN(2)/25)*Calculateur!AQ108*Calculateur!AS108*VLOOKUP('Données projet'!$B$10,Paramètres!$A$1:$I$89,3,0)*0.475*44/12</f>
        <v>21.012235535602844</v>
      </c>
      <c r="AW108" s="21">
        <f>EXP(-LN(2)/2)*AW107+(1-EXP(-LN(2)/2))/(LN(2)/2)*AQ108*AT108*VLOOKUP('Données projet'!$B$10,Paramètres!$A$1:$I$89,3,0)*0.475*44/12</f>
        <v>2.148874797522113E-4</v>
      </c>
      <c r="AX108" s="21">
        <f t="shared" si="60"/>
        <v>126.25075609134004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-5.6843418860808015E-14</v>
      </c>
      <c r="BE108" s="13">
        <f>BD108*VLOOKUP('Données projet'!$B$11,Paramètres!$A$1:$I$89,3,0)*VLOOKUP('Données projet'!$B$11,Paramètres!$A$1:$I$89,5,0)</f>
        <v>-3.3992364478763198E-14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199.27781324660782</v>
      </c>
      <c r="BJ108" s="59">
        <f t="shared" si="92"/>
        <v>199.82499536488524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53.207782329498819</v>
      </c>
      <c r="BQ108" s="21">
        <f>EXP(-LN(2)/25)*BQ107+(1-EXP(-LN(2)/25))/(LN(2)/25)*Calculateur!BL108*Calculateur!BN108*VLOOKUP('Données projet'!$B$11,Paramètres!$A$1:$I$89,3,0)*0.475*44/12</f>
        <v>10.38474485364889</v>
      </c>
      <c r="BR108" s="21">
        <f>EXP(-LN(2)/2)*BR107+(1-EXP(-LN(2)/2))/(LN(2)/2)*BL108*BO108*VLOOKUP('Données projet'!$B$11,Paramètres!$A$1:$I$89,3,0)*0.475*44/12</f>
        <v>5.3885297351902937E-6</v>
      </c>
      <c r="BS108" s="22">
        <f t="shared" si="63"/>
        <v>63.592532571677445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-2.8421709430404007E-13</v>
      </c>
      <c r="BZ108" s="13">
        <f>BY108*VLOOKUP('Données projet'!$B$12,Paramètres!$A$1:$I$89,3,0)*VLOOKUP('Données projet'!$B$12,Paramètres!$A$1:$I$89,5,0)</f>
        <v>-1.69961822393816E-13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199.27781323742636</v>
      </c>
      <c r="CE108" s="59">
        <f t="shared" si="94"/>
        <v>199.82499536063892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53.207782329917912</v>
      </c>
      <c r="CL108" s="21">
        <f>EXP(-LN(2)/25)*CL107+(1-EXP(-LN(2)/25))/(LN(2)/25)*Calculateur!CG108*Calculateur!CI108*VLOOKUP('Données projet'!$B$12,Paramètres!$A$1:$I$89,3,0)*0.475*44/12</f>
        <v>10.377967845271787</v>
      </c>
      <c r="CM108" s="21">
        <f>EXP(-LN(2)/2)*CM107+(1-EXP(-LN(2)/2))/(LN(2)/2)*CG108*CJ108*VLOOKUP('Données projet'!$B$12,Paramètres!$A$1:$I$89,3,0)*0.475*44/12</f>
        <v>5.3885333331350914E-6</v>
      </c>
      <c r="CN108" s="22">
        <f t="shared" si="66"/>
        <v>63.585755563723033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-3.979039320256561E-13</v>
      </c>
      <c r="CU108" s="17">
        <f>CT108*VLOOKUP('Données projet'!$B$13,Paramètres!$A$1:$I$89,3,0)*VLOOKUP('Données projet'!$B$13,Paramètres!$A$1:$I$89,5,0)</f>
        <v>-2.379465513513424E-13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213.18424462765137</v>
      </c>
      <c r="CZ108" s="59">
        <f t="shared" si="96"/>
        <v>158.77848520346532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86.700878682795093</v>
      </c>
      <c r="DG108" s="21">
        <f>EXP(-LN(2)/25)*DG107+(1-EXP(-LN(2)/25))/(LN(2)/25)*Calculateur!DB108*Calculateur!DD108*VLOOKUP('Données projet'!$B$13,Paramètres!$A$1:$I$89,3,0)*0.475*44/12</f>
        <v>17.107176443868873</v>
      </c>
      <c r="DH108" s="21">
        <f>EXP(-LN(2)/2)*DH107+(1-EXP(-LN(2)/2))/(LN(2)/2)*DB108*DE108*VLOOKUP('Données projet'!$B$13,Paramètres!$A$1:$I$89,3,0)*0.475*44/12</f>
        <v>6.2426727199395493E-3</v>
      </c>
      <c r="DI108" s="22">
        <f t="shared" si="69"/>
        <v>103.81429779938389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7.882692307692305</v>
      </c>
      <c r="N109" s="13">
        <f>IF('Données projet'!$A$36&gt;35,N108+M109-V108,IF(A109&lt;'Données projet'!$A$36,$K$205^A109,IF(A109='Données projet'!$A$36,'Données projet'!$B$36,N108+M109-V108)))</f>
        <v>389.5519230769238</v>
      </c>
      <c r="O109" s="13">
        <f>N109*VLOOKUP('Données projet'!$B$9,Paramètres!$A$1:$I$89,3,0)*VLOOKUP('Données projet'!$B$9,Paramètres!$A$1:$I$89,5,0)</f>
        <v>182.31030000000032</v>
      </c>
      <c r="P109" s="13">
        <f t="shared" si="87"/>
        <v>45.835803217507902</v>
      </c>
      <c r="Q109" s="20">
        <f t="shared" si="107"/>
        <v>397.35446310382684</v>
      </c>
      <c r="R109" s="59">
        <f t="shared" si="55"/>
        <v>690.68779643716016</v>
      </c>
      <c r="S109" s="59">
        <f ca="1">AVERAGE(OFFSET($R$3,0,0,'Données projet'!$E$9+1,1))-AVERAGE(OFFSET($H$3,0,0,'Données projet'!$E$9+1,1))</f>
        <v>181.79645720099597</v>
      </c>
      <c r="T109" s="59">
        <f t="shared" si="88"/>
        <v>120.20040029102233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50.297012584409671</v>
      </c>
      <c r="AA109" s="21">
        <f>EXP(-LN(2)/25)*AA108+(1-EXP(-LN(2)/25))/(LN(2)/25)*Calculateur!V109*Calculateur!X109*VLOOKUP('Données projet'!$B$9,Paramètres!$A$1:$I$89,3,0)*0.475*44/12</f>
        <v>17.017051292915397</v>
      </c>
      <c r="AB109" s="21">
        <f>EXP(-LN(2)/2)*AB108+(1-EXP(-LN(2)/2))/(LN(2)/2)*V109*Y109*VLOOKUP('Données projet'!$B$9,Paramètres!$A$1:$I$89,3,0)*0.475*44/12</f>
        <v>0.25045711175751417</v>
      </c>
      <c r="AC109" s="22">
        <f t="shared" si="57"/>
        <v>67.564520989082581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253.62342381933348</v>
      </c>
      <c r="AO109" s="59">
        <f t="shared" si="90"/>
        <v>230.93438491775407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103.17464668313123</v>
      </c>
      <c r="AV109" s="21">
        <f>EXP(-LN(2)/25)*AV108+(1-EXP(-LN(2)/25))/(LN(2)/25)*Calculateur!AQ109*Calculateur!AS109*VLOOKUP('Données projet'!$B$10,Paramètres!$A$1:$I$89,3,0)*0.475*44/12</f>
        <v>20.43765484989634</v>
      </c>
      <c r="AW109" s="21">
        <f>EXP(-LN(2)/2)*AW108+(1-EXP(-LN(2)/2))/(LN(2)/2)*AQ109*AT109*VLOOKUP('Données projet'!$B$10,Paramètres!$A$1:$I$89,3,0)*0.475*44/12</f>
        <v>1.5194839412487553E-4</v>
      </c>
      <c r="AX109" s="21">
        <f t="shared" si="60"/>
        <v>123.61245348142168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-5.6843418860808015E-14</v>
      </c>
      <c r="BE109" s="13">
        <f>BD109*VLOOKUP('Données projet'!$B$11,Paramètres!$A$1:$I$89,3,0)*VLOOKUP('Données projet'!$B$11,Paramètres!$A$1:$I$89,5,0)</f>
        <v>-3.3992364478763198E-14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199.27781324660782</v>
      </c>
      <c r="BJ109" s="59">
        <f t="shared" si="92"/>
        <v>199.82499536488524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52.16441017156005</v>
      </c>
      <c r="BQ109" s="21">
        <f>EXP(-LN(2)/25)*BQ108+(1-EXP(-LN(2)/25))/(LN(2)/25)*Calculateur!BL109*Calculateur!BN109*VLOOKUP('Données projet'!$B$11,Paramètres!$A$1:$I$89,3,0)*0.475*44/12</f>
        <v>10.100773459515864</v>
      </c>
      <c r="BR109" s="21">
        <f>EXP(-LN(2)/2)*BR108+(1-EXP(-LN(2)/2))/(LN(2)/2)*BL109*BO109*VLOOKUP('Données projet'!$B$11,Paramètres!$A$1:$I$89,3,0)*0.475*44/12</f>
        <v>3.8102659163784079E-6</v>
      </c>
      <c r="BS109" s="22">
        <f t="shared" si="63"/>
        <v>62.26518744134183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-2.8421709430404007E-13</v>
      </c>
      <c r="BZ109" s="13">
        <f>BY109*VLOOKUP('Données projet'!$B$12,Paramètres!$A$1:$I$89,3,0)*VLOOKUP('Données projet'!$B$12,Paramètres!$A$1:$I$89,5,0)</f>
        <v>-1.69961822393816E-13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199.27781323742636</v>
      </c>
      <c r="CE109" s="59">
        <f t="shared" si="94"/>
        <v>199.82499536063892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52.164410171970921</v>
      </c>
      <c r="CL109" s="21">
        <f>EXP(-LN(2)/25)*CL108+(1-EXP(-LN(2)/25))/(LN(2)/25)*Calculateur!CG109*Calculateur!CI109*VLOOKUP('Données projet'!$B$12,Paramètres!$A$1:$I$89,3,0)*0.475*44/12</f>
        <v>10.09418176878922</v>
      </c>
      <c r="CM109" s="21">
        <f>EXP(-LN(2)/2)*CM108+(1-EXP(-LN(2)/2))/(LN(2)/2)*CG109*CJ109*VLOOKUP('Données projet'!$B$12,Paramètres!$A$1:$I$89,3,0)*0.475*44/12</f>
        <v>3.810268460509573E-6</v>
      </c>
      <c r="CN109" s="22">
        <f t="shared" si="66"/>
        <v>62.258595751028601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-3.979039320256561E-13</v>
      </c>
      <c r="CU109" s="17">
        <f>CT109*VLOOKUP('Données projet'!$B$13,Paramètres!$A$1:$I$89,3,0)*VLOOKUP('Données projet'!$B$13,Paramètres!$A$1:$I$89,5,0)</f>
        <v>-2.379465513513424E-13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213.18424462765137</v>
      </c>
      <c r="CZ109" s="59">
        <f t="shared" si="96"/>
        <v>158.77848520346532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85.000727334139782</v>
      </c>
      <c r="DG109" s="21">
        <f>EXP(-LN(2)/25)*DG108+(1-EXP(-LN(2)/25))/(LN(2)/25)*Calculateur!DB109*Calculateur!DD109*VLOOKUP('Données projet'!$B$13,Paramètres!$A$1:$I$89,3,0)*0.475*44/12</f>
        <v>16.639379804383967</v>
      </c>
      <c r="DH109" s="21">
        <f>EXP(-LN(2)/2)*DH108+(1-EXP(-LN(2)/2))/(LN(2)/2)*DB109*DE109*VLOOKUP('Données projet'!$B$13,Paramètres!$A$1:$I$89,3,0)*0.475*44/12</f>
        <v>4.4142362129975243E-3</v>
      </c>
      <c r="DI109" s="22">
        <f t="shared" si="69"/>
        <v>101.64452137473674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7.882692307692305</v>
      </c>
      <c r="N110" s="13">
        <f>IF('Données projet'!$A$36&gt;35,N109+M110-V109,IF(A110&lt;'Données projet'!$A$36,$K$205^A110,IF(A110='Données projet'!$A$36,'Données projet'!$B$36,N109+M110-V109)))</f>
        <v>397.43461538461611</v>
      </c>
      <c r="O110" s="13">
        <f>N110*VLOOKUP('Données projet'!$B$9,Paramètres!$A$1:$I$89,3,0)*VLOOKUP('Données projet'!$B$9,Paramètres!$A$1:$I$89,5,0)</f>
        <v>185.99940000000032</v>
      </c>
      <c r="P110" s="13">
        <f t="shared" si="87"/>
        <v>46.654384525692834</v>
      </c>
      <c r="Q110" s="20">
        <f t="shared" si="107"/>
        <v>405.20534138224889</v>
      </c>
      <c r="R110" s="59">
        <f t="shared" si="55"/>
        <v>698.53867471558215</v>
      </c>
      <c r="S110" s="59">
        <f ca="1">AVERAGE(OFFSET($R$3,0,0,'Données projet'!$E$9+1,1))-AVERAGE(OFFSET($H$3,0,0,'Données projet'!$E$9+1,1))</f>
        <v>181.79645720099597</v>
      </c>
      <c r="T110" s="59">
        <f t="shared" si="88"/>
        <v>120.20040029102233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49.310718845777856</v>
      </c>
      <c r="AA110" s="21">
        <f>EXP(-LN(2)/25)*AA109+(1-EXP(-LN(2)/25))/(LN(2)/25)*Calculateur!V110*Calculateur!X110*VLOOKUP('Données projet'!$B$9,Paramètres!$A$1:$I$89,3,0)*0.475*44/12</f>
        <v>16.551719130422793</v>
      </c>
      <c r="AB110" s="21">
        <f>EXP(-LN(2)/2)*AB109+(1-EXP(-LN(2)/2))/(LN(2)/2)*V110*Y110*VLOOKUP('Données projet'!$B$9,Paramètres!$A$1:$I$89,3,0)*0.475*44/12</f>
        <v>0.17709992212013526</v>
      </c>
      <c r="AC110" s="22">
        <f t="shared" si="57"/>
        <v>66.039537898320788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253.62342381933348</v>
      </c>
      <c r="AO110" s="59">
        <f t="shared" si="90"/>
        <v>230.93438491775407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101.15145479199565</v>
      </c>
      <c r="AV110" s="21">
        <f>EXP(-LN(2)/25)*AV109+(1-EXP(-LN(2)/25))/(LN(2)/25)*Calculateur!AQ110*Calculateur!AS110*VLOOKUP('Données projet'!$B$10,Paramètres!$A$1:$I$89,3,0)*0.475*44/12</f>
        <v>19.878786103256367</v>
      </c>
      <c r="AW110" s="21">
        <f>EXP(-LN(2)/2)*AW109+(1-EXP(-LN(2)/2))/(LN(2)/2)*AQ110*AT110*VLOOKUP('Données projet'!$B$10,Paramètres!$A$1:$I$89,3,0)*0.475*44/12</f>
        <v>1.0744373987610565E-4</v>
      </c>
      <c r="AX110" s="21">
        <f t="shared" si="60"/>
        <v>121.03034833899189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-5.6843418860808015E-14</v>
      </c>
      <c r="BE110" s="13">
        <f>BD110*VLOOKUP('Données projet'!$B$11,Paramètres!$A$1:$I$89,3,0)*VLOOKUP('Données projet'!$B$11,Paramètres!$A$1:$I$89,5,0)</f>
        <v>-3.3992364478763198E-14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199.27781324660782</v>
      </c>
      <c r="BJ110" s="59">
        <f t="shared" si="92"/>
        <v>199.82499536488524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51.141497905244279</v>
      </c>
      <c r="BQ110" s="21">
        <f>EXP(-LN(2)/25)*BQ109+(1-EXP(-LN(2)/25))/(LN(2)/25)*Calculateur!BL110*Calculateur!BN110*VLOOKUP('Données projet'!$B$11,Paramètres!$A$1:$I$89,3,0)*0.475*44/12</f>
        <v>9.8245672780888125</v>
      </c>
      <c r="BR110" s="21">
        <f>EXP(-LN(2)/2)*BR109+(1-EXP(-LN(2)/2))/(LN(2)/2)*BL110*BO110*VLOOKUP('Données projet'!$B$11,Paramètres!$A$1:$I$89,3,0)*0.475*44/12</f>
        <v>2.6942648675951473E-6</v>
      </c>
      <c r="BS110" s="22">
        <f t="shared" si="63"/>
        <v>60.966067877597958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-2.8421709430404007E-13</v>
      </c>
      <c r="BZ110" s="13">
        <f>BY110*VLOOKUP('Données projet'!$B$12,Paramètres!$A$1:$I$89,3,0)*VLOOKUP('Données projet'!$B$12,Paramètres!$A$1:$I$89,5,0)</f>
        <v>-1.69961822393816E-13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199.27781323742636</v>
      </c>
      <c r="CE110" s="59">
        <f t="shared" si="94"/>
        <v>199.82499536063892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51.141497905647093</v>
      </c>
      <c r="CL110" s="21">
        <f>EXP(-LN(2)/25)*CL109+(1-EXP(-LN(2)/25))/(LN(2)/25)*Calculateur!CG110*Calculateur!CI110*VLOOKUP('Données projet'!$B$12,Paramètres!$A$1:$I$89,3,0)*0.475*44/12</f>
        <v>9.8181558374917302</v>
      </c>
      <c r="CM110" s="21">
        <f>EXP(-LN(2)/2)*CM109+(1-EXP(-LN(2)/2))/(LN(2)/2)*CG110*CJ110*VLOOKUP('Données projet'!$B$12,Paramètres!$A$1:$I$89,3,0)*0.475*44/12</f>
        <v>2.6942666665675461E-6</v>
      </c>
      <c r="CN110" s="22">
        <f t="shared" si="66"/>
        <v>60.959656437405492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-3.979039320256561E-13</v>
      </c>
      <c r="CU110" s="17">
        <f>CT110*VLOOKUP('Données projet'!$B$13,Paramètres!$A$1:$I$89,3,0)*VLOOKUP('Données projet'!$B$13,Paramètres!$A$1:$I$89,5,0)</f>
        <v>-2.379465513513424E-13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213.18424462765137</v>
      </c>
      <c r="CZ110" s="59">
        <f t="shared" si="96"/>
        <v>158.77848520346532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83.333914916441671</v>
      </c>
      <c r="DG110" s="21">
        <f>EXP(-LN(2)/25)*DG109+(1-EXP(-LN(2)/25))/(LN(2)/25)*Calculateur!DB110*Calculateur!DD110*VLOOKUP('Données projet'!$B$13,Paramètres!$A$1:$I$89,3,0)*0.475*44/12</f>
        <v>16.184375088606135</v>
      </c>
      <c r="DH110" s="21">
        <f>EXP(-LN(2)/2)*DH109+(1-EXP(-LN(2)/2))/(LN(2)/2)*DB110*DE110*VLOOKUP('Données projet'!$B$13,Paramètres!$A$1:$I$89,3,0)*0.475*44/12</f>
        <v>3.1213363599697746E-3</v>
      </c>
      <c r="DI110" s="22">
        <f t="shared" si="69"/>
        <v>99.52141134140777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7.882692307692305</v>
      </c>
      <c r="N111" s="13">
        <f>IF('Données projet'!$A$36&gt;35,N110+M111-V110,IF(A111&lt;'Données projet'!$A$36,$K$205^A111,IF(A111='Données projet'!$A$36,'Données projet'!$B$36,N110+M111-V110)))</f>
        <v>405.31730769230842</v>
      </c>
      <c r="O111" s="13">
        <f>N111*VLOOKUP('Données projet'!$B$9,Paramètres!$A$1:$I$89,3,0)*VLOOKUP('Données projet'!$B$9,Paramètres!$A$1:$I$89,5,0)</f>
        <v>189.68850000000032</v>
      </c>
      <c r="P111" s="13">
        <f t="shared" si="87"/>
        <v>47.471078048734149</v>
      </c>
      <c r="Q111" s="20">
        <f t="shared" si="107"/>
        <v>413.05293176821243</v>
      </c>
      <c r="R111" s="59">
        <f t="shared" si="55"/>
        <v>706.38626510154575</v>
      </c>
      <c r="S111" s="59">
        <f ca="1">AVERAGE(OFFSET($R$3,0,0,'Données projet'!$E$9+1,1))-AVERAGE(OFFSET($H$3,0,0,'Données projet'!$E$9+1,1))</f>
        <v>181.79645720099597</v>
      </c>
      <c r="T111" s="59">
        <f t="shared" si="88"/>
        <v>120.20040029102233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48.343765725780834</v>
      </c>
      <c r="AA111" s="21">
        <f>EXP(-LN(2)/25)*AA110+(1-EXP(-LN(2)/25))/(LN(2)/25)*Calculateur!V111*Calculateur!X111*VLOOKUP('Données projet'!$B$9,Paramètres!$A$1:$I$89,3,0)*0.475*44/12</f>
        <v>16.099111500384303</v>
      </c>
      <c r="AB111" s="21">
        <f>EXP(-LN(2)/2)*AB110+(1-EXP(-LN(2)/2))/(LN(2)/2)*V111*Y111*VLOOKUP('Données projet'!$B$9,Paramètres!$A$1:$I$89,3,0)*0.475*44/12</f>
        <v>0.12522855587875709</v>
      </c>
      <c r="AC111" s="22">
        <f t="shared" si="57"/>
        <v>64.568105782043901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253.62342381933348</v>
      </c>
      <c r="AO111" s="59">
        <f t="shared" si="90"/>
        <v>230.93438491775407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99.167936459820027</v>
      </c>
      <c r="AV111" s="21">
        <f>EXP(-LN(2)/25)*AV110+(1-EXP(-LN(2)/25))/(LN(2)/25)*Calculateur!AQ111*Calculateur!AS111*VLOOKUP('Données projet'!$B$10,Paramètres!$A$1:$I$89,3,0)*0.475*44/12</f>
        <v>19.335199651882895</v>
      </c>
      <c r="AW111" s="21">
        <f>EXP(-LN(2)/2)*AW110+(1-EXP(-LN(2)/2))/(LN(2)/2)*AQ111*AT111*VLOOKUP('Données projet'!$B$10,Paramètres!$A$1:$I$89,3,0)*0.475*44/12</f>
        <v>7.5974197062437767E-5</v>
      </c>
      <c r="AX111" s="21">
        <f t="shared" si="60"/>
        <v>118.50321208589999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-5.6843418860808015E-14</v>
      </c>
      <c r="BE111" s="13">
        <f>BD111*VLOOKUP('Données projet'!$B$11,Paramètres!$A$1:$I$89,3,0)*VLOOKUP('Données projet'!$B$11,Paramètres!$A$1:$I$89,5,0)</f>
        <v>-3.3992364478763198E-14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199.27781324660782</v>
      </c>
      <c r="BJ111" s="59">
        <f t="shared" si="92"/>
        <v>199.82499536488524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50.138644324556083</v>
      </c>
      <c r="BQ111" s="21">
        <f>EXP(-LN(2)/25)*BQ110+(1-EXP(-LN(2)/25))/(LN(2)/25)*Calculateur!BL111*Calculateur!BN111*VLOOKUP('Données projet'!$B$11,Paramètres!$A$1:$I$89,3,0)*0.475*44/12</f>
        <v>9.5559139692179347</v>
      </c>
      <c r="BR111" s="21">
        <f>EXP(-LN(2)/2)*BR110+(1-EXP(-LN(2)/2))/(LN(2)/2)*BL111*BO111*VLOOKUP('Données projet'!$B$11,Paramètres!$A$1:$I$89,3,0)*0.475*44/12</f>
        <v>1.9051329581892044E-6</v>
      </c>
      <c r="BS111" s="22">
        <f t="shared" si="63"/>
        <v>59.694560198906977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-2.8421709430404007E-13</v>
      </c>
      <c r="BZ111" s="13">
        <f>BY111*VLOOKUP('Données projet'!$B$12,Paramètres!$A$1:$I$89,3,0)*VLOOKUP('Données projet'!$B$12,Paramètres!$A$1:$I$89,5,0)</f>
        <v>-1.69961822393816E-13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199.27781323742636</v>
      </c>
      <c r="CE111" s="59">
        <f t="shared" si="94"/>
        <v>199.82499536063892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50.138644324951002</v>
      </c>
      <c r="CL111" s="21">
        <f>EXP(-LN(2)/25)*CL110+(1-EXP(-LN(2)/25))/(LN(2)/25)*Calculateur!CG111*Calculateur!CI111*VLOOKUP('Données projet'!$B$12,Paramètres!$A$1:$I$89,3,0)*0.475*44/12</f>
        <v>9.5496778498011423</v>
      </c>
      <c r="CM111" s="21">
        <f>EXP(-LN(2)/2)*CM110+(1-EXP(-LN(2)/2))/(LN(2)/2)*CG111*CJ111*VLOOKUP('Données projet'!$B$12,Paramètres!$A$1:$I$89,3,0)*0.475*44/12</f>
        <v>1.9051342302547867E-6</v>
      </c>
      <c r="CN111" s="22">
        <f t="shared" si="66"/>
        <v>59.688324079886378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-3.979039320256561E-13</v>
      </c>
      <c r="CU111" s="17">
        <f>CT111*VLOOKUP('Données projet'!$B$13,Paramètres!$A$1:$I$89,3,0)*VLOOKUP('Données projet'!$B$13,Paramètres!$A$1:$I$89,5,0)</f>
        <v>-2.379465513513424E-13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213.18424462765137</v>
      </c>
      <c r="CZ111" s="59">
        <f t="shared" si="96"/>
        <v>158.77848520346532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81.699787673599431</v>
      </c>
      <c r="DG111" s="21">
        <f>EXP(-LN(2)/25)*DG110+(1-EXP(-LN(2)/25))/(LN(2)/25)*Calculateur!DB111*Calculateur!DD111*VLOOKUP('Données projet'!$B$13,Paramètres!$A$1:$I$89,3,0)*0.475*44/12</f>
        <v>15.741812500708905</v>
      </c>
      <c r="DH111" s="21">
        <f>EXP(-LN(2)/2)*DH110+(1-EXP(-LN(2)/2))/(LN(2)/2)*DB111*DE111*VLOOKUP('Données projet'!$B$13,Paramètres!$A$1:$I$89,3,0)*0.475*44/12</f>
        <v>2.2071181064987622E-3</v>
      </c>
      <c r="DI111" s="22">
        <f t="shared" si="69"/>
        <v>97.443807292414832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413.2</v>
      </c>
      <c r="L112" s="12">
        <f>VLOOKUP(A112,'Données projet'!$A$35:$I$55,9,0)</f>
        <v>7.882692307692305</v>
      </c>
      <c r="M112" s="12">
        <f t="array" ref="M112">INDEX(L:L,MIN(IF(ISNUMBER(L112:L308),ROW(L112:L308),"")))</f>
        <v>7.882692307692305</v>
      </c>
      <c r="N112" s="13">
        <f>IF('Données projet'!$A$36&gt;35,N111+M112-V111,IF(A112&lt;'Données projet'!$A$36,$K$205^A112,IF(A112='Données projet'!$A$36,'Données projet'!$B$36,N111+M112-V111)))</f>
        <v>413.20000000000073</v>
      </c>
      <c r="O112" s="13">
        <f>N112*VLOOKUP('Données projet'!$B$9,Paramètres!$A$1:$I$89,3,0)*VLOOKUP('Données projet'!$B$9,Paramètres!$A$1:$I$89,5,0)</f>
        <v>193.37760000000034</v>
      </c>
      <c r="P112" s="13">
        <f t="shared" si="87"/>
        <v>48.285924733018319</v>
      </c>
      <c r="Q112" s="20">
        <f t="shared" si="107"/>
        <v>420.89730557667417</v>
      </c>
      <c r="R112" s="59">
        <f t="shared" si="55"/>
        <v>714.23063891000743</v>
      </c>
      <c r="S112" s="59">
        <f ca="1">AVERAGE(OFFSET($R$3,0,0,'Données projet'!$E$9+1,1))-AVERAGE(OFFSET($H$3,0,0,'Données projet'!$E$9+1,1))</f>
        <v>181.79645720099597</v>
      </c>
      <c r="T112" s="59">
        <f t="shared" si="88"/>
        <v>120.20040029102233</v>
      </c>
      <c r="U112" s="15">
        <f>IF(ISNA(VLOOKUP(A112,'Données projet'!$A$35:$I$55,3,0)),0,VLOOKUP(A112,'Données projet'!$A$35:$I$55,3,0))</f>
        <v>6</v>
      </c>
      <c r="V112" s="15">
        <f>IF(ISNA(VLOOKUP(A112,'Données projet'!$A$35:$I$55,4,0)),0,VLOOKUP(A112,'Données projet'!$A$35:$I$55,4,0))</f>
        <v>80.653846153846146</v>
      </c>
      <c r="W112" s="16">
        <f>IF(ISNA(VLOOKUP(A112,'Données projet'!$A$35:$I$55,5,0)),0%,VLOOKUP(A112,'Données projet'!$A$35:$I$55,5,0)*VLOOKUP('Données projet'!$B$9,Paramètres!$A$1:$I$89,7,0))</f>
        <v>0.38500000000000001</v>
      </c>
      <c r="X112" s="16">
        <f>IF(ISNA(VLOOKUP(A112,'Données projet'!$A$35:$I$55,6,0)),0%,VLOOKUP(A112,'Données projet'!$A$35:$I$55,6,0)*VLOOKUP('Données projet'!$B$9,Paramètres!$A$1:$I$89,7,0))</f>
        <v>9.240000000000001E-2</v>
      </c>
      <c r="Y112" s="16">
        <f>IF(ISNA(VLOOKUP(A112,'Données projet'!$A$35:$I$55,7,0)),0%,VLOOKUP(A112,'Données projet'!$A$35:$I$55,7,0))</f>
        <v>0.13200000000000001</v>
      </c>
      <c r="Z112" s="21">
        <f>EXP(-LN(2)/35)*Z111+(1-EXP(-LN(2)/35))/(LN(2)/35)*V112*W112*VLOOKUP('Données projet'!$B$9,Paramètres!$A$1:$I$89,3,0)*0.475*44/12</f>
        <v>66.673687211666817</v>
      </c>
      <c r="AA112" s="21">
        <f>EXP(-LN(2)/25)*AA111+(1-EXP(-LN(2)/25))/(LN(2)/25)*Calculateur!V112*Calculateur!X112*VLOOKUP('Données projet'!$B$9,Paramètres!$A$1:$I$89,3,0)*0.475*44/12</f>
        <v>20.267362551009228</v>
      </c>
      <c r="AB112" s="21">
        <f>EXP(-LN(2)/2)*AB111+(1-EXP(-LN(2)/2))/(LN(2)/2)*V112*Y112*VLOOKUP('Données projet'!$B$9,Paramètres!$A$1:$I$89,3,0)*0.475*44/12</f>
        <v>5.7298656809813524</v>
      </c>
      <c r="AC112" s="22">
        <f t="shared" si="57"/>
        <v>92.670915443657393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253.62342381933348</v>
      </c>
      <c r="AO112" s="59">
        <f t="shared" si="90"/>
        <v>230.93438491775407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97.223313712311651</v>
      </c>
      <c r="AV112" s="21">
        <f>EXP(-LN(2)/25)*AV111+(1-EXP(-LN(2)/25))/(LN(2)/25)*Calculateur!AQ112*Calculateur!AS112*VLOOKUP('Données projet'!$B$10,Paramètres!$A$1:$I$89,3,0)*0.475*44/12</f>
        <v>18.806477600608201</v>
      </c>
      <c r="AW112" s="21">
        <f>EXP(-LN(2)/2)*AW111+(1-EXP(-LN(2)/2))/(LN(2)/2)*AQ112*AT112*VLOOKUP('Données projet'!$B$10,Paramètres!$A$1:$I$89,3,0)*0.475*44/12</f>
        <v>5.3721869938052824E-5</v>
      </c>
      <c r="AX112" s="21">
        <f t="shared" si="60"/>
        <v>116.02984503478979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-5.6843418860808015E-14</v>
      </c>
      <c r="BE112" s="13">
        <f>BD112*VLOOKUP('Données projet'!$B$11,Paramètres!$A$1:$I$89,3,0)*VLOOKUP('Données projet'!$B$11,Paramètres!$A$1:$I$89,5,0)</f>
        <v>-3.3992364478763198E-14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199.27781324660782</v>
      </c>
      <c r="BJ112" s="59">
        <f t="shared" si="92"/>
        <v>199.82499536488524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49.155456090904899</v>
      </c>
      <c r="BQ112" s="21">
        <f>EXP(-LN(2)/25)*BQ111+(1-EXP(-LN(2)/25))/(LN(2)/25)*Calculateur!BL112*Calculateur!BN112*VLOOKUP('Données projet'!$B$11,Paramètres!$A$1:$I$89,3,0)*0.475*44/12</f>
        <v>9.2946069992059943</v>
      </c>
      <c r="BR112" s="21">
        <f>EXP(-LN(2)/2)*BR111+(1-EXP(-LN(2)/2))/(LN(2)/2)*BL112*BO112*VLOOKUP('Données projet'!$B$11,Paramètres!$A$1:$I$89,3,0)*0.475*44/12</f>
        <v>1.3471324337975739E-6</v>
      </c>
      <c r="BS112" s="22">
        <f t="shared" si="63"/>
        <v>58.450064437243327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-2.8421709430404007E-13</v>
      </c>
      <c r="BZ112" s="13">
        <f>BY112*VLOOKUP('Données projet'!$B$12,Paramètres!$A$1:$I$89,3,0)*VLOOKUP('Données projet'!$B$12,Paramètres!$A$1:$I$89,5,0)</f>
        <v>-1.69961822393816E-13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199.27781323742636</v>
      </c>
      <c r="CE112" s="59">
        <f t="shared" si="94"/>
        <v>199.82499536063892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49.155456091292073</v>
      </c>
      <c r="CL112" s="21">
        <f>EXP(-LN(2)/25)*CL111+(1-EXP(-LN(2)/25))/(LN(2)/25)*Calculateur!CG112*Calculateur!CI112*VLOOKUP('Données projet'!$B$12,Paramètres!$A$1:$I$89,3,0)*0.475*44/12</f>
        <v>9.2885414068025973</v>
      </c>
      <c r="CM112" s="21">
        <f>EXP(-LN(2)/2)*CM111+(1-EXP(-LN(2)/2))/(LN(2)/2)*CG112*CJ112*VLOOKUP('Données projet'!$B$12,Paramètres!$A$1:$I$89,3,0)*0.475*44/12</f>
        <v>1.3471333332837733E-6</v>
      </c>
      <c r="CN112" s="22">
        <f t="shared" si="66"/>
        <v>58.443998845228009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-3.979039320256561E-13</v>
      </c>
      <c r="CU112" s="17">
        <f>CT112*VLOOKUP('Données projet'!$B$13,Paramètres!$A$1:$I$89,3,0)*VLOOKUP('Données projet'!$B$13,Paramètres!$A$1:$I$89,5,0)</f>
        <v>-2.379465513513424E-13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213.18424462765137</v>
      </c>
      <c r="CZ112" s="59">
        <f t="shared" si="96"/>
        <v>158.77848520346532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80.097704669270129</v>
      </c>
      <c r="DG112" s="21">
        <f>EXP(-LN(2)/25)*DG111+(1-EXP(-LN(2)/25))/(LN(2)/25)*Calculateur!DB112*Calculateur!DD112*VLOOKUP('Données projet'!$B$13,Paramètres!$A$1:$I$89,3,0)*0.475*44/12</f>
        <v>15.311351810051079</v>
      </c>
      <c r="DH112" s="21">
        <f>EXP(-LN(2)/2)*DH111+(1-EXP(-LN(2)/2))/(LN(2)/2)*DB112*DE112*VLOOKUP('Données projet'!$B$13,Paramètres!$A$1:$I$89,3,0)*0.475*44/12</f>
        <v>1.5606681799848873E-3</v>
      </c>
      <c r="DI112" s="22">
        <f t="shared" si="69"/>
        <v>95.410617147501199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7.0884615384615346</v>
      </c>
      <c r="N113" s="13">
        <f>IF('Données projet'!$A$36&gt;35,N112+M113-V112,IF(A113&lt;'Données projet'!$A$36,$K$205^A113,IF(A113='Données projet'!$A$36,'Données projet'!$B$36,N112+M113-V112)))</f>
        <v>339.63461538461615</v>
      </c>
      <c r="O113" s="13">
        <f>N113*VLOOKUP('Données projet'!$B$9,Paramètres!$A$1:$I$89,3,0)*VLOOKUP('Données projet'!$B$9,Paramètres!$A$1:$I$89,5,0)</f>
        <v>158.94900000000035</v>
      </c>
      <c r="P113" s="13">
        <f t="shared" si="87"/>
        <v>40.605368573899682</v>
      </c>
      <c r="Q113" s="20">
        <f t="shared" si="107"/>
        <v>347.55719193287587</v>
      </c>
      <c r="R113" s="59">
        <f t="shared" si="55"/>
        <v>640.89052526620912</v>
      </c>
      <c r="S113" s="59">
        <f ca="1">AVERAGE(OFFSET($R$3,0,0,'Données projet'!$E$9+1,1))-AVERAGE(OFFSET($H$3,0,0,'Données projet'!$E$9+1,1))</f>
        <v>181.79645720099597</v>
      </c>
      <c r="T113" s="59">
        <f t="shared" si="88"/>
        <v>120.20040029102233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65.366256872379708</v>
      </c>
      <c r="AA113" s="21">
        <f>EXP(-LN(2)/25)*AA112+(1-EXP(-LN(2)/25))/(LN(2)/25)*Calculateur!V113*Calculateur!X113*VLOOKUP('Données projet'!$B$9,Paramètres!$A$1:$I$89,3,0)*0.475*44/12</f>
        <v>19.713150456237607</v>
      </c>
      <c r="AB113" s="21">
        <f>EXP(-LN(2)/2)*AB112+(1-EXP(-LN(2)/2))/(LN(2)/2)*V113*Y113*VLOOKUP('Données projet'!$B$9,Paramètres!$A$1:$I$89,3,0)*0.475*44/12</f>
        <v>4.0516268783099898</v>
      </c>
      <c r="AC113" s="22">
        <f t="shared" si="57"/>
        <v>89.13103420692731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253.62342381933348</v>
      </c>
      <c r="AO113" s="59">
        <f t="shared" si="90"/>
        <v>230.93438491775407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95.316823830779157</v>
      </c>
      <c r="AV113" s="21">
        <f>EXP(-LN(2)/25)*AV112+(1-EXP(-LN(2)/25))/(LN(2)/25)*Calculateur!AQ113*Calculateur!AS113*VLOOKUP('Données projet'!$B$10,Paramètres!$A$1:$I$89,3,0)*0.475*44/12</f>
        <v>18.292213481629894</v>
      </c>
      <c r="AW113" s="21">
        <f>EXP(-LN(2)/2)*AW112+(1-EXP(-LN(2)/2))/(LN(2)/2)*AQ113*AT113*VLOOKUP('Données projet'!$B$10,Paramètres!$A$1:$I$89,3,0)*0.475*44/12</f>
        <v>3.7987098531218883E-5</v>
      </c>
      <c r="AX113" s="21">
        <f t="shared" si="60"/>
        <v>113.60907529950758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-5.6843418860808015E-14</v>
      </c>
      <c r="BE113" s="13">
        <f>BD113*VLOOKUP('Données projet'!$B$11,Paramètres!$A$1:$I$89,3,0)*VLOOKUP('Données projet'!$B$11,Paramètres!$A$1:$I$89,5,0)</f>
        <v>-3.3992364478763198E-14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199.27781324660782</v>
      </c>
      <c r="BJ113" s="59">
        <f t="shared" si="92"/>
        <v>199.82499536488524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48.191547578830004</v>
      </c>
      <c r="BQ113" s="21">
        <f>EXP(-LN(2)/25)*BQ112+(1-EXP(-LN(2)/25))/(LN(2)/25)*Calculateur!BL113*Calculateur!BN113*VLOOKUP('Données projet'!$B$11,Paramètres!$A$1:$I$89,3,0)*0.475*44/12</f>
        <v>9.0404454820305666</v>
      </c>
      <c r="BR113" s="21">
        <f>EXP(-LN(2)/2)*BR112+(1-EXP(-LN(2)/2))/(LN(2)/2)*BL113*BO113*VLOOKUP('Données projet'!$B$11,Paramètres!$A$1:$I$89,3,0)*0.475*44/12</f>
        <v>9.525664790946023E-7</v>
      </c>
      <c r="BS113" s="22">
        <f t="shared" si="63"/>
        <v>57.231994013427055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-2.8421709430404007E-13</v>
      </c>
      <c r="BZ113" s="13">
        <f>BY113*VLOOKUP('Données projet'!$B$12,Paramètres!$A$1:$I$89,3,0)*VLOOKUP('Données projet'!$B$12,Paramètres!$A$1:$I$89,5,0)</f>
        <v>-1.69961822393816E-13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199.27781323742636</v>
      </c>
      <c r="CE113" s="59">
        <f t="shared" si="94"/>
        <v>199.82499536063892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48.19154757920959</v>
      </c>
      <c r="CL113" s="21">
        <f>EXP(-LN(2)/25)*CL112+(1-EXP(-LN(2)/25))/(LN(2)/25)*Calculateur!CG113*Calculateur!CI113*VLOOKUP('Données projet'!$B$12,Paramètres!$A$1:$I$89,3,0)*0.475*44/12</f>
        <v>9.0345457535704163</v>
      </c>
      <c r="CM113" s="21">
        <f>EXP(-LN(2)/2)*CM112+(1-EXP(-LN(2)/2))/(LN(2)/2)*CG113*CJ113*VLOOKUP('Données projet'!$B$12,Paramètres!$A$1:$I$89,3,0)*0.475*44/12</f>
        <v>9.5256711512739357E-7</v>
      </c>
      <c r="CN113" s="22">
        <f t="shared" si="66"/>
        <v>57.226094285347124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-3.979039320256561E-13</v>
      </c>
      <c r="CU113" s="17">
        <f>CT113*VLOOKUP('Données projet'!$B$13,Paramètres!$A$1:$I$89,3,0)*VLOOKUP('Données projet'!$B$13,Paramètres!$A$1:$I$89,5,0)</f>
        <v>-2.379465513513424E-13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213.18424462765137</v>
      </c>
      <c r="CZ113" s="59">
        <f t="shared" si="96"/>
        <v>158.77848520346532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78.527037535481583</v>
      </c>
      <c r="DG113" s="21">
        <f>EXP(-LN(2)/25)*DG112+(1-EXP(-LN(2)/25))/(LN(2)/25)*Calculateur!DB113*Calculateur!DD113*VLOOKUP('Données projet'!$B$13,Paramètres!$A$1:$I$89,3,0)*0.475*44/12</f>
        <v>14.892662089616234</v>
      </c>
      <c r="DH113" s="21">
        <f>EXP(-LN(2)/2)*DH112+(1-EXP(-LN(2)/2))/(LN(2)/2)*DB113*DE113*VLOOKUP('Données projet'!$B$13,Paramètres!$A$1:$I$89,3,0)*0.475*44/12</f>
        <v>1.1035590532493811E-3</v>
      </c>
      <c r="DI113" s="22">
        <f t="shared" si="69"/>
        <v>93.420803184151069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7.0884615384615346</v>
      </c>
      <c r="N114" s="13">
        <f>IF('Données projet'!$A$36&gt;35,N113+M114-V113,IF(A114&lt;'Données projet'!$A$36,$K$205^A114,IF(A114='Données projet'!$A$36,'Données projet'!$B$36,N113+M114-V113)))</f>
        <v>346.72307692307771</v>
      </c>
      <c r="O114" s="13">
        <f>N114*VLOOKUP('Données projet'!$B$9,Paramètres!$A$1:$I$89,3,0)*VLOOKUP('Données projet'!$B$9,Paramètres!$A$1:$I$89,5,0)</f>
        <v>162.26640000000037</v>
      </c>
      <c r="P114" s="13">
        <f t="shared" si="87"/>
        <v>41.35328902901945</v>
      </c>
      <c r="Q114" s="20">
        <f t="shared" si="107"/>
        <v>354.63762505887615</v>
      </c>
      <c r="R114" s="59">
        <f t="shared" si="55"/>
        <v>647.97095839220947</v>
      </c>
      <c r="S114" s="59">
        <f ca="1">AVERAGE(OFFSET($R$3,0,0,'Données projet'!$E$9+1,1))-AVERAGE(OFFSET($H$3,0,0,'Données projet'!$E$9+1,1))</f>
        <v>181.79645720099597</v>
      </c>
      <c r="T114" s="59">
        <f t="shared" si="88"/>
        <v>120.20040029102233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64.084464444592257</v>
      </c>
      <c r="AA114" s="21">
        <f>EXP(-LN(2)/25)*AA113+(1-EXP(-LN(2)/25))/(LN(2)/25)*Calculateur!V114*Calculateur!X114*VLOOKUP('Données projet'!$B$9,Paramètres!$A$1:$I$89,3,0)*0.475*44/12</f>
        <v>19.174093320342262</v>
      </c>
      <c r="AB114" s="21">
        <f>EXP(-LN(2)/2)*AB113+(1-EXP(-LN(2)/2))/(LN(2)/2)*V114*Y114*VLOOKUP('Données projet'!$B$9,Paramètres!$A$1:$I$89,3,0)*0.475*44/12</f>
        <v>2.8649328404906766</v>
      </c>
      <c r="AC114" s="22">
        <f t="shared" si="57"/>
        <v>86.123490605425204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253.62342381933348</v>
      </c>
      <c r="AO114" s="59">
        <f t="shared" si="90"/>
        <v>230.93438491775407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93.447719052979508</v>
      </c>
      <c r="AV114" s="21">
        <f>EXP(-LN(2)/25)*AV113+(1-EXP(-LN(2)/25))/(LN(2)/25)*Calculateur!AQ114*Calculateur!AS114*VLOOKUP('Données projet'!$B$10,Paramètres!$A$1:$I$89,3,0)*0.475*44/12</f>
        <v>17.792011942029024</v>
      </c>
      <c r="AW114" s="21">
        <f>EXP(-LN(2)/2)*AW113+(1-EXP(-LN(2)/2))/(LN(2)/2)*AQ114*AT114*VLOOKUP('Données projet'!$B$10,Paramètres!$A$1:$I$89,3,0)*0.475*44/12</f>
        <v>2.6860934969026412E-5</v>
      </c>
      <c r="AX114" s="21">
        <f t="shared" si="60"/>
        <v>111.23975785594349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-5.6843418860808015E-14</v>
      </c>
      <c r="BE114" s="13">
        <f>BD114*VLOOKUP('Données projet'!$B$11,Paramètres!$A$1:$I$89,3,0)*VLOOKUP('Données projet'!$B$11,Paramètres!$A$1:$I$89,5,0)</f>
        <v>-3.3992364478763198E-14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199.27781324660782</v>
      </c>
      <c r="BJ114" s="59">
        <f t="shared" si="92"/>
        <v>199.82499536488524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47.246540724750758</v>
      </c>
      <c r="BQ114" s="21">
        <f>EXP(-LN(2)/25)*BQ113+(1-EXP(-LN(2)/25))/(LN(2)/25)*Calculateur!BL114*Calculateur!BN114*VLOOKUP('Données projet'!$B$11,Paramètres!$A$1:$I$89,3,0)*0.475*44/12</f>
        <v>8.7932340249080756</v>
      </c>
      <c r="BR114" s="21">
        <f>EXP(-LN(2)/2)*BR113+(1-EXP(-LN(2)/2))/(LN(2)/2)*BL114*BO114*VLOOKUP('Données projet'!$B$11,Paramètres!$A$1:$I$89,3,0)*0.475*44/12</f>
        <v>6.7356621689878703E-7</v>
      </c>
      <c r="BS114" s="22">
        <f t="shared" si="63"/>
        <v>56.039775423225052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-2.8421709430404007E-13</v>
      </c>
      <c r="BZ114" s="13">
        <f>BY114*VLOOKUP('Données projet'!$B$12,Paramètres!$A$1:$I$89,3,0)*VLOOKUP('Données projet'!$B$12,Paramètres!$A$1:$I$89,5,0)</f>
        <v>-1.69961822393816E-13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199.27781323742636</v>
      </c>
      <c r="CE114" s="59">
        <f t="shared" si="94"/>
        <v>199.82499536063892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47.246540725122905</v>
      </c>
      <c r="CL114" s="21">
        <f>EXP(-LN(2)/25)*CL113+(1-EXP(-LN(2)/25))/(LN(2)/25)*Calculateur!CG114*Calculateur!CI114*VLOOKUP('Données projet'!$B$12,Paramètres!$A$1:$I$89,3,0)*0.475*44/12</f>
        <v>8.7874956248329212</v>
      </c>
      <c r="CM114" s="21">
        <f>EXP(-LN(2)/2)*CM113+(1-EXP(-LN(2)/2))/(LN(2)/2)*CG114*CJ114*VLOOKUP('Données projet'!$B$12,Paramètres!$A$1:$I$89,3,0)*0.475*44/12</f>
        <v>6.7356666664188675E-7</v>
      </c>
      <c r="CN114" s="22">
        <f t="shared" si="66"/>
        <v>56.034037023522494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-3.979039320256561E-13</v>
      </c>
      <c r="CU114" s="17">
        <f>CT114*VLOOKUP('Données projet'!$B$13,Paramètres!$A$1:$I$89,3,0)*VLOOKUP('Données projet'!$B$13,Paramètres!$A$1:$I$89,5,0)</f>
        <v>-2.379465513513424E-13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213.18424462765137</v>
      </c>
      <c r="CZ114" s="59">
        <f t="shared" si="96"/>
        <v>158.77848520346532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76.987170226174271</v>
      </c>
      <c r="DG114" s="21">
        <f>EXP(-LN(2)/25)*DG113+(1-EXP(-LN(2)/25))/(LN(2)/25)*Calculateur!DB114*Calculateur!DD114*VLOOKUP('Données projet'!$B$13,Paramètres!$A$1:$I$89,3,0)*0.475*44/12</f>
        <v>14.485421461604616</v>
      </c>
      <c r="DH114" s="21">
        <f>EXP(-LN(2)/2)*DH113+(1-EXP(-LN(2)/2))/(LN(2)/2)*DB114*DE114*VLOOKUP('Données projet'!$B$13,Paramètres!$A$1:$I$89,3,0)*0.475*44/12</f>
        <v>7.8033408999244366E-4</v>
      </c>
      <c r="DI114" s="22">
        <f t="shared" si="69"/>
        <v>91.473372021868883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7.0884615384615346</v>
      </c>
      <c r="N115" s="13">
        <f>IF('Données projet'!$A$36&gt;35,N114+M115-V114,IF(A115&lt;'Données projet'!$A$36,$K$205^A115,IF(A115='Données projet'!$A$36,'Données projet'!$B$36,N114+M115-V114)))</f>
        <v>353.81153846153927</v>
      </c>
      <c r="O115" s="13">
        <f>N115*VLOOKUP('Données projet'!$B$9,Paramètres!$A$1:$I$89,3,0)*VLOOKUP('Données projet'!$B$9,Paramètres!$A$1:$I$89,5,0)</f>
        <v>165.58380000000037</v>
      </c>
      <c r="P115" s="13">
        <f t="shared" si="87"/>
        <v>42.099431642932551</v>
      </c>
      <c r="Q115" s="20">
        <f t="shared" si="107"/>
        <v>361.71496177810815</v>
      </c>
      <c r="R115" s="59">
        <f t="shared" si="55"/>
        <v>655.04829511144146</v>
      </c>
      <c r="S115" s="59">
        <f ca="1">AVERAGE(OFFSET($R$3,0,0,'Données projet'!$E$9+1,1))-AVERAGE(OFFSET($H$3,0,0,'Données projet'!$E$9+1,1))</f>
        <v>181.79645720099597</v>
      </c>
      <c r="T115" s="59">
        <f t="shared" si="88"/>
        <v>120.20040029102233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62.82780718449753</v>
      </c>
      <c r="AA115" s="21">
        <f>EXP(-LN(2)/25)*AA114+(1-EXP(-LN(2)/25))/(LN(2)/25)*Calculateur!V115*Calculateur!X115*VLOOKUP('Données projet'!$B$9,Paramètres!$A$1:$I$89,3,0)*0.475*44/12</f>
        <v>18.649776730175759</v>
      </c>
      <c r="AB115" s="21">
        <f>EXP(-LN(2)/2)*AB114+(1-EXP(-LN(2)/2))/(LN(2)/2)*V115*Y115*VLOOKUP('Données projet'!$B$9,Paramètres!$A$1:$I$89,3,0)*0.475*44/12</f>
        <v>2.0258134391549949</v>
      </c>
      <c r="AC115" s="22">
        <f t="shared" si="57"/>
        <v>83.503397353828291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253.62342381933348</v>
      </c>
      <c r="AO115" s="59">
        <f t="shared" si="90"/>
        <v>230.93438491775407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91.615266279831175</v>
      </c>
      <c r="AV115" s="21">
        <f>EXP(-LN(2)/25)*AV114+(1-EXP(-LN(2)/25))/(LN(2)/25)*Calculateur!AQ115*Calculateur!AS115*VLOOKUP('Données projet'!$B$10,Paramètres!$A$1:$I$89,3,0)*0.475*44/12</f>
        <v>17.305488439832995</v>
      </c>
      <c r="AW115" s="21">
        <f>EXP(-LN(2)/2)*AW114+(1-EXP(-LN(2)/2))/(LN(2)/2)*AQ115*AT115*VLOOKUP('Données projet'!$B$10,Paramètres!$A$1:$I$89,3,0)*0.475*44/12</f>
        <v>1.8993549265609442E-5</v>
      </c>
      <c r="AX115" s="21">
        <f t="shared" si="60"/>
        <v>108.92077371321344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-5.6843418860808015E-14</v>
      </c>
      <c r="BE115" s="13">
        <f>BD115*VLOOKUP('Données projet'!$B$11,Paramètres!$A$1:$I$89,3,0)*VLOOKUP('Données projet'!$B$11,Paramètres!$A$1:$I$89,5,0)</f>
        <v>-3.3992364478763198E-14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199.27781324660782</v>
      </c>
      <c r="BJ115" s="59">
        <f t="shared" si="92"/>
        <v>199.82499536488524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46.320064878682743</v>
      </c>
      <c r="BQ115" s="21">
        <f>EXP(-LN(2)/25)*BQ114+(1-EXP(-LN(2)/25))/(LN(2)/25)*Calculateur!BL115*Calculateur!BN115*VLOOKUP('Données projet'!$B$11,Paramètres!$A$1:$I$89,3,0)*0.475*44/12</f>
        <v>8.5527825780808833</v>
      </c>
      <c r="BR115" s="21">
        <f>EXP(-LN(2)/2)*BR114+(1-EXP(-LN(2)/2))/(LN(2)/2)*BL115*BO115*VLOOKUP('Données projet'!$B$11,Paramètres!$A$1:$I$89,3,0)*0.475*44/12</f>
        <v>4.7628323954730126E-7</v>
      </c>
      <c r="BS115" s="22">
        <f t="shared" si="63"/>
        <v>54.872847933046863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-2.8421709430404007E-13</v>
      </c>
      <c r="BZ115" s="13">
        <f>BY115*VLOOKUP('Données projet'!$B$12,Paramètres!$A$1:$I$89,3,0)*VLOOKUP('Données projet'!$B$12,Paramètres!$A$1:$I$89,5,0)</f>
        <v>-1.69961822393816E-13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199.27781323742636</v>
      </c>
      <c r="CE115" s="59">
        <f t="shared" si="94"/>
        <v>199.82499536063892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46.320064879047592</v>
      </c>
      <c r="CL115" s="21">
        <f>EXP(-LN(2)/25)*CL114+(1-EXP(-LN(2)/25))/(LN(2)/25)*Calculateur!CG115*Calculateur!CI115*VLOOKUP('Données projet'!$B$12,Paramètres!$A$1:$I$89,3,0)*0.475*44/12</f>
        <v>8.5472010948575541</v>
      </c>
      <c r="CM115" s="21">
        <f>EXP(-LN(2)/2)*CM114+(1-EXP(-LN(2)/2))/(LN(2)/2)*CG115*CJ115*VLOOKUP('Données projet'!$B$12,Paramètres!$A$1:$I$89,3,0)*0.475*44/12</f>
        <v>4.7628355756369684E-7</v>
      </c>
      <c r="CN115" s="22">
        <f t="shared" si="66"/>
        <v>54.867266450188708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-3.979039320256561E-13</v>
      </c>
      <c r="CU115" s="17">
        <f>CT115*VLOOKUP('Données projet'!$B$13,Paramètres!$A$1:$I$89,3,0)*VLOOKUP('Données projet'!$B$13,Paramètres!$A$1:$I$89,5,0)</f>
        <v>-2.379465513513424E-13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213.18424462765137</v>
      </c>
      <c r="CZ115" s="59">
        <f t="shared" si="96"/>
        <v>158.77848520346532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75.477498775576166</v>
      </c>
      <c r="DG115" s="21">
        <f>EXP(-LN(2)/25)*DG114+(1-EXP(-LN(2)/25))/(LN(2)/25)*Calculateur!DB115*Calculateur!DD115*VLOOKUP('Données projet'!$B$13,Paramètres!$A$1:$I$89,3,0)*0.475*44/12</f>
        <v>14.089316849981831</v>
      </c>
      <c r="DH115" s="21">
        <f>EXP(-LN(2)/2)*DH114+(1-EXP(-LN(2)/2))/(LN(2)/2)*DB115*DE115*VLOOKUP('Données projet'!$B$13,Paramètres!$A$1:$I$89,3,0)*0.475*44/12</f>
        <v>5.5177952662469054E-4</v>
      </c>
      <c r="DI115" s="22">
        <f t="shared" si="69"/>
        <v>89.567367405084624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7.0884615384615346</v>
      </c>
      <c r="N116" s="13">
        <f>IF('Données projet'!$A$36&gt;35,N115+M116-V115,IF(A116&lt;'Données projet'!$A$36,$K$205^A116,IF(A116='Données projet'!$A$36,'Données projet'!$B$36,N115+M116-V115)))</f>
        <v>360.90000000000083</v>
      </c>
      <c r="O116" s="13">
        <f>N116*VLOOKUP('Données projet'!$B$9,Paramètres!$A$1:$I$89,3,0)*VLOOKUP('Données projet'!$B$9,Paramètres!$A$1:$I$89,5,0)</f>
        <v>168.90120000000039</v>
      </c>
      <c r="P116" s="13">
        <f t="shared" si="87"/>
        <v>42.843836138922327</v>
      </c>
      <c r="Q116" s="20">
        <f t="shared" si="107"/>
        <v>368.78927127529045</v>
      </c>
      <c r="R116" s="59">
        <f t="shared" si="55"/>
        <v>662.12260460862376</v>
      </c>
      <c r="S116" s="59">
        <f ca="1">AVERAGE(OFFSET($R$3,0,0,'Données projet'!$E$9+1,1))-AVERAGE(OFFSET($H$3,0,0,'Données projet'!$E$9+1,1))</f>
        <v>181.79645720099597</v>
      </c>
      <c r="T116" s="59">
        <f t="shared" si="88"/>
        <v>120.20040029102233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61.595792206788012</v>
      </c>
      <c r="AA116" s="21">
        <f>EXP(-LN(2)/25)*AA115+(1-EXP(-LN(2)/25))/(LN(2)/25)*Calculateur!V116*Calculateur!X116*VLOOKUP('Données projet'!$B$9,Paramètres!$A$1:$I$89,3,0)*0.475*44/12</f>
        <v>18.139797604739968</v>
      </c>
      <c r="AB116" s="21">
        <f>EXP(-LN(2)/2)*AB115+(1-EXP(-LN(2)/2))/(LN(2)/2)*V116*Y116*VLOOKUP('Données projet'!$B$9,Paramètres!$A$1:$I$89,3,0)*0.475*44/12</f>
        <v>1.4324664202453383</v>
      </c>
      <c r="AC116" s="22">
        <f t="shared" si="57"/>
        <v>81.168056231773306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253.62342381933348</v>
      </c>
      <c r="AO116" s="59">
        <f t="shared" si="90"/>
        <v>230.93438491775407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89.818746787878439</v>
      </c>
      <c r="AV116" s="21">
        <f>EXP(-LN(2)/25)*AV115+(1-EXP(-LN(2)/25))/(LN(2)/25)*Calculateur!AQ116*Calculateur!AS116*VLOOKUP('Données projet'!$B$10,Paramètres!$A$1:$I$89,3,0)*0.475*44/12</f>
        <v>16.832268948389679</v>
      </c>
      <c r="AW116" s="21">
        <f>EXP(-LN(2)/2)*AW115+(1-EXP(-LN(2)/2))/(LN(2)/2)*AQ116*AT116*VLOOKUP('Données projet'!$B$10,Paramètres!$A$1:$I$89,3,0)*0.475*44/12</f>
        <v>1.3430467484513206E-5</v>
      </c>
      <c r="AX116" s="21">
        <f t="shared" si="60"/>
        <v>106.65102916673561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-5.6843418860808015E-14</v>
      </c>
      <c r="BE116" s="13">
        <f>BD116*VLOOKUP('Données projet'!$B$11,Paramètres!$A$1:$I$89,3,0)*VLOOKUP('Données projet'!$B$11,Paramètres!$A$1:$I$89,5,0)</f>
        <v>-3.3992364478763198E-14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199.27781324660782</v>
      </c>
      <c r="BJ116" s="59">
        <f t="shared" si="92"/>
        <v>199.82499536488524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45.411756658861655</v>
      </c>
      <c r="BQ116" s="21">
        <f>EXP(-LN(2)/25)*BQ115+(1-EXP(-LN(2)/25))/(LN(2)/25)*Calculateur!BL116*Calculateur!BN116*VLOOKUP('Données projet'!$B$11,Paramètres!$A$1:$I$89,3,0)*0.475*44/12</f>
        <v>8.3189062887119736</v>
      </c>
      <c r="BR116" s="21">
        <f>EXP(-LN(2)/2)*BR115+(1-EXP(-LN(2)/2))/(LN(2)/2)*BL116*BO116*VLOOKUP('Données projet'!$B$11,Paramètres!$A$1:$I$89,3,0)*0.475*44/12</f>
        <v>3.3678310844939357E-7</v>
      </c>
      <c r="BS116" s="22">
        <f t="shared" si="63"/>
        <v>53.730663284356737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-2.8421709430404007E-13</v>
      </c>
      <c r="BZ116" s="13">
        <f>BY116*VLOOKUP('Données projet'!$B$12,Paramètres!$A$1:$I$89,3,0)*VLOOKUP('Données projet'!$B$12,Paramètres!$A$1:$I$89,5,0)</f>
        <v>-1.69961822393816E-13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199.27781323742636</v>
      </c>
      <c r="CE116" s="59">
        <f t="shared" si="94"/>
        <v>199.82499536063892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45.41175665921935</v>
      </c>
      <c r="CL116" s="21">
        <f>EXP(-LN(2)/25)*CL115+(1-EXP(-LN(2)/25))/(LN(2)/25)*Calculateur!CG116*Calculateur!CI116*VLOOKUP('Données projet'!$B$12,Paramètres!$A$1:$I$89,3,0)*0.475*44/12</f>
        <v>8.3134774314409032</v>
      </c>
      <c r="CM116" s="21">
        <f>EXP(-LN(2)/2)*CM115+(1-EXP(-LN(2)/2))/(LN(2)/2)*CG116*CJ116*VLOOKUP('Données projet'!$B$12,Paramètres!$A$1:$I$89,3,0)*0.475*44/12</f>
        <v>3.3678333332094343E-7</v>
      </c>
      <c r="CN116" s="22">
        <f t="shared" si="66"/>
        <v>53.725234427443581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-3.979039320256561E-13</v>
      </c>
      <c r="CU116" s="17">
        <f>CT116*VLOOKUP('Données projet'!$B$13,Paramètres!$A$1:$I$89,3,0)*VLOOKUP('Données projet'!$B$13,Paramètres!$A$1:$I$89,5,0)</f>
        <v>-2.379465513513424E-13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213.18424462765137</v>
      </c>
      <c r="CZ116" s="59">
        <f t="shared" si="96"/>
        <v>158.77848520346532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73.997431061315623</v>
      </c>
      <c r="DG116" s="21">
        <f>EXP(-LN(2)/25)*DG115+(1-EXP(-LN(2)/25))/(LN(2)/25)*Calculateur!DB116*Calculateur!DD116*VLOOKUP('Données projet'!$B$13,Paramètres!$A$1:$I$89,3,0)*0.475*44/12</f>
        <v>13.704043739794106</v>
      </c>
      <c r="DH116" s="21">
        <f>EXP(-LN(2)/2)*DH115+(1-EXP(-LN(2)/2))/(LN(2)/2)*DB116*DE116*VLOOKUP('Données projet'!$B$13,Paramètres!$A$1:$I$89,3,0)*0.475*44/12</f>
        <v>3.9016704499622183E-4</v>
      </c>
      <c r="DI116" s="22">
        <f t="shared" si="69"/>
        <v>87.701864968154723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7.0884615384615346</v>
      </c>
      <c r="N117" s="13">
        <f>IF('Données projet'!$A$36&gt;35,N116+M117-V116,IF(A117&lt;'Données projet'!$A$36,$K$205^A117,IF(A117='Données projet'!$A$36,'Données projet'!$B$36,N116+M117-V116)))</f>
        <v>367.98846153846239</v>
      </c>
      <c r="O117" s="13">
        <f>N117*VLOOKUP('Données projet'!$B$9,Paramètres!$A$1:$I$89,3,0)*VLOOKUP('Données projet'!$B$9,Paramètres!$A$1:$I$89,5,0)</f>
        <v>172.21860000000038</v>
      </c>
      <c r="P117" s="13">
        <f t="shared" si="87"/>
        <v>43.586540590608692</v>
      </c>
      <c r="Q117" s="20">
        <f t="shared" si="107"/>
        <v>375.86061986197745</v>
      </c>
      <c r="R117" s="59">
        <f t="shared" si="55"/>
        <v>669.19395319531077</v>
      </c>
      <c r="S117" s="59">
        <f ca="1">AVERAGE(OFFSET($R$3,0,0,'Données projet'!$E$9+1,1))-AVERAGE(OFFSET($H$3,0,0,'Données projet'!$E$9+1,1))</f>
        <v>181.79645720099597</v>
      </c>
      <c r="T117" s="59">
        <f t="shared" si="88"/>
        <v>120.20040029102233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60.387936291336445</v>
      </c>
      <c r="AA117" s="21">
        <f>EXP(-LN(2)/25)*AA116+(1-EXP(-LN(2)/25))/(LN(2)/25)*Calculateur!V117*Calculateur!X117*VLOOKUP('Données projet'!$B$9,Paramètres!$A$1:$I$89,3,0)*0.475*44/12</f>
        <v>17.643763885307855</v>
      </c>
      <c r="AB117" s="21">
        <f>EXP(-LN(2)/2)*AB116+(1-EXP(-LN(2)/2))/(LN(2)/2)*V117*Y117*VLOOKUP('Données projet'!$B$9,Paramètres!$A$1:$I$89,3,0)*0.475*44/12</f>
        <v>1.0129067195774974</v>
      </c>
      <c r="AC117" s="22">
        <f t="shared" si="57"/>
        <v>79.044606896221808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253.62342381933348</v>
      </c>
      <c r="AO117" s="59">
        <f t="shared" si="90"/>
        <v>230.93438491775407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88.057455947394203</v>
      </c>
      <c r="AV117" s="21">
        <f>EXP(-LN(2)/25)*AV116+(1-EXP(-LN(2)/25))/(LN(2)/25)*Calculateur!AQ117*Calculateur!AS117*VLOOKUP('Données projet'!$B$10,Paramètres!$A$1:$I$89,3,0)*0.475*44/12</f>
        <v>16.37198966882541</v>
      </c>
      <c r="AW117" s="21">
        <f>EXP(-LN(2)/2)*AW116+(1-EXP(-LN(2)/2))/(LN(2)/2)*AQ117*AT117*VLOOKUP('Données projet'!$B$10,Paramètres!$A$1:$I$89,3,0)*0.475*44/12</f>
        <v>9.4967746328047209E-6</v>
      </c>
      <c r="AX117" s="21">
        <f t="shared" si="60"/>
        <v>104.42945511299425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-5.6843418860808015E-14</v>
      </c>
      <c r="BE117" s="13">
        <f>BD117*VLOOKUP('Données projet'!$B$11,Paramètres!$A$1:$I$89,3,0)*VLOOKUP('Données projet'!$B$11,Paramètres!$A$1:$I$89,5,0)</f>
        <v>-3.3992364478763198E-14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199.27781324660782</v>
      </c>
      <c r="BJ117" s="59">
        <f t="shared" si="92"/>
        <v>199.82499536488524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44.521259809217945</v>
      </c>
      <c r="BQ117" s="21">
        <f>EXP(-LN(2)/25)*BQ116+(1-EXP(-LN(2)/25))/(LN(2)/25)*Calculateur!BL117*Calculateur!BN117*VLOOKUP('Données projet'!$B$11,Paramètres!$A$1:$I$89,3,0)*0.475*44/12</f>
        <v>8.0914253587748757</v>
      </c>
      <c r="BR117" s="21">
        <f>EXP(-LN(2)/2)*BR116+(1-EXP(-LN(2)/2))/(LN(2)/2)*BL117*BO117*VLOOKUP('Données projet'!$B$11,Paramètres!$A$1:$I$89,3,0)*0.475*44/12</f>
        <v>2.3814161977365066E-7</v>
      </c>
      <c r="BS117" s="22">
        <f t="shared" si="63"/>
        <v>52.612685406134439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-2.8421709430404007E-13</v>
      </c>
      <c r="BZ117" s="13">
        <f>BY117*VLOOKUP('Données projet'!$B$12,Paramètres!$A$1:$I$89,3,0)*VLOOKUP('Données projet'!$B$12,Paramètres!$A$1:$I$89,5,0)</f>
        <v>-1.69961822393816E-13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199.27781323742636</v>
      </c>
      <c r="CE117" s="59">
        <f t="shared" si="94"/>
        <v>199.82499536063892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44.521259809568626</v>
      </c>
      <c r="CL117" s="21">
        <f>EXP(-LN(2)/25)*CL116+(1-EXP(-LN(2)/25))/(LN(2)/25)*Calculateur!CG117*Calculateur!CI117*VLOOKUP('Données projet'!$B$12,Paramètres!$A$1:$I$89,3,0)*0.475*44/12</f>
        <v>8.0861449538913739</v>
      </c>
      <c r="CM117" s="21">
        <f>EXP(-LN(2)/2)*CM116+(1-EXP(-LN(2)/2))/(LN(2)/2)*CG117*CJ117*VLOOKUP('Données projet'!$B$12,Paramètres!$A$1:$I$89,3,0)*0.475*44/12</f>
        <v>2.3814177878184847E-7</v>
      </c>
      <c r="CN117" s="22">
        <f t="shared" si="66"/>
        <v>52.607405001601776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-3.979039320256561E-13</v>
      </c>
      <c r="CU117" s="17">
        <f>CT117*VLOOKUP('Données projet'!$B$13,Paramètres!$A$1:$I$89,3,0)*VLOOKUP('Données projet'!$B$13,Paramètres!$A$1:$I$89,5,0)</f>
        <v>-2.379465513513424E-13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213.18424462765137</v>
      </c>
      <c r="CZ117" s="59">
        <f t="shared" si="96"/>
        <v>158.77848520346532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72.546386572179557</v>
      </c>
      <c r="DG117" s="21">
        <f>EXP(-LN(2)/25)*DG116+(1-EXP(-LN(2)/25))/(LN(2)/25)*Calculateur!DB117*Calculateur!DD117*VLOOKUP('Données projet'!$B$13,Paramètres!$A$1:$I$89,3,0)*0.475*44/12</f>
        <v>13.329305943065096</v>
      </c>
      <c r="DH117" s="21">
        <f>EXP(-LN(2)/2)*DH116+(1-EXP(-LN(2)/2))/(LN(2)/2)*DB117*DE117*VLOOKUP('Données projet'!$B$13,Paramètres!$A$1:$I$89,3,0)*0.475*44/12</f>
        <v>2.7588976331234527E-4</v>
      </c>
      <c r="DI117" s="22">
        <f t="shared" si="69"/>
        <v>85.875968405007967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7.0884615384615346</v>
      </c>
      <c r="N118" s="13">
        <f>IF('Données projet'!$A$36&gt;35,N117+M118-V117,IF(A118&lt;'Données projet'!$A$36,$K$205^A118,IF(A118='Données projet'!$A$36,'Données projet'!$B$36,N117+M118-V117)))</f>
        <v>375.07692307692395</v>
      </c>
      <c r="O118" s="13">
        <f>N118*VLOOKUP('Données projet'!$B$9,Paramètres!$A$1:$I$89,3,0)*VLOOKUP('Données projet'!$B$9,Paramètres!$A$1:$I$89,5,0)</f>
        <v>175.5360000000004</v>
      </c>
      <c r="P118" s="13">
        <f t="shared" si="87"/>
        <v>44.327581520891201</v>
      </c>
      <c r="Q118" s="20">
        <f t="shared" si="107"/>
        <v>382.92907114888618</v>
      </c>
      <c r="R118" s="59">
        <f t="shared" si="55"/>
        <v>676.26240448221949</v>
      </c>
      <c r="S118" s="59">
        <f ca="1">AVERAGE(OFFSET($R$3,0,0,'Données projet'!$E$9+1,1))-AVERAGE(OFFSET($H$3,0,0,'Données projet'!$E$9+1,1))</f>
        <v>181.79645720099597</v>
      </c>
      <c r="T118" s="59">
        <f t="shared" si="88"/>
        <v>120.20040029102233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59.203765693667521</v>
      </c>
      <c r="AA118" s="21">
        <f>EXP(-LN(2)/25)*AA117+(1-EXP(-LN(2)/25))/(LN(2)/25)*Calculateur!V118*Calculateur!X118*VLOOKUP('Données projet'!$B$9,Paramètres!$A$1:$I$89,3,0)*0.475*44/12</f>
        <v>17.161294234018893</v>
      </c>
      <c r="AB118" s="21">
        <f>EXP(-LN(2)/2)*AB117+(1-EXP(-LN(2)/2))/(LN(2)/2)*V118*Y118*VLOOKUP('Données projet'!$B$9,Paramètres!$A$1:$I$89,3,0)*0.475*44/12</f>
        <v>0.71623321012266916</v>
      </c>
      <c r="AC118" s="22">
        <f t="shared" si="57"/>
        <v>77.081293137809084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253.62342381933348</v>
      </c>
      <c r="AO118" s="59">
        <f t="shared" si="90"/>
        <v>230.93438491775407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86.330702946010533</v>
      </c>
      <c r="AV118" s="21">
        <f>EXP(-LN(2)/25)*AV117+(1-EXP(-LN(2)/25))/(LN(2)/25)*Calculateur!AQ118*Calculateur!AS118*VLOOKUP('Données projet'!$B$10,Paramètres!$A$1:$I$89,3,0)*0.475*44/12</f>
        <v>15.924296750365862</v>
      </c>
      <c r="AW118" s="21">
        <f>EXP(-LN(2)/2)*AW117+(1-EXP(-LN(2)/2))/(LN(2)/2)*AQ118*AT118*VLOOKUP('Données projet'!$B$10,Paramètres!$A$1:$I$89,3,0)*0.475*44/12</f>
        <v>6.715233742256603E-6</v>
      </c>
      <c r="AX118" s="21">
        <f t="shared" si="60"/>
        <v>102.25500641161013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-5.6843418860808015E-14</v>
      </c>
      <c r="BE118" s="13">
        <f>BD118*VLOOKUP('Données projet'!$B$11,Paramètres!$A$1:$I$89,3,0)*VLOOKUP('Données projet'!$B$11,Paramètres!$A$1:$I$89,5,0)</f>
        <v>-3.3992364478763198E-14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199.27781324660782</v>
      </c>
      <c r="BJ118" s="59">
        <f t="shared" si="92"/>
        <v>199.82499536488524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43.6482250596463</v>
      </c>
      <c r="BQ118" s="21">
        <f>EXP(-LN(2)/25)*BQ117+(1-EXP(-LN(2)/25))/(LN(2)/25)*Calculateur!BL118*Calculateur!BN118*VLOOKUP('Données projet'!$B$11,Paramètres!$A$1:$I$89,3,0)*0.475*44/12</f>
        <v>7.8701649068296105</v>
      </c>
      <c r="BR118" s="21">
        <f>EXP(-LN(2)/2)*BR117+(1-EXP(-LN(2)/2))/(LN(2)/2)*BL118*BO118*VLOOKUP('Données projet'!$B$11,Paramètres!$A$1:$I$89,3,0)*0.475*44/12</f>
        <v>1.6839155422469681E-7</v>
      </c>
      <c r="BS118" s="22">
        <f t="shared" si="63"/>
        <v>51.51839013486746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-2.8421709430404007E-13</v>
      </c>
      <c r="BZ118" s="13">
        <f>BY118*VLOOKUP('Données projet'!$B$12,Paramètres!$A$1:$I$89,3,0)*VLOOKUP('Données projet'!$B$12,Paramètres!$A$1:$I$89,5,0)</f>
        <v>-1.69961822393816E-13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199.27781323742636</v>
      </c>
      <c r="CE118" s="59">
        <f t="shared" si="94"/>
        <v>199.82499536063892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43.648225059990111</v>
      </c>
      <c r="CL118" s="21">
        <f>EXP(-LN(2)/25)*CL117+(1-EXP(-LN(2)/25))/(LN(2)/25)*Calculateur!CG118*Calculateur!CI118*VLOOKUP('Données projet'!$B$12,Paramètres!$A$1:$I$89,3,0)*0.475*44/12</f>
        <v>7.8650288948953326</v>
      </c>
      <c r="CM118" s="21">
        <f>EXP(-LN(2)/2)*CM117+(1-EXP(-LN(2)/2))/(LN(2)/2)*CG118*CJ118*VLOOKUP('Données projet'!$B$12,Paramètres!$A$1:$I$89,3,0)*0.475*44/12</f>
        <v>1.6839166666047174E-7</v>
      </c>
      <c r="CN118" s="22">
        <f t="shared" si="66"/>
        <v>51.513254123277108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-3.979039320256561E-13</v>
      </c>
      <c r="CU118" s="17">
        <f>CT118*VLOOKUP('Données projet'!$B$13,Paramètres!$A$1:$I$89,3,0)*VLOOKUP('Données projet'!$B$13,Paramètres!$A$1:$I$89,5,0)</f>
        <v>-2.379465513513424E-13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213.18424462765137</v>
      </c>
      <c r="CZ118" s="59">
        <f t="shared" si="96"/>
        <v>158.77848520346532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71.1237961804257</v>
      </c>
      <c r="DG118" s="21">
        <f>EXP(-LN(2)/25)*DG117+(1-EXP(-LN(2)/25))/(LN(2)/25)*Calculateur!DB118*Calculateur!DD118*VLOOKUP('Données projet'!$B$13,Paramètres!$A$1:$I$89,3,0)*0.475*44/12</f>
        <v>12.964815371094247</v>
      </c>
      <c r="DH118" s="21">
        <f>EXP(-LN(2)/2)*DH117+(1-EXP(-LN(2)/2))/(LN(2)/2)*DB118*DE118*VLOOKUP('Données projet'!$B$13,Paramètres!$A$1:$I$89,3,0)*0.475*44/12</f>
        <v>1.9508352249811091E-4</v>
      </c>
      <c r="DI118" s="22">
        <f t="shared" si="69"/>
        <v>84.088806635042445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7.0884615384615346</v>
      </c>
      <c r="N119" s="13">
        <f>IF('Données projet'!$A$36&gt;35,N118+M119-V118,IF(A119&lt;'Données projet'!$A$36,$K$205^A119,IF(A119='Données projet'!$A$36,'Données projet'!$B$36,N118+M119-V118)))</f>
        <v>382.16538461538551</v>
      </c>
      <c r="O119" s="13">
        <f>N119*VLOOKUP('Données projet'!$B$9,Paramètres!$A$1:$I$89,3,0)*VLOOKUP('Données projet'!$B$9,Paramètres!$A$1:$I$89,5,0)</f>
        <v>178.85340000000042</v>
      </c>
      <c r="P119" s="13">
        <f t="shared" si="87"/>
        <v>45.066993993201848</v>
      </c>
      <c r="Q119" s="20">
        <f t="shared" si="107"/>
        <v>389.99468620482725</v>
      </c>
      <c r="R119" s="59">
        <f t="shared" si="55"/>
        <v>683.32801953816056</v>
      </c>
      <c r="S119" s="59">
        <f ca="1">AVERAGE(OFFSET($R$3,0,0,'Données projet'!$E$9+1,1))-AVERAGE(OFFSET($H$3,0,0,'Données projet'!$E$9+1,1))</f>
        <v>181.79645720099597</v>
      </c>
      <c r="T119" s="59">
        <f t="shared" si="88"/>
        <v>120.20040029102233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58.042815959146132</v>
      </c>
      <c r="AA119" s="21">
        <f>EXP(-LN(2)/25)*AA118+(1-EXP(-LN(2)/25))/(LN(2)/25)*Calculateur!V119*Calculateur!X119*VLOOKUP('Données projet'!$B$9,Paramètres!$A$1:$I$89,3,0)*0.475*44/12</f>
        <v>16.692017740716405</v>
      </c>
      <c r="AB119" s="21">
        <f>EXP(-LN(2)/2)*AB118+(1-EXP(-LN(2)/2))/(LN(2)/2)*V119*Y119*VLOOKUP('Données projet'!$B$9,Paramètres!$A$1:$I$89,3,0)*0.475*44/12</f>
        <v>0.50645335978874872</v>
      </c>
      <c r="AC119" s="22">
        <f t="shared" si="57"/>
        <v>75.241287059651285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253.62342381933348</v>
      </c>
      <c r="AO119" s="59">
        <f t="shared" si="90"/>
        <v>230.93438491775407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84.637810517768656</v>
      </c>
      <c r="AV119" s="21">
        <f>EXP(-LN(2)/25)*AV118+(1-EXP(-LN(2)/25))/(LN(2)/25)*Calculateur!AQ119*Calculateur!AS119*VLOOKUP('Données projet'!$B$10,Paramètres!$A$1:$I$89,3,0)*0.475*44/12</f>
        <v>15.488846018304736</v>
      </c>
      <c r="AW119" s="21">
        <f>EXP(-LN(2)/2)*AW118+(1-EXP(-LN(2)/2))/(LN(2)/2)*AQ119*AT119*VLOOKUP('Données projet'!$B$10,Paramètres!$A$1:$I$89,3,0)*0.475*44/12</f>
        <v>4.7483873164023604E-6</v>
      </c>
      <c r="AX119" s="21">
        <f t="shared" si="60"/>
        <v>100.12666128446071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-5.6843418860808015E-14</v>
      </c>
      <c r="BE119" s="13">
        <f>BD119*VLOOKUP('Données projet'!$B$11,Paramètres!$A$1:$I$89,3,0)*VLOOKUP('Données projet'!$B$11,Paramètres!$A$1:$I$89,5,0)</f>
        <v>-3.3992364478763198E-14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199.27781324660782</v>
      </c>
      <c r="BJ119" s="59">
        <f t="shared" si="92"/>
        <v>199.82499536488524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42.792309989015138</v>
      </c>
      <c r="BQ119" s="21">
        <f>EXP(-LN(2)/25)*BQ118+(1-EXP(-LN(2)/25))/(LN(2)/25)*Calculateur!BL119*Calculateur!BN119*VLOOKUP('Données projet'!$B$11,Paramètres!$A$1:$I$89,3,0)*0.475*44/12</f>
        <v>7.6549548335783699</v>
      </c>
      <c r="BR119" s="21">
        <f>EXP(-LN(2)/2)*BR118+(1-EXP(-LN(2)/2))/(LN(2)/2)*BL119*BO119*VLOOKUP('Données projet'!$B$11,Paramètres!$A$1:$I$89,3,0)*0.475*44/12</f>
        <v>1.1907080988682535E-7</v>
      </c>
      <c r="BS119" s="22">
        <f t="shared" si="63"/>
        <v>50.447264941664322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-2.8421709430404007E-13</v>
      </c>
      <c r="BZ119" s="13">
        <f>BY119*VLOOKUP('Données projet'!$B$12,Paramètres!$A$1:$I$89,3,0)*VLOOKUP('Données projet'!$B$12,Paramètres!$A$1:$I$89,5,0)</f>
        <v>-1.69961822393816E-13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199.27781323742636</v>
      </c>
      <c r="CE119" s="59">
        <f t="shared" si="94"/>
        <v>199.82499536063892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42.792309989352212</v>
      </c>
      <c r="CL119" s="21">
        <f>EXP(-LN(2)/25)*CL118+(1-EXP(-LN(2)/25))/(LN(2)/25)*Calculateur!CG119*Calculateur!CI119*VLOOKUP('Données projet'!$B$12,Paramètres!$A$1:$I$89,3,0)*0.475*44/12</f>
        <v>7.6499592661605256</v>
      </c>
      <c r="CM119" s="21">
        <f>EXP(-LN(2)/2)*CM118+(1-EXP(-LN(2)/2))/(LN(2)/2)*CG119*CJ119*VLOOKUP('Données projet'!$B$12,Paramètres!$A$1:$I$89,3,0)*0.475*44/12</f>
        <v>1.1907088939092425E-7</v>
      </c>
      <c r="CN119" s="22">
        <f t="shared" si="66"/>
        <v>50.442269374583631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-3.979039320256561E-13</v>
      </c>
      <c r="CU119" s="17">
        <f>CT119*VLOOKUP('Données projet'!$B$13,Paramètres!$A$1:$I$89,3,0)*VLOOKUP('Données projet'!$B$13,Paramètres!$A$1:$I$89,5,0)</f>
        <v>-2.379465513513424E-13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213.18424462765137</v>
      </c>
      <c r="CZ119" s="59">
        <f t="shared" si="96"/>
        <v>158.77848520346532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69.729101918559678</v>
      </c>
      <c r="DG119" s="21">
        <f>EXP(-LN(2)/25)*DG118+(1-EXP(-LN(2)/25))/(LN(2)/25)*Calculateur!DB119*Calculateur!DD119*VLOOKUP('Données projet'!$B$13,Paramètres!$A$1:$I$89,3,0)*0.475*44/12</f>
        <v>12.610291812981666</v>
      </c>
      <c r="DH119" s="21">
        <f>EXP(-LN(2)/2)*DH118+(1-EXP(-LN(2)/2))/(LN(2)/2)*DB119*DE119*VLOOKUP('Données projet'!$B$13,Paramètres!$A$1:$I$89,3,0)*0.475*44/12</f>
        <v>1.3794488165617264E-4</v>
      </c>
      <c r="DI119" s="22">
        <f t="shared" si="69"/>
        <v>82.339531676423007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7.0884615384615346</v>
      </c>
      <c r="N120" s="13">
        <f>IF('Données projet'!$A$36&gt;35,N119+M120-V119,IF(A120&lt;'Données projet'!$A$36,$K$205^A120,IF(A120='Données projet'!$A$36,'Données projet'!$B$36,N119+M120-V119)))</f>
        <v>389.25384615384706</v>
      </c>
      <c r="O120" s="13">
        <f>N120*VLOOKUP('Données projet'!$B$9,Paramètres!$A$1:$I$89,3,0)*VLOOKUP('Données projet'!$B$9,Paramètres!$A$1:$I$89,5,0)</f>
        <v>182.17080000000044</v>
      </c>
      <c r="P120" s="13">
        <f t="shared" si="87"/>
        <v>45.804811695795308</v>
      </c>
      <c r="Q120" s="20">
        <f t="shared" si="107"/>
        <v>397.05752370351092</v>
      </c>
      <c r="R120" s="59">
        <f t="shared" si="55"/>
        <v>690.39085703684418</v>
      </c>
      <c r="S120" s="59">
        <f ca="1">AVERAGE(OFFSET($R$3,0,0,'Données projet'!$E$9+1,1))-AVERAGE(OFFSET($H$3,0,0,'Données projet'!$E$9+1,1))</f>
        <v>181.79645720099597</v>
      </c>
      <c r="T120" s="59">
        <f t="shared" si="88"/>
        <v>120.20040029102233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56.904631740809293</v>
      </c>
      <c r="AA120" s="21">
        <f>EXP(-LN(2)/25)*AA119+(1-EXP(-LN(2)/25))/(LN(2)/25)*Calculateur!V120*Calculateur!X120*VLOOKUP('Données projet'!$B$9,Paramètres!$A$1:$I$89,3,0)*0.475*44/12</f>
        <v>16.235573637801451</v>
      </c>
      <c r="AB120" s="21">
        <f>EXP(-LN(2)/2)*AB119+(1-EXP(-LN(2)/2))/(LN(2)/2)*V120*Y120*VLOOKUP('Données projet'!$B$9,Paramètres!$A$1:$I$89,3,0)*0.475*44/12</f>
        <v>0.35811660506133458</v>
      </c>
      <c r="AC120" s="22">
        <f t="shared" si="57"/>
        <v>73.498321983672085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253.62342381933348</v>
      </c>
      <c r="AO120" s="59">
        <f t="shared" si="90"/>
        <v>230.93438491775407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82.978114677482182</v>
      </c>
      <c r="AV120" s="21">
        <f>EXP(-LN(2)/25)*AV119+(1-EXP(-LN(2)/25))/(LN(2)/25)*Calculateur!AQ120*Calculateur!AS120*VLOOKUP('Données projet'!$B$10,Paramètres!$A$1:$I$89,3,0)*0.475*44/12</f>
        <v>15.065302709411181</v>
      </c>
      <c r="AW120" s="21">
        <f>EXP(-LN(2)/2)*AW119+(1-EXP(-LN(2)/2))/(LN(2)/2)*AQ120*AT120*VLOOKUP('Données projet'!$B$10,Paramètres!$A$1:$I$89,3,0)*0.475*44/12</f>
        <v>3.3576168711283015E-6</v>
      </c>
      <c r="AX120" s="21">
        <f t="shared" si="60"/>
        <v>98.043420744510243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-5.6843418860808015E-14</v>
      </c>
      <c r="BE120" s="13">
        <f>BD120*VLOOKUP('Données projet'!$B$11,Paramètres!$A$1:$I$89,3,0)*VLOOKUP('Données projet'!$B$11,Paramètres!$A$1:$I$89,5,0)</f>
        <v>-3.3992364478763198E-14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199.27781324660782</v>
      </c>
      <c r="BJ120" s="59">
        <f t="shared" si="92"/>
        <v>199.82499536488524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41.953178890862411</v>
      </c>
      <c r="BQ120" s="21">
        <f>EXP(-LN(2)/25)*BQ119+(1-EXP(-LN(2)/25))/(LN(2)/25)*Calculateur!BL120*Calculateur!BN120*VLOOKUP('Données projet'!$B$11,Paramètres!$A$1:$I$89,3,0)*0.475*44/12</f>
        <v>7.4456296910975901</v>
      </c>
      <c r="BR120" s="21">
        <f>EXP(-LN(2)/2)*BR119+(1-EXP(-LN(2)/2))/(LN(2)/2)*BL120*BO120*VLOOKUP('Données projet'!$B$11,Paramètres!$A$1:$I$89,3,0)*0.475*44/12</f>
        <v>8.4195777112348419E-8</v>
      </c>
      <c r="BS120" s="22">
        <f t="shared" si="63"/>
        <v>49.398808666155773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-2.8421709430404007E-13</v>
      </c>
      <c r="BZ120" s="13">
        <f>BY120*VLOOKUP('Données projet'!$B$12,Paramètres!$A$1:$I$89,3,0)*VLOOKUP('Données projet'!$B$12,Paramètres!$A$1:$I$89,5,0)</f>
        <v>-1.69961822393816E-13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199.27781323742636</v>
      </c>
      <c r="CE120" s="59">
        <f t="shared" si="94"/>
        <v>199.82499536063892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41.953178891192877</v>
      </c>
      <c r="CL120" s="21">
        <f>EXP(-LN(2)/25)*CL119+(1-EXP(-LN(2)/25))/(LN(2)/25)*Calculateur!CG120*Calculateur!CI120*VLOOKUP('Données projet'!$B$12,Paramètres!$A$1:$I$89,3,0)*0.475*44/12</f>
        <v>7.4407707277334927</v>
      </c>
      <c r="CM120" s="21">
        <f>EXP(-LN(2)/2)*CM119+(1-EXP(-LN(2)/2))/(LN(2)/2)*CG120*CJ120*VLOOKUP('Données projet'!$B$12,Paramètres!$A$1:$I$89,3,0)*0.475*44/12</f>
        <v>8.4195833330235883E-8</v>
      </c>
      <c r="CN120" s="22">
        <f t="shared" si="66"/>
        <v>49.393949703122203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-3.979039320256561E-13</v>
      </c>
      <c r="CU120" s="17">
        <f>CT120*VLOOKUP('Données projet'!$B$13,Paramètres!$A$1:$I$89,3,0)*VLOOKUP('Données projet'!$B$13,Paramètres!$A$1:$I$89,5,0)</f>
        <v>-2.379465513513424E-13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213.18424462765137</v>
      </c>
      <c r="CZ120" s="59">
        <f t="shared" si="96"/>
        <v>158.77848520346532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68.361756760489357</v>
      </c>
      <c r="DG120" s="21">
        <f>EXP(-LN(2)/25)*DG119+(1-EXP(-LN(2)/25))/(LN(2)/25)*Calculateur!DB120*Calculateur!DD120*VLOOKUP('Données projet'!$B$13,Paramètres!$A$1:$I$89,3,0)*0.475*44/12</f>
        <v>12.265462720209257</v>
      </c>
      <c r="DH120" s="21">
        <f>EXP(-LN(2)/2)*DH119+(1-EXP(-LN(2)/2))/(LN(2)/2)*DB120*DE120*VLOOKUP('Données projet'!$B$13,Paramètres!$A$1:$I$89,3,0)*0.475*44/12</f>
        <v>9.7541761249055457E-5</v>
      </c>
      <c r="DI120" s="22">
        <f t="shared" si="69"/>
        <v>80.627317022459863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7.0884615384615346</v>
      </c>
      <c r="N121" s="13">
        <f>IF('Données projet'!$A$36&gt;35,N120+M121-V120,IF(A121&lt;'Données projet'!$A$36,$K$205^A121,IF(A121='Données projet'!$A$36,'Données projet'!$B$36,N120+M121-V120)))</f>
        <v>396.34230769230862</v>
      </c>
      <c r="O121" s="13">
        <f>N121*VLOOKUP('Données projet'!$B$9,Paramètres!$A$1:$I$89,3,0)*VLOOKUP('Données projet'!$B$9,Paramètres!$A$1:$I$89,5,0)</f>
        <v>185.48820000000043</v>
      </c>
      <c r="P121" s="13">
        <f t="shared" si="87"/>
        <v>46.541067019726086</v>
      </c>
      <c r="Q121" s="20">
        <f t="shared" si="107"/>
        <v>404.11764005935697</v>
      </c>
      <c r="R121" s="59">
        <f t="shared" si="55"/>
        <v>697.45097339269023</v>
      </c>
      <c r="S121" s="59">
        <f ca="1">AVERAGE(OFFSET($R$3,0,0,'Données projet'!$E$9+1,1))-AVERAGE(OFFSET($H$3,0,0,'Données projet'!$E$9+1,1))</f>
        <v>181.79645720099597</v>
      </c>
      <c r="T121" s="59">
        <f t="shared" si="88"/>
        <v>120.20040029102233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55.788766620770218</v>
      </c>
      <c r="AA121" s="21">
        <f>EXP(-LN(2)/25)*AA120+(1-EXP(-LN(2)/25))/(LN(2)/25)*Calculateur!V121*Calculateur!X121*VLOOKUP('Données projet'!$B$9,Paramètres!$A$1:$I$89,3,0)*0.475*44/12</f>
        <v>15.79161102288406</v>
      </c>
      <c r="AB121" s="21">
        <f>EXP(-LN(2)/2)*AB120+(1-EXP(-LN(2)/2))/(LN(2)/2)*V121*Y121*VLOOKUP('Données projet'!$B$9,Paramètres!$A$1:$I$89,3,0)*0.475*44/12</f>
        <v>0.25322667989437436</v>
      </c>
      <c r="AC121" s="22">
        <f t="shared" si="57"/>
        <v>71.833604323548641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253.62342381933348</v>
      </c>
      <c r="AO121" s="59">
        <f t="shared" si="90"/>
        <v>230.93438491775407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81.350964460309228</v>
      </c>
      <c r="AV121" s="21">
        <f>EXP(-LN(2)/25)*AV120+(1-EXP(-LN(2)/25))/(LN(2)/25)*Calculateur!AQ121*Calculateur!AS121*VLOOKUP('Données projet'!$B$10,Paramètres!$A$1:$I$89,3,0)*0.475*44/12</f>
        <v>14.653341214572496</v>
      </c>
      <c r="AW121" s="21">
        <f>EXP(-LN(2)/2)*AW120+(1-EXP(-LN(2)/2))/(LN(2)/2)*AQ121*AT121*VLOOKUP('Données projet'!$B$10,Paramètres!$A$1:$I$89,3,0)*0.475*44/12</f>
        <v>2.3741936582011802E-6</v>
      </c>
      <c r="AX121" s="21">
        <f t="shared" si="60"/>
        <v>96.004308049075377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-5.6843418860808015E-14</v>
      </c>
      <c r="BE121" s="13">
        <f>BD121*VLOOKUP('Données projet'!$B$11,Paramètres!$A$1:$I$89,3,0)*VLOOKUP('Données projet'!$B$11,Paramètres!$A$1:$I$89,5,0)</f>
        <v>-3.3992364478763198E-14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199.27781324660782</v>
      </c>
      <c r="BJ121" s="59">
        <f t="shared" si="92"/>
        <v>199.82499536488524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41.13050264172503</v>
      </c>
      <c r="BQ121" s="21">
        <f>EXP(-LN(2)/25)*BQ120+(1-EXP(-LN(2)/25))/(LN(2)/25)*Calculateur!BL121*Calculateur!BN121*VLOOKUP('Données projet'!$B$11,Paramètres!$A$1:$I$89,3,0)*0.475*44/12</f>
        <v>7.2420285556458781</v>
      </c>
      <c r="BR121" s="21">
        <f>EXP(-LN(2)/2)*BR120+(1-EXP(-LN(2)/2))/(LN(2)/2)*BL121*BO121*VLOOKUP('Données projet'!$B$11,Paramètres!$A$1:$I$89,3,0)*0.475*44/12</f>
        <v>5.9535404943412684E-8</v>
      </c>
      <c r="BS121" s="22">
        <f t="shared" si="63"/>
        <v>48.372531256906314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-2.8421709430404007E-13</v>
      </c>
      <c r="BZ121" s="13">
        <f>BY121*VLOOKUP('Données projet'!$B$12,Paramètres!$A$1:$I$89,3,0)*VLOOKUP('Données projet'!$B$12,Paramètres!$A$1:$I$89,5,0)</f>
        <v>-1.69961822393816E-13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199.27781323742636</v>
      </c>
      <c r="CE121" s="59">
        <f t="shared" si="94"/>
        <v>199.82499536063892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41.130502642049017</v>
      </c>
      <c r="CL121" s="21">
        <f>EXP(-LN(2)/25)*CL120+(1-EXP(-LN(2)/25))/(LN(2)/25)*Calculateur!CG121*Calculateur!CI121*VLOOKUP('Données projet'!$B$12,Paramètres!$A$1:$I$89,3,0)*0.475*44/12</f>
        <v>7.2373024608904934</v>
      </c>
      <c r="CM121" s="21">
        <f>EXP(-LN(2)/2)*CM120+(1-EXP(-LN(2)/2))/(LN(2)/2)*CG121*CJ121*VLOOKUP('Données projet'!$B$12,Paramètres!$A$1:$I$89,3,0)*0.475*44/12</f>
        <v>5.9535444695462131E-8</v>
      </c>
      <c r="CN121" s="22">
        <f t="shared" si="66"/>
        <v>48.367805162474959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-3.979039320256561E-13</v>
      </c>
      <c r="CU121" s="17">
        <f>CT121*VLOOKUP('Données projet'!$B$13,Paramètres!$A$1:$I$89,3,0)*VLOOKUP('Données projet'!$B$13,Paramètres!$A$1:$I$89,5,0)</f>
        <v>-2.379465513513424E-13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213.18424462765137</v>
      </c>
      <c r="CZ121" s="59">
        <f t="shared" si="96"/>
        <v>158.77848520346532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67.021224406970589</v>
      </c>
      <c r="DG121" s="21">
        <f>EXP(-LN(2)/25)*DG120+(1-EXP(-LN(2)/25))/(LN(2)/25)*Calculateur!DB121*Calculateur!DD121*VLOOKUP('Données projet'!$B$13,Paramètres!$A$1:$I$89,3,0)*0.475*44/12</f>
        <v>11.930062997112483</v>
      </c>
      <c r="DH121" s="21">
        <f>EXP(-LN(2)/2)*DH120+(1-EXP(-LN(2)/2))/(LN(2)/2)*DB121*DE121*VLOOKUP('Données projet'!$B$13,Paramètres!$A$1:$I$89,3,0)*0.475*44/12</f>
        <v>6.8972440828086318E-5</v>
      </c>
      <c r="DI121" s="22">
        <f t="shared" si="69"/>
        <v>78.951356376523904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7.0884615384615346</v>
      </c>
      <c r="N122" s="13">
        <f>IF('Données projet'!$A$36&gt;35,N121+M122-V121,IF(A122&lt;'Données projet'!$A$36,$K$205^A122,IF(A122='Données projet'!$A$36,'Données projet'!$B$36,N121+M122-V121)))</f>
        <v>403.43076923077018</v>
      </c>
      <c r="O122" s="13">
        <f>N122*VLOOKUP('Données projet'!$B$9,Paramètres!$A$1:$I$89,3,0)*VLOOKUP('Données projet'!$B$9,Paramètres!$A$1:$I$89,5,0)</f>
        <v>188.80560000000045</v>
      </c>
      <c r="P122" s="13">
        <f t="shared" si="87"/>
        <v>47.275791131089136</v>
      </c>
      <c r="Q122" s="20">
        <f t="shared" si="107"/>
        <v>411.17508955331436</v>
      </c>
      <c r="R122" s="59">
        <f t="shared" si="55"/>
        <v>704.50842288664762</v>
      </c>
      <c r="S122" s="59">
        <f ca="1">AVERAGE(OFFSET($R$3,0,0,'Données projet'!$E$9+1,1))-AVERAGE(OFFSET($H$3,0,0,'Données projet'!$E$9+1,1))</f>
        <v>181.79645720099597</v>
      </c>
      <c r="T122" s="59">
        <f t="shared" si="88"/>
        <v>120.20040029102233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54.694782935124586</v>
      </c>
      <c r="AA122" s="21">
        <f>EXP(-LN(2)/25)*AA121+(1-EXP(-LN(2)/25))/(LN(2)/25)*Calculateur!V122*Calculateur!X122*VLOOKUP('Données projet'!$B$9,Paramètres!$A$1:$I$89,3,0)*0.475*44/12</f>
        <v>15.359788589018564</v>
      </c>
      <c r="AB122" s="21">
        <f>EXP(-LN(2)/2)*AB121+(1-EXP(-LN(2)/2))/(LN(2)/2)*V122*Y122*VLOOKUP('Données projet'!$B$9,Paramètres!$A$1:$I$89,3,0)*0.475*44/12</f>
        <v>0.17905830253066729</v>
      </c>
      <c r="AC122" s="22">
        <f t="shared" si="57"/>
        <v>70.233629826673805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253.62342381933348</v>
      </c>
      <c r="AO122" s="59">
        <f t="shared" si="90"/>
        <v>230.93438491775407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79.755721666431398</v>
      </c>
      <c r="AV122" s="21">
        <f>EXP(-LN(2)/25)*AV121+(1-EXP(-LN(2)/25))/(LN(2)/25)*Calculateur!AQ122*Calculateur!AS122*VLOOKUP('Données projet'!$B$10,Paramètres!$A$1:$I$89,3,0)*0.475*44/12</f>
        <v>14.252644828474287</v>
      </c>
      <c r="AW122" s="21">
        <f>EXP(-LN(2)/2)*AW121+(1-EXP(-LN(2)/2))/(LN(2)/2)*AQ122*AT122*VLOOKUP('Données projet'!$B$10,Paramètres!$A$1:$I$89,3,0)*0.475*44/12</f>
        <v>1.6788084355641508E-6</v>
      </c>
      <c r="AX122" s="21">
        <f t="shared" si="60"/>
        <v>94.008368173714118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-5.6843418860808015E-14</v>
      </c>
      <c r="BE122" s="13">
        <f>BD122*VLOOKUP('Données projet'!$B$11,Paramètres!$A$1:$I$89,3,0)*VLOOKUP('Données projet'!$B$11,Paramètres!$A$1:$I$89,5,0)</f>
        <v>-3.3992364478763198E-14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199.27781324660782</v>
      </c>
      <c r="BJ122" s="59">
        <f t="shared" si="92"/>
        <v>199.82499536488524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40.323958572050266</v>
      </c>
      <c r="BQ122" s="21">
        <f>EXP(-LN(2)/25)*BQ121+(1-EXP(-LN(2)/25))/(LN(2)/25)*Calculateur!BL122*Calculateur!BN122*VLOOKUP('Données projet'!$B$11,Paramètres!$A$1:$I$89,3,0)*0.475*44/12</f>
        <v>7.0439949039500114</v>
      </c>
      <c r="BR122" s="21">
        <f>EXP(-LN(2)/2)*BR121+(1-EXP(-LN(2)/2))/(LN(2)/2)*BL122*BO122*VLOOKUP('Données projet'!$B$11,Paramètres!$A$1:$I$89,3,0)*0.475*44/12</f>
        <v>4.2097888556174216E-8</v>
      </c>
      <c r="BS122" s="22">
        <f t="shared" si="63"/>
        <v>47.367953518098169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-2.8421709430404007E-13</v>
      </c>
      <c r="BZ122" s="13">
        <f>BY122*VLOOKUP('Données projet'!$B$12,Paramètres!$A$1:$I$89,3,0)*VLOOKUP('Données projet'!$B$12,Paramètres!$A$1:$I$89,5,0)</f>
        <v>-1.69961822393816E-13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199.27781323742636</v>
      </c>
      <c r="CE122" s="59">
        <f t="shared" si="94"/>
        <v>199.82499536063892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40.3239585723679</v>
      </c>
      <c r="CL122" s="21">
        <f>EXP(-LN(2)/25)*CL121+(1-EXP(-LN(2)/25))/(LN(2)/25)*Calculateur!CG122*Calculateur!CI122*VLOOKUP('Données projet'!$B$12,Paramètres!$A$1:$I$89,3,0)*0.475*44/12</f>
        <v>7.0393980445042477</v>
      </c>
      <c r="CM122" s="21">
        <f>EXP(-LN(2)/2)*CM121+(1-EXP(-LN(2)/2))/(LN(2)/2)*CG122*CJ122*VLOOKUP('Données projet'!$B$12,Paramètres!$A$1:$I$89,3,0)*0.475*44/12</f>
        <v>4.2097916665117948E-8</v>
      </c>
      <c r="CN122" s="22">
        <f t="shared" si="66"/>
        <v>47.363356658970062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-3.979039320256561E-13</v>
      </c>
      <c r="CU122" s="17">
        <f>CT122*VLOOKUP('Données projet'!$B$13,Paramètres!$A$1:$I$89,3,0)*VLOOKUP('Données projet'!$B$13,Paramètres!$A$1:$I$89,5,0)</f>
        <v>-2.379465513513424E-13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213.18424462765137</v>
      </c>
      <c r="CZ122" s="59">
        <f t="shared" si="96"/>
        <v>158.77848520346532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65.706979075260321</v>
      </c>
      <c r="DG122" s="21">
        <f>EXP(-LN(2)/25)*DG121+(1-EXP(-LN(2)/25))/(LN(2)/25)*Calculateur!DB122*Calculateur!DD122*VLOOKUP('Données projet'!$B$13,Paramètres!$A$1:$I$89,3,0)*0.475*44/12</f>
        <v>11.603834797081696</v>
      </c>
      <c r="DH122" s="21">
        <f>EXP(-LN(2)/2)*DH121+(1-EXP(-LN(2)/2))/(LN(2)/2)*DB122*DE122*VLOOKUP('Données projet'!$B$13,Paramètres!$A$1:$I$89,3,0)*0.475*44/12</f>
        <v>4.8770880624527729E-5</v>
      </c>
      <c r="DI122" s="22">
        <f t="shared" si="69"/>
        <v>77.310862643222634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7.0884615384615346</v>
      </c>
      <c r="N123" s="13">
        <f>IF('Données projet'!$A$36&gt;35,N122+M123-V122,IF(A123&lt;'Données projet'!$A$36,$K$205^A123,IF(A123='Données projet'!$A$36,'Données projet'!$B$36,N122+M123-V122)))</f>
        <v>410.51923076923174</v>
      </c>
      <c r="O123" s="13">
        <f>N123*VLOOKUP('Données projet'!$B$9,Paramètres!$A$1:$I$89,3,0)*VLOOKUP('Données projet'!$B$9,Paramètres!$A$1:$I$89,5,0)</f>
        <v>192.12300000000045</v>
      </c>
      <c r="P123" s="13">
        <f t="shared" si="87"/>
        <v>48.009014038039808</v>
      </c>
      <c r="Q123" s="20">
        <f t="shared" si="107"/>
        <v>418.2299244495868</v>
      </c>
      <c r="R123" s="59">
        <f t="shared" si="55"/>
        <v>711.56325778292012</v>
      </c>
      <c r="S123" s="59">
        <f ca="1">AVERAGE(OFFSET($R$3,0,0,'Données projet'!$E$9+1,1))-AVERAGE(OFFSET($H$3,0,0,'Données projet'!$E$9+1,1))</f>
        <v>181.79645720099597</v>
      </c>
      <c r="T123" s="59">
        <f t="shared" si="88"/>
        <v>120.20040029102233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53.622251602290305</v>
      </c>
      <c r="AA123" s="21">
        <f>EXP(-LN(2)/25)*AA122+(1-EXP(-LN(2)/25))/(LN(2)/25)*Calculateur!V123*Calculateur!X123*VLOOKUP('Données projet'!$B$9,Paramètres!$A$1:$I$89,3,0)*0.475*44/12</f>
        <v>14.939774362315674</v>
      </c>
      <c r="AB123" s="21">
        <f>EXP(-LN(2)/2)*AB122+(1-EXP(-LN(2)/2))/(LN(2)/2)*V123*Y123*VLOOKUP('Données projet'!$B$9,Paramètres!$A$1:$I$89,3,0)*0.475*44/12</f>
        <v>0.12661333994718718</v>
      </c>
      <c r="AC123" s="22">
        <f t="shared" si="57"/>
        <v>68.688639304553163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253.62342381933348</v>
      </c>
      <c r="AO123" s="59">
        <f t="shared" si="90"/>
        <v>230.93438491775407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78.191760610739479</v>
      </c>
      <c r="AV123" s="21">
        <f>EXP(-LN(2)/25)*AV122+(1-EXP(-LN(2)/25))/(LN(2)/25)*Calculateur!AQ123*Calculateur!AS123*VLOOKUP('Données projet'!$B$10,Paramètres!$A$1:$I$89,3,0)*0.475*44/12</f>
        <v>13.862905506125641</v>
      </c>
      <c r="AW123" s="21">
        <f>EXP(-LN(2)/2)*AW122+(1-EXP(-LN(2)/2))/(LN(2)/2)*AQ123*AT123*VLOOKUP('Données projet'!$B$10,Paramètres!$A$1:$I$89,3,0)*0.475*44/12</f>
        <v>1.1870968291005901E-6</v>
      </c>
      <c r="AX123" s="21">
        <f t="shared" si="60"/>
        <v>92.054667303961949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-5.6843418860808015E-14</v>
      </c>
      <c r="BE123" s="13">
        <f>BD123*VLOOKUP('Données projet'!$B$11,Paramètres!$A$1:$I$89,3,0)*VLOOKUP('Données projet'!$B$11,Paramètres!$A$1:$I$89,5,0)</f>
        <v>-3.3992364478763198E-14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199.27781324660782</v>
      </c>
      <c r="BJ123" s="59">
        <f t="shared" si="92"/>
        <v>199.82499536488524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39.533230339638514</v>
      </c>
      <c r="BQ123" s="21">
        <f>EXP(-LN(2)/25)*BQ122+(1-EXP(-LN(2)/25))/(LN(2)/25)*Calculateur!BL123*Calculateur!BN123*VLOOKUP('Données projet'!$B$11,Paramètres!$A$1:$I$89,3,0)*0.475*44/12</f>
        <v>6.8513764928739054</v>
      </c>
      <c r="BR123" s="21">
        <f>EXP(-LN(2)/2)*BR122+(1-EXP(-LN(2)/2))/(LN(2)/2)*BL123*BO123*VLOOKUP('Données projet'!$B$11,Paramètres!$A$1:$I$89,3,0)*0.475*44/12</f>
        <v>2.9767702471706345E-8</v>
      </c>
      <c r="BS123" s="22">
        <f t="shared" si="63"/>
        <v>46.384606862280123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-2.8421709430404007E-13</v>
      </c>
      <c r="BZ123" s="13">
        <f>BY123*VLOOKUP('Données projet'!$B$12,Paramètres!$A$1:$I$89,3,0)*VLOOKUP('Données projet'!$B$12,Paramètres!$A$1:$I$89,5,0)</f>
        <v>-1.69961822393816E-13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199.27781323742636</v>
      </c>
      <c r="CE123" s="59">
        <f t="shared" si="94"/>
        <v>199.82499536063892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39.533230339949924</v>
      </c>
      <c r="CL123" s="21">
        <f>EXP(-LN(2)/25)*CL122+(1-EXP(-LN(2)/25))/(LN(2)/25)*Calculateur!CG123*Calculateur!CI123*VLOOKUP('Données projet'!$B$12,Paramètres!$A$1:$I$89,3,0)*0.475*44/12</f>
        <v>6.8469053347914244</v>
      </c>
      <c r="CM123" s="21">
        <f>EXP(-LN(2)/2)*CM122+(1-EXP(-LN(2)/2))/(LN(2)/2)*CG123*CJ123*VLOOKUP('Données projet'!$B$12,Paramètres!$A$1:$I$89,3,0)*0.475*44/12</f>
        <v>2.9767722347731072E-8</v>
      </c>
      <c r="CN123" s="22">
        <f t="shared" si="66"/>
        <v>46.380135704509065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-3.979039320256561E-13</v>
      </c>
      <c r="CU123" s="17">
        <f>CT123*VLOOKUP('Données projet'!$B$13,Paramètres!$A$1:$I$89,3,0)*VLOOKUP('Données projet'!$B$13,Paramètres!$A$1:$I$89,5,0)</f>
        <v>-2.379465513513424E-13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213.18424462765137</v>
      </c>
      <c r="CZ123" s="59">
        <f t="shared" si="96"/>
        <v>158.77848520346532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64.418505292894395</v>
      </c>
      <c r="DG123" s="21">
        <f>EXP(-LN(2)/25)*DG122+(1-EXP(-LN(2)/25))/(LN(2)/25)*Calculateur!DB123*Calculateur!DD123*VLOOKUP('Données projet'!$B$13,Paramètres!$A$1:$I$89,3,0)*0.475*44/12</f>
        <v>11.286527324336346</v>
      </c>
      <c r="DH123" s="21">
        <f>EXP(-LN(2)/2)*DH122+(1-EXP(-LN(2)/2))/(LN(2)/2)*DB123*DE123*VLOOKUP('Données projet'!$B$13,Paramètres!$A$1:$I$89,3,0)*0.475*44/12</f>
        <v>3.4486220414043159E-5</v>
      </c>
      <c r="DI123" s="22">
        <f t="shared" si="69"/>
        <v>75.705067103451157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>
        <f>VLOOKUP(A124,'Données projet'!$A$35:$I$55,2,0)</f>
        <v>417.60769230769228</v>
      </c>
      <c r="L124" s="12">
        <f>VLOOKUP(A124,'Données projet'!$A$35:$I$55,9,0)</f>
        <v>7.0884615384615346</v>
      </c>
      <c r="M124" s="12">
        <f t="array" ref="M124">INDEX(L:L,MIN(IF(ISNUMBER(L124:L320),ROW(L124:L320),"")))</f>
        <v>7.0884615384615346</v>
      </c>
      <c r="N124" s="13">
        <f>IF('Données projet'!$A$36&gt;35,N123+M124-V123,IF(A124&lt;'Données projet'!$A$36,$K$205^A124,IF(A124='Données projet'!$A$36,'Données projet'!$B$36,N123+M124-V123)))</f>
        <v>417.6076923076933</v>
      </c>
      <c r="O124" s="13">
        <f>N124*VLOOKUP('Données projet'!$B$9,Paramètres!$A$1:$I$89,3,0)*VLOOKUP('Données projet'!$B$9,Paramètres!$A$1:$I$89,5,0)</f>
        <v>195.44040000000044</v>
      </c>
      <c r="P124" s="13">
        <f t="shared" si="87"/>
        <v>48.740764653053404</v>
      </c>
      <c r="Q124" s="20">
        <f t="shared" si="107"/>
        <v>425.28219510406871</v>
      </c>
      <c r="R124" s="59">
        <f t="shared" si="55"/>
        <v>718.61552843740196</v>
      </c>
      <c r="S124" s="59">
        <f ca="1">AVERAGE(OFFSET($R$3,0,0,'Données projet'!$E$9+1,1))-AVERAGE(OFFSET($H$3,0,0,'Données projet'!$E$9+1,1))</f>
        <v>181.79645720099597</v>
      </c>
      <c r="T124" s="59">
        <f t="shared" si="88"/>
        <v>120.20040029102233</v>
      </c>
      <c r="U124" s="15">
        <f>IF(ISNA(VLOOKUP(A124,'Données projet'!$A$35:$I$55,3,0)),0,VLOOKUP(A124,'Données projet'!$A$35:$I$55,3,0))</f>
        <v>7</v>
      </c>
      <c r="V124" s="15">
        <f>IF(ISNA(VLOOKUP(A124,'Données projet'!$A$35:$I$55,4,0)),0,VLOOKUP(A124,'Données projet'!$A$35:$I$55,4,0))</f>
        <v>207.07692307692307</v>
      </c>
      <c r="W124" s="16">
        <f>IF(ISNA(VLOOKUP(A124,'Données projet'!$A$35:$I$55,5,0)),0%,VLOOKUP(A124,'Données projet'!$A$35:$I$55,5,0)*VLOOKUP('Données projet'!$B$9,Paramètres!$A$1:$I$89,7,0))</f>
        <v>0.38500000000000001</v>
      </c>
      <c r="X124" s="16">
        <f>IF(ISNA(VLOOKUP(A124,'Données projet'!$A$35:$I$55,6,0)),0%,VLOOKUP(A124,'Données projet'!$A$35:$I$55,6,0)*VLOOKUP('Données projet'!$B$9,Paramètres!$A$1:$I$89,7,0))</f>
        <v>9.240000000000001E-2</v>
      </c>
      <c r="Y124" s="16">
        <f>IF(ISNA(VLOOKUP(A124,'Données projet'!$A$35:$I$55,7,0)),0%,VLOOKUP(A124,'Données projet'!$A$35:$I$55,7,0))</f>
        <v>0.13200000000000001</v>
      </c>
      <c r="Z124" s="21">
        <f>EXP(-LN(2)/35)*Z123+(1-EXP(-LN(2)/35))/(LN(2)/35)*V124*W124*VLOOKUP('Données projet'!$B$9,Paramètres!$A$1:$I$89,3,0)*0.475*44/12</f>
        <v>102.06635753935271</v>
      </c>
      <c r="AA124" s="21">
        <f>EXP(-LN(2)/25)*AA123+(1-EXP(-LN(2)/25))/(LN(2)/25)*Calculateur!V124*Calculateur!X124*VLOOKUP('Données projet'!$B$9,Paramètres!$A$1:$I$89,3,0)*0.475*44/12</f>
        <v>26.363418853005165</v>
      </c>
      <c r="AB124" s="21">
        <f>EXP(-LN(2)/2)*AB123+(1-EXP(-LN(2)/2))/(LN(2)/2)*V124*Y124*VLOOKUP('Données projet'!$B$9,Paramètres!$A$1:$I$89,3,0)*0.475*44/12</f>
        <v>14.573479478426137</v>
      </c>
      <c r="AC124" s="22">
        <f t="shared" si="57"/>
        <v>143.00325587078402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253.62342381933348</v>
      </c>
      <c r="AO124" s="59">
        <f t="shared" si="90"/>
        <v>230.93438491775407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76.658467877427626</v>
      </c>
      <c r="AV124" s="21">
        <f>EXP(-LN(2)/25)*AV123+(1-EXP(-LN(2)/25))/(LN(2)/25)*Calculateur!AQ124*Calculateur!AS124*VLOOKUP('Données projet'!$B$10,Paramètres!$A$1:$I$89,3,0)*0.475*44/12</f>
        <v>13.483823626042119</v>
      </c>
      <c r="AW124" s="21">
        <f>EXP(-LN(2)/2)*AW123+(1-EXP(-LN(2)/2))/(LN(2)/2)*AQ124*AT124*VLOOKUP('Données projet'!$B$10,Paramètres!$A$1:$I$89,3,0)*0.475*44/12</f>
        <v>8.3940421778207538E-7</v>
      </c>
      <c r="AX124" s="21">
        <f t="shared" si="60"/>
        <v>90.142292342873972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-5.6843418860808015E-14</v>
      </c>
      <c r="BE124" s="13">
        <f>BD124*VLOOKUP('Données projet'!$B$11,Paramètres!$A$1:$I$89,3,0)*VLOOKUP('Données projet'!$B$11,Paramètres!$A$1:$I$89,5,0)</f>
        <v>-3.3992364478763198E-14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199.27781324660782</v>
      </c>
      <c r="BJ124" s="59">
        <f t="shared" si="92"/>
        <v>199.82499536488524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38.758007805567757</v>
      </c>
      <c r="BQ124" s="21">
        <f>EXP(-LN(2)/25)*BQ123+(1-EXP(-LN(2)/25))/(LN(2)/25)*Calculateur!BL124*Calculateur!BN124*VLOOKUP('Données projet'!$B$11,Paramètres!$A$1:$I$89,3,0)*0.475*44/12</f>
        <v>6.6640252423780373</v>
      </c>
      <c r="BR124" s="21">
        <f>EXP(-LN(2)/2)*BR123+(1-EXP(-LN(2)/2))/(LN(2)/2)*BL124*BO124*VLOOKUP('Données projet'!$B$11,Paramètres!$A$1:$I$89,3,0)*0.475*44/12</f>
        <v>2.1048944278087111E-8</v>
      </c>
      <c r="BS124" s="22">
        <f t="shared" si="63"/>
        <v>45.422033068994743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-2.8421709430404007E-13</v>
      </c>
      <c r="BZ124" s="13">
        <f>BY124*VLOOKUP('Données projet'!$B$12,Paramètres!$A$1:$I$89,3,0)*VLOOKUP('Données projet'!$B$12,Paramètres!$A$1:$I$89,5,0)</f>
        <v>-1.69961822393816E-13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199.27781323742636</v>
      </c>
      <c r="CE124" s="59">
        <f t="shared" si="94"/>
        <v>199.82499536063892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38.758007805873063</v>
      </c>
      <c r="CL124" s="21">
        <f>EXP(-LN(2)/25)*CL123+(1-EXP(-LN(2)/25))/(LN(2)/25)*Calculateur!CG124*Calculateur!CI124*VLOOKUP('Données projet'!$B$12,Paramètres!$A$1:$I$89,3,0)*0.475*44/12</f>
        <v>6.6596763483484498</v>
      </c>
      <c r="CM124" s="21">
        <f>EXP(-LN(2)/2)*CM123+(1-EXP(-LN(2)/2))/(LN(2)/2)*CG124*CJ124*VLOOKUP('Données projet'!$B$12,Paramètres!$A$1:$I$89,3,0)*0.475*44/12</f>
        <v>2.1048958332558977E-8</v>
      </c>
      <c r="CN124" s="22">
        <f t="shared" si="66"/>
        <v>45.417684175270473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-3.979039320256561E-13</v>
      </c>
      <c r="CU124" s="17">
        <f>CT124*VLOOKUP('Données projet'!$B$13,Paramètres!$A$1:$I$89,3,0)*VLOOKUP('Données projet'!$B$13,Paramètres!$A$1:$I$89,5,0)</f>
        <v>-2.379465513513424E-13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213.18424462765137</v>
      </c>
      <c r="CZ124" s="59">
        <f t="shared" si="96"/>
        <v>158.77848520346532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63.155297695509262</v>
      </c>
      <c r="DG124" s="21">
        <f>EXP(-LN(2)/25)*DG123+(1-EXP(-LN(2)/25))/(LN(2)/25)*Calculateur!DB124*Calculateur!DD124*VLOOKUP('Données projet'!$B$13,Paramètres!$A$1:$I$89,3,0)*0.475*44/12</f>
        <v>10.977896641119692</v>
      </c>
      <c r="DH124" s="21">
        <f>EXP(-LN(2)/2)*DH123+(1-EXP(-LN(2)/2))/(LN(2)/2)*DB124*DE124*VLOOKUP('Données projet'!$B$13,Paramètres!$A$1:$I$89,3,0)*0.475*44/12</f>
        <v>2.4385440312263864E-5</v>
      </c>
      <c r="DI124" s="22">
        <f t="shared" si="69"/>
        <v>74.133218722069259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4.9084615384615375</v>
      </c>
      <c r="N125" s="13">
        <f>IF('Données projet'!$A$36&gt;35,N124+M125-V124,IF(A125&lt;'Données projet'!$A$36,$K$205^A125,IF(A125='Données projet'!$A$36,'Données projet'!$B$36,N124+M125-V124)))</f>
        <v>215.43923076923178</v>
      </c>
      <c r="O125" s="13">
        <f>N125*VLOOKUP('Données projet'!$B$9,Paramètres!$A$1:$I$89,3,0)*VLOOKUP('Données projet'!$B$9,Paramètres!$A$1:$I$89,5,0)</f>
        <v>100.82556000000046</v>
      </c>
      <c r="P125" s="13">
        <f t="shared" si="87"/>
        <v>27.158581624033999</v>
      </c>
      <c r="Q125" s="20">
        <f t="shared" si="107"/>
        <v>222.90571332852667</v>
      </c>
      <c r="R125" s="59">
        <f t="shared" si="55"/>
        <v>516.23904666186002</v>
      </c>
      <c r="S125" s="59">
        <f ca="1">AVERAGE(OFFSET($R$3,0,0,'Données projet'!$E$9+1,1))-AVERAGE(OFFSET($H$3,0,0,'Données projet'!$E$9+1,1))</f>
        <v>181.79645720099597</v>
      </c>
      <c r="T125" s="59">
        <f t="shared" si="88"/>
        <v>120.20040029102233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100.06489852233699</v>
      </c>
      <c r="AA125" s="21">
        <f>EXP(-LN(2)/25)*AA124+(1-EXP(-LN(2)/25))/(LN(2)/25)*Calculateur!V125*Calculateur!X125*VLOOKUP('Données projet'!$B$9,Paramètres!$A$1:$I$89,3,0)*0.475*44/12</f>
        <v>25.642509778077795</v>
      </c>
      <c r="AB125" s="21">
        <f>EXP(-LN(2)/2)*AB124+(1-EXP(-LN(2)/2))/(LN(2)/2)*V125*Y125*VLOOKUP('Données projet'!$B$9,Paramètres!$A$1:$I$89,3,0)*0.475*44/12</f>
        <v>10.305006164678112</v>
      </c>
      <c r="AC125" s="22">
        <f t="shared" si="57"/>
        <v>136.01241446509289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253.62342381933348</v>
      </c>
      <c r="AO125" s="59">
        <f t="shared" si="90"/>
        <v>230.93438491775407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75.155242079399798</v>
      </c>
      <c r="AV125" s="21">
        <f>EXP(-LN(2)/25)*AV124+(1-EXP(-LN(2)/25))/(LN(2)/25)*Calculateur!AQ125*Calculateur!AS125*VLOOKUP('Données projet'!$B$10,Paramètres!$A$1:$I$89,3,0)*0.475*44/12</f>
        <v>13.11510775990453</v>
      </c>
      <c r="AW125" s="21">
        <f>EXP(-LN(2)/2)*AW124+(1-EXP(-LN(2)/2))/(LN(2)/2)*AQ125*AT125*VLOOKUP('Données projet'!$B$10,Paramètres!$A$1:$I$89,3,0)*0.475*44/12</f>
        <v>5.9354841455029505E-7</v>
      </c>
      <c r="AX125" s="21">
        <f t="shared" si="60"/>
        <v>88.270350432852752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-5.6843418860808015E-14</v>
      </c>
      <c r="BE125" s="13">
        <f>BD125*VLOOKUP('Données projet'!$B$11,Paramètres!$A$1:$I$89,3,0)*VLOOKUP('Données projet'!$B$11,Paramètres!$A$1:$I$89,5,0)</f>
        <v>-3.3992364478763198E-14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199.27781324660782</v>
      </c>
      <c r="BJ125" s="59">
        <f t="shared" si="92"/>
        <v>199.82499536488524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37.997986912551077</v>
      </c>
      <c r="BQ125" s="21">
        <f>EXP(-LN(2)/25)*BQ124+(1-EXP(-LN(2)/25))/(LN(2)/25)*Calculateur!BL125*Calculateur!BN125*VLOOKUP('Données projet'!$B$11,Paramètres!$A$1:$I$89,3,0)*0.475*44/12</f>
        <v>6.4817971216793531</v>
      </c>
      <c r="BR125" s="21">
        <f>EXP(-LN(2)/2)*BR124+(1-EXP(-LN(2)/2))/(LN(2)/2)*BL125*BO125*VLOOKUP('Données projet'!$B$11,Paramètres!$A$1:$I$89,3,0)*0.475*44/12</f>
        <v>1.4883851235853176E-8</v>
      </c>
      <c r="BS125" s="22">
        <f t="shared" si="63"/>
        <v>44.479784049114286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-2.8421709430404007E-13</v>
      </c>
      <c r="BZ125" s="13">
        <f>BY125*VLOOKUP('Données projet'!$B$12,Paramètres!$A$1:$I$89,3,0)*VLOOKUP('Données projet'!$B$12,Paramètres!$A$1:$I$89,5,0)</f>
        <v>-1.69961822393816E-13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199.27781323742636</v>
      </c>
      <c r="CE125" s="59">
        <f t="shared" si="94"/>
        <v>199.82499536063892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37.997986912850394</v>
      </c>
      <c r="CL125" s="21">
        <f>EXP(-LN(2)/25)*CL124+(1-EXP(-LN(2)/25))/(LN(2)/25)*Calculateur!CG125*Calculateur!CI125*VLOOKUP('Données projet'!$B$12,Paramètres!$A$1:$I$89,3,0)*0.475*44/12</f>
        <v>6.4775671483857034</v>
      </c>
      <c r="CM125" s="21">
        <f>EXP(-LN(2)/2)*CM124+(1-EXP(-LN(2)/2))/(LN(2)/2)*CG125*CJ125*VLOOKUP('Données projet'!$B$12,Paramètres!$A$1:$I$89,3,0)*0.475*44/12</f>
        <v>1.4883861173865538E-8</v>
      </c>
      <c r="CN125" s="22">
        <f t="shared" si="66"/>
        <v>44.475554076119955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-3.979039320256561E-13</v>
      </c>
      <c r="CU125" s="17">
        <f>CT125*VLOOKUP('Données projet'!$B$13,Paramètres!$A$1:$I$89,3,0)*VLOOKUP('Données projet'!$B$13,Paramètres!$A$1:$I$89,5,0)</f>
        <v>-2.379465513513424E-13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213.18424462765137</v>
      </c>
      <c r="CZ125" s="59">
        <f t="shared" si="96"/>
        <v>158.77848520346532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61.916860828628295</v>
      </c>
      <c r="DG125" s="21">
        <f>EXP(-LN(2)/25)*DG124+(1-EXP(-LN(2)/25))/(LN(2)/25)*Calculateur!DB125*Calculateur!DD125*VLOOKUP('Données projet'!$B$13,Paramètres!$A$1:$I$89,3,0)*0.475*44/12</f>
        <v>10.67770548016578</v>
      </c>
      <c r="DH125" s="21">
        <f>EXP(-LN(2)/2)*DH124+(1-EXP(-LN(2)/2))/(LN(2)/2)*DB125*DE125*VLOOKUP('Données projet'!$B$13,Paramètres!$A$1:$I$89,3,0)*0.475*44/12</f>
        <v>1.7243110207021579E-5</v>
      </c>
      <c r="DI125" s="22">
        <f t="shared" si="69"/>
        <v>72.594583551904279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4.9084615384615375</v>
      </c>
      <c r="N126" s="13">
        <f>IF('Données projet'!$A$36&gt;35,N125+M126-V125,IF(A126&lt;'Données projet'!$A$36,$K$205^A126,IF(A126='Données projet'!$A$36,'Données projet'!$B$36,N125+M126-V125)))</f>
        <v>220.34769230769331</v>
      </c>
      <c r="O126" s="13">
        <f>N126*VLOOKUP('Données projet'!$B$9,Paramètres!$A$1:$I$89,3,0)*VLOOKUP('Données projet'!$B$9,Paramètres!$A$1:$I$89,5,0)</f>
        <v>103.12272000000047</v>
      </c>
      <c r="P126" s="13">
        <f t="shared" si="87"/>
        <v>27.70460592159175</v>
      </c>
      <c r="Q126" s="20">
        <f t="shared" si="107"/>
        <v>227.8575926467731</v>
      </c>
      <c r="R126" s="59">
        <f t="shared" si="55"/>
        <v>521.19092598010639</v>
      </c>
      <c r="S126" s="59">
        <f ca="1">AVERAGE(OFFSET($R$3,0,0,'Données projet'!$E$9+1,1))-AVERAGE(OFFSET($H$3,0,0,'Données projet'!$E$9+1,1))</f>
        <v>181.79645720099597</v>
      </c>
      <c r="T126" s="59">
        <f t="shared" si="88"/>
        <v>120.20040029102233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98.102686895875493</v>
      </c>
      <c r="AA126" s="21">
        <f>EXP(-LN(2)/25)*AA125+(1-EXP(-LN(2)/25))/(LN(2)/25)*Calculateur!V126*Calculateur!X126*VLOOKUP('Données projet'!$B$9,Paramètres!$A$1:$I$89,3,0)*0.475*44/12</f>
        <v>24.941313999715273</v>
      </c>
      <c r="AB126" s="21">
        <f>EXP(-LN(2)/2)*AB125+(1-EXP(-LN(2)/2))/(LN(2)/2)*V126*Y126*VLOOKUP('Données projet'!$B$9,Paramètres!$A$1:$I$89,3,0)*0.475*44/12</f>
        <v>7.2867397392130693</v>
      </c>
      <c r="AC126" s="22">
        <f t="shared" si="57"/>
        <v>130.33074063480385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253.62342381933348</v>
      </c>
      <c r="AO126" s="59">
        <f t="shared" si="90"/>
        <v>230.93438491775407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73.6814936223941</v>
      </c>
      <c r="AV126" s="21">
        <f>EXP(-LN(2)/25)*AV125+(1-EXP(-LN(2)/25))/(LN(2)/25)*Calculateur!AQ126*Calculateur!AS126*VLOOKUP('Données projet'!$B$10,Paramètres!$A$1:$I$89,3,0)*0.475*44/12</f>
        <v>12.756474448516398</v>
      </c>
      <c r="AW126" s="21">
        <f>EXP(-LN(2)/2)*AW125+(1-EXP(-LN(2)/2))/(LN(2)/2)*AQ126*AT126*VLOOKUP('Données projet'!$B$10,Paramètres!$A$1:$I$89,3,0)*0.475*44/12</f>
        <v>4.1970210889103769E-7</v>
      </c>
      <c r="AX126" s="21">
        <f t="shared" si="60"/>
        <v>86.437968490612604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-5.6843418860808015E-14</v>
      </c>
      <c r="BE126" s="13">
        <f>BD126*VLOOKUP('Données projet'!$B$11,Paramètres!$A$1:$I$89,3,0)*VLOOKUP('Données projet'!$B$11,Paramètres!$A$1:$I$89,5,0)</f>
        <v>-3.3992364478763198E-14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199.27781324660782</v>
      </c>
      <c r="BJ126" s="59">
        <f t="shared" si="92"/>
        <v>199.82499536488524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37.252869565679482</v>
      </c>
      <c r="BQ126" s="21">
        <f>EXP(-LN(2)/25)*BQ125+(1-EXP(-LN(2)/25))/(LN(2)/25)*Calculateur!BL126*Calculateur!BN126*VLOOKUP('Données projet'!$B$11,Paramètres!$A$1:$I$89,3,0)*0.475*44/12</f>
        <v>6.3045520385241351</v>
      </c>
      <c r="BR126" s="21">
        <f>EXP(-LN(2)/2)*BR125+(1-EXP(-LN(2)/2))/(LN(2)/2)*BL126*BO126*VLOOKUP('Données projet'!$B$11,Paramètres!$A$1:$I$89,3,0)*0.475*44/12</f>
        <v>1.0524472139043557E-8</v>
      </c>
      <c r="BS126" s="22">
        <f t="shared" si="63"/>
        <v>43.557421614728092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-2.8421709430404007E-13</v>
      </c>
      <c r="BZ126" s="13">
        <f>BY126*VLOOKUP('Données projet'!$B$12,Paramètres!$A$1:$I$89,3,0)*VLOOKUP('Données projet'!$B$12,Paramètres!$A$1:$I$89,5,0)</f>
        <v>-1.69961822393816E-13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199.27781323742636</v>
      </c>
      <c r="CE126" s="59">
        <f t="shared" si="94"/>
        <v>199.82499536063892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37.252869565972929</v>
      </c>
      <c r="CL126" s="21">
        <f>EXP(-LN(2)/25)*CL125+(1-EXP(-LN(2)/25))/(LN(2)/25)*Calculateur!CG126*Calculateur!CI126*VLOOKUP('Données projet'!$B$12,Paramètres!$A$1:$I$89,3,0)*0.475*44/12</f>
        <v>6.300437734072645</v>
      </c>
      <c r="CM126" s="21">
        <f>EXP(-LN(2)/2)*CM125+(1-EXP(-LN(2)/2))/(LN(2)/2)*CG126*CJ126*VLOOKUP('Données projet'!$B$12,Paramètres!$A$1:$I$89,3,0)*0.475*44/12</f>
        <v>1.052447916627949E-8</v>
      </c>
      <c r="CN126" s="22">
        <f t="shared" si="66"/>
        <v>43.553307310570055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-3.979039320256561E-13</v>
      </c>
      <c r="CU126" s="17">
        <f>CT126*VLOOKUP('Données projet'!$B$13,Paramètres!$A$1:$I$89,3,0)*VLOOKUP('Données projet'!$B$13,Paramètres!$A$1:$I$89,5,0)</f>
        <v>-2.379465513513424E-13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213.18424462765137</v>
      </c>
      <c r="CZ126" s="59">
        <f t="shared" si="96"/>
        <v>158.77848520346532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60.702708953334962</v>
      </c>
      <c r="DG126" s="21">
        <f>EXP(-LN(2)/25)*DG125+(1-EXP(-LN(2)/25))/(LN(2)/25)*Calculateur!DB126*Calculateur!DD126*VLOOKUP('Données projet'!$B$13,Paramètres!$A$1:$I$89,3,0)*0.475*44/12</f>
        <v>10.38572306229452</v>
      </c>
      <c r="DH126" s="21">
        <f>EXP(-LN(2)/2)*DH125+(1-EXP(-LN(2)/2))/(LN(2)/2)*DB126*DE126*VLOOKUP('Données projet'!$B$13,Paramètres!$A$1:$I$89,3,0)*0.475*44/12</f>
        <v>1.2192720156131932E-5</v>
      </c>
      <c r="DI126" s="22">
        <f t="shared" si="69"/>
        <v>71.088444208349628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4.9084615384615375</v>
      </c>
      <c r="N127" s="13">
        <f>IF('Données projet'!$A$36&gt;35,N126+M127-V126,IF(A127&lt;'Données projet'!$A$36,$K$205^A127,IF(A127='Données projet'!$A$36,'Données projet'!$B$36,N126+M127-V126)))</f>
        <v>225.25615384615486</v>
      </c>
      <c r="O127" s="13">
        <f>N127*VLOOKUP('Données projet'!$B$9,Paramètres!$A$1:$I$89,3,0)*VLOOKUP('Données projet'!$B$9,Paramètres!$A$1:$I$89,5,0)</f>
        <v>105.41988000000046</v>
      </c>
      <c r="P127" s="13">
        <f t="shared" si="87"/>
        <v>28.249216129722416</v>
      </c>
      <c r="Q127" s="20">
        <f t="shared" si="107"/>
        <v>232.80700909260065</v>
      </c>
      <c r="R127" s="59">
        <f t="shared" si="55"/>
        <v>526.14034242593402</v>
      </c>
      <c r="S127" s="59">
        <f ca="1">AVERAGE(OFFSET($R$3,0,0,'Données projet'!$E$9+1,1))-AVERAGE(OFFSET($H$3,0,0,'Données projet'!$E$9+1,1))</f>
        <v>181.79645720099597</v>
      </c>
      <c r="T127" s="59">
        <f t="shared" si="88"/>
        <v>120.20040029102233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96.178953042578001</v>
      </c>
      <c r="AA127" s="21">
        <f>EXP(-LN(2)/25)*AA126+(1-EXP(-LN(2)/25))/(LN(2)/25)*Calculateur!V127*Calculateur!X127*VLOOKUP('Données projet'!$B$9,Paramètres!$A$1:$I$89,3,0)*0.475*44/12</f>
        <v>24.259292456786358</v>
      </c>
      <c r="AB127" s="21">
        <f>EXP(-LN(2)/2)*AB126+(1-EXP(-LN(2)/2))/(LN(2)/2)*V127*Y127*VLOOKUP('Données projet'!$B$9,Paramètres!$A$1:$I$89,3,0)*0.475*44/12</f>
        <v>5.1525030823390567</v>
      </c>
      <c r="AC127" s="22">
        <f t="shared" si="57"/>
        <v>125.59074858170341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253.62342381933348</v>
      </c>
      <c r="AO127" s="59">
        <f t="shared" si="90"/>
        <v>230.93438491775407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72.236644473732483</v>
      </c>
      <c r="AV127" s="21">
        <f>EXP(-LN(2)/25)*AV126+(1-EXP(-LN(2)/25))/(LN(2)/25)*Calculateur!AQ127*Calculateur!AS127*VLOOKUP('Données projet'!$B$10,Paramètres!$A$1:$I$89,3,0)*0.475*44/12</f>
        <v>12.407647983887882</v>
      </c>
      <c r="AW127" s="21">
        <f>EXP(-LN(2)/2)*AW126+(1-EXP(-LN(2)/2))/(LN(2)/2)*AQ127*AT127*VLOOKUP('Données projet'!$B$10,Paramètres!$A$1:$I$89,3,0)*0.475*44/12</f>
        <v>2.9677420727514753E-7</v>
      </c>
      <c r="AX127" s="21">
        <f t="shared" si="60"/>
        <v>84.64429275439457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-5.6843418860808015E-14</v>
      </c>
      <c r="BE127" s="13">
        <f>BD127*VLOOKUP('Données projet'!$B$11,Paramètres!$A$1:$I$89,3,0)*VLOOKUP('Données projet'!$B$11,Paramètres!$A$1:$I$89,5,0)</f>
        <v>-3.3992364478763198E-14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199.27781324660782</v>
      </c>
      <c r="BJ127" s="59">
        <f t="shared" si="92"/>
        <v>199.82499536488524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36.522363515503329</v>
      </c>
      <c r="BQ127" s="21">
        <f>EXP(-LN(2)/25)*BQ126+(1-EXP(-LN(2)/25))/(LN(2)/25)*Calculateur!BL127*Calculateur!BN127*VLOOKUP('Données projet'!$B$11,Paramètres!$A$1:$I$89,3,0)*0.475*44/12</f>
        <v>6.1321537314887102</v>
      </c>
      <c r="BR127" s="21">
        <f>EXP(-LN(2)/2)*BR126+(1-EXP(-LN(2)/2))/(LN(2)/2)*BL127*BO127*VLOOKUP('Données projet'!$B$11,Paramètres!$A$1:$I$89,3,0)*0.475*44/12</f>
        <v>7.4419256179265888E-9</v>
      </c>
      <c r="BS127" s="22">
        <f t="shared" si="63"/>
        <v>42.654517254433969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-2.8421709430404007E-13</v>
      </c>
      <c r="BZ127" s="13">
        <f>BY127*VLOOKUP('Données projet'!$B$12,Paramètres!$A$1:$I$89,3,0)*VLOOKUP('Données projet'!$B$12,Paramètres!$A$1:$I$89,5,0)</f>
        <v>-1.69961822393816E-13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199.27781323742636</v>
      </c>
      <c r="CE127" s="59">
        <f t="shared" si="94"/>
        <v>199.82499536063892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36.522363515791021</v>
      </c>
      <c r="CL127" s="21">
        <f>EXP(-LN(2)/25)*CL126+(1-EXP(-LN(2)/25))/(LN(2)/25)*Calculateur!CG127*Calculateur!CI127*VLOOKUP('Données projet'!$B$12,Paramètres!$A$1:$I$89,3,0)*0.475*44/12</f>
        <v>6.1281519329088079</v>
      </c>
      <c r="CM127" s="21">
        <f>EXP(-LN(2)/2)*CM126+(1-EXP(-LN(2)/2))/(LN(2)/2)*CG127*CJ127*VLOOKUP('Données projet'!$B$12,Paramètres!$A$1:$I$89,3,0)*0.475*44/12</f>
        <v>7.4419305869327706E-9</v>
      </c>
      <c r="CN127" s="22">
        <f t="shared" si="66"/>
        <v>42.650515456141761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-3.979039320256561E-13</v>
      </c>
      <c r="CU127" s="17">
        <f>CT127*VLOOKUP('Données projet'!$B$13,Paramètres!$A$1:$I$89,3,0)*VLOOKUP('Données projet'!$B$13,Paramètres!$A$1:$I$89,5,0)</f>
        <v>-2.379465513513424E-13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213.18424462765137</v>
      </c>
      <c r="CZ127" s="59">
        <f t="shared" si="96"/>
        <v>158.77848520346532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59.512365855756613</v>
      </c>
      <c r="DG127" s="21">
        <f>EXP(-LN(2)/25)*DG126+(1-EXP(-LN(2)/25))/(LN(2)/25)*Calculateur!DB127*Calculateur!DD127*VLOOKUP('Données projet'!$B$13,Paramètres!$A$1:$I$89,3,0)*0.475*44/12</f>
        <v>10.101724918994638</v>
      </c>
      <c r="DH127" s="21">
        <f>EXP(-LN(2)/2)*DH126+(1-EXP(-LN(2)/2))/(LN(2)/2)*DB127*DE127*VLOOKUP('Données projet'!$B$13,Paramètres!$A$1:$I$89,3,0)*0.475*44/12</f>
        <v>8.6215551035107897E-6</v>
      </c>
      <c r="DI127" s="22">
        <f t="shared" si="69"/>
        <v>69.614099396306344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4.9084615384615375</v>
      </c>
      <c r="N128" s="13">
        <f>IF('Données projet'!$A$36&gt;35,N127+M128-V127,IF(A128&lt;'Données projet'!$A$36,$K$205^A128,IF(A128='Données projet'!$A$36,'Données projet'!$B$36,N127+M128-V127)))</f>
        <v>230.16461538461641</v>
      </c>
      <c r="O128" s="13">
        <f>N128*VLOOKUP('Données projet'!$B$9,Paramètres!$A$1:$I$89,3,0)*VLOOKUP('Données projet'!$B$9,Paramètres!$A$1:$I$89,5,0)</f>
        <v>107.71704000000048</v>
      </c>
      <c r="P128" s="13">
        <f t="shared" si="87"/>
        <v>28.792446610882244</v>
      </c>
      <c r="Q128" s="20">
        <f t="shared" si="107"/>
        <v>237.75402251395406</v>
      </c>
      <c r="R128" s="59">
        <f t="shared" si="55"/>
        <v>531.08735584728743</v>
      </c>
      <c r="S128" s="59">
        <f ca="1">AVERAGE(OFFSET($R$3,0,0,'Données projet'!$E$9+1,1))-AVERAGE(OFFSET($H$3,0,0,'Données projet'!$E$9+1,1))</f>
        <v>181.79645720099597</v>
      </c>
      <c r="T128" s="59">
        <f t="shared" si="88"/>
        <v>120.20040029102233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94.292942436781871</v>
      </c>
      <c r="AA128" s="21">
        <f>EXP(-LN(2)/25)*AA127+(1-EXP(-LN(2)/25))/(LN(2)/25)*Calculateur!V128*Calculateur!X128*VLOOKUP('Données projet'!$B$9,Paramètres!$A$1:$I$89,3,0)*0.475*44/12</f>
        <v>23.595920828814791</v>
      </c>
      <c r="AB128" s="21">
        <f>EXP(-LN(2)/2)*AB127+(1-EXP(-LN(2)/2))/(LN(2)/2)*V128*Y128*VLOOKUP('Données projet'!$B$9,Paramètres!$A$1:$I$89,3,0)*0.475*44/12</f>
        <v>3.6433698696065351</v>
      </c>
      <c r="AC128" s="22">
        <f t="shared" si="57"/>
        <v>121.53223313520319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253.62342381933348</v>
      </c>
      <c r="AO128" s="59">
        <f t="shared" si="90"/>
        <v>230.93438491775407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70.820127935605157</v>
      </c>
      <c r="AV128" s="21">
        <f>EXP(-LN(2)/25)*AV127+(1-EXP(-LN(2)/25))/(LN(2)/25)*Calculateur!AQ128*Calculateur!AS128*VLOOKUP('Données projet'!$B$10,Paramètres!$A$1:$I$89,3,0)*0.475*44/12</f>
        <v>12.068360197278619</v>
      </c>
      <c r="AW128" s="21">
        <f>EXP(-LN(2)/2)*AW127+(1-EXP(-LN(2)/2))/(LN(2)/2)*AQ128*AT128*VLOOKUP('Données projet'!$B$10,Paramètres!$A$1:$I$89,3,0)*0.475*44/12</f>
        <v>2.0985105444551884E-7</v>
      </c>
      <c r="AX128" s="21">
        <f t="shared" si="60"/>
        <v>82.888488342734831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-5.6843418860808015E-14</v>
      </c>
      <c r="BE128" s="13">
        <f>BD128*VLOOKUP('Données projet'!$B$11,Paramètres!$A$1:$I$89,3,0)*VLOOKUP('Données projet'!$B$11,Paramètres!$A$1:$I$89,5,0)</f>
        <v>-3.3992364478763198E-14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199.27781324660782</v>
      </c>
      <c r="BJ128" s="59">
        <f t="shared" si="92"/>
        <v>199.82499536488524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35.80618224340644</v>
      </c>
      <c r="BQ128" s="21">
        <f>EXP(-LN(2)/25)*BQ127+(1-EXP(-LN(2)/25))/(LN(2)/25)*Calculateur!BL128*Calculateur!BN128*VLOOKUP('Données projet'!$B$11,Paramètres!$A$1:$I$89,3,0)*0.475*44/12</f>
        <v>5.9644696652252023</v>
      </c>
      <c r="BR128" s="21">
        <f>EXP(-LN(2)/2)*BR127+(1-EXP(-LN(2)/2))/(LN(2)/2)*BL128*BO128*VLOOKUP('Données projet'!$B$11,Paramètres!$A$1:$I$89,3,0)*0.475*44/12</f>
        <v>5.2622360695217795E-9</v>
      </c>
      <c r="BS128" s="22">
        <f t="shared" si="63"/>
        <v>41.770651913893879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-2.8421709430404007E-13</v>
      </c>
      <c r="BZ128" s="13">
        <f>BY128*VLOOKUP('Données projet'!$B$12,Paramètres!$A$1:$I$89,3,0)*VLOOKUP('Données projet'!$B$12,Paramètres!$A$1:$I$89,5,0)</f>
        <v>-1.69961822393816E-13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199.27781323742636</v>
      </c>
      <c r="CE128" s="59">
        <f t="shared" si="94"/>
        <v>199.82499536063892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35.80618224368849</v>
      </c>
      <c r="CL128" s="21">
        <f>EXP(-LN(2)/25)*CL127+(1-EXP(-LN(2)/25))/(LN(2)/25)*Calculateur!CG128*Calculateur!CI128*VLOOKUP('Données projet'!$B$12,Paramètres!$A$1:$I$89,3,0)*0.475*44/12</f>
        <v>5.9605772960379122</v>
      </c>
      <c r="CM128" s="21">
        <f>EXP(-LN(2)/2)*CM127+(1-EXP(-LN(2)/2))/(LN(2)/2)*CG128*CJ128*VLOOKUP('Données projet'!$B$12,Paramètres!$A$1:$I$89,3,0)*0.475*44/12</f>
        <v>5.262239583139746E-9</v>
      </c>
      <c r="CN128" s="22">
        <f t="shared" si="66"/>
        <v>41.766759544988638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-3.979039320256561E-13</v>
      </c>
      <c r="CU128" s="17">
        <f>CT128*VLOOKUP('Données projet'!$B$13,Paramètres!$A$1:$I$89,3,0)*VLOOKUP('Données projet'!$B$13,Paramètres!$A$1:$I$89,5,0)</f>
        <v>-2.379465513513424E-13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213.18424462765137</v>
      </c>
      <c r="CZ128" s="59">
        <f t="shared" si="96"/>
        <v>158.77848520346532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58.345364660284176</v>
      </c>
      <c r="DG128" s="21">
        <f>EXP(-LN(2)/25)*DG127+(1-EXP(-LN(2)/25))/(LN(2)/25)*Calculateur!DB128*Calculateur!DD128*VLOOKUP('Données projet'!$B$13,Paramètres!$A$1:$I$89,3,0)*0.475*44/12</f>
        <v>9.8254927198581044</v>
      </c>
      <c r="DH128" s="21">
        <f>EXP(-LN(2)/2)*DH127+(1-EXP(-LN(2)/2))/(LN(2)/2)*DB128*DE128*VLOOKUP('Données projet'!$B$13,Paramètres!$A$1:$I$89,3,0)*0.475*44/12</f>
        <v>6.0963600780659661E-6</v>
      </c>
      <c r="DI128" s="22">
        <f t="shared" si="69"/>
        <v>68.170863476502362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4.9084615384615375</v>
      </c>
      <c r="N129" s="13">
        <f>IF('Données projet'!$A$36&gt;35,N128+M129-V128,IF(A129&lt;'Données projet'!$A$36,$K$205^A129,IF(A129='Données projet'!$A$36,'Données projet'!$B$36,N128+M129-V128)))</f>
        <v>235.07307692307796</v>
      </c>
      <c r="O129" s="13">
        <f>N129*VLOOKUP('Données projet'!$B$9,Paramètres!$A$1:$I$89,3,0)*VLOOKUP('Données projet'!$B$9,Paramètres!$A$1:$I$89,5,0)</f>
        <v>110.01420000000049</v>
      </c>
      <c r="P129" s="13">
        <f t="shared" si="87"/>
        <v>29.334330178180249</v>
      </c>
      <c r="Q129" s="20">
        <f t="shared" si="107"/>
        <v>242.69869006033142</v>
      </c>
      <c r="R129" s="59">
        <f t="shared" si="55"/>
        <v>536.03202339366476</v>
      </c>
      <c r="S129" s="59">
        <f ca="1">AVERAGE(OFFSET($R$3,0,0,'Données projet'!$E$9+1,1))-AVERAGE(OFFSET($H$3,0,0,'Données projet'!$E$9+1,1))</f>
        <v>181.79645720099597</v>
      </c>
      <c r="T129" s="59">
        <f t="shared" si="88"/>
        <v>120.20040029102233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92.443915348612521</v>
      </c>
      <c r="AA129" s="21">
        <f>EXP(-LN(2)/25)*AA128+(1-EXP(-LN(2)/25))/(LN(2)/25)*Calculateur!V129*Calculateur!X129*VLOOKUP('Données projet'!$B$9,Paramètres!$A$1:$I$89,3,0)*0.475*44/12</f>
        <v>22.950689132895302</v>
      </c>
      <c r="AB129" s="21">
        <f>EXP(-LN(2)/2)*AB128+(1-EXP(-LN(2)/2))/(LN(2)/2)*V129*Y129*VLOOKUP('Données projet'!$B$9,Paramètres!$A$1:$I$89,3,0)*0.475*44/12</f>
        <v>2.5762515411695284</v>
      </c>
      <c r="AC129" s="22">
        <f t="shared" si="57"/>
        <v>117.97085602267735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253.62342381933348</v>
      </c>
      <c r="AO129" s="59">
        <f t="shared" si="90"/>
        <v>230.93438491775407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69.431388422800723</v>
      </c>
      <c r="AV129" s="21">
        <f>EXP(-LN(2)/25)*AV128+(1-EXP(-LN(2)/25))/(LN(2)/25)*Calculateur!AQ129*Calculateur!AS129*VLOOKUP('Données projet'!$B$10,Paramètres!$A$1:$I$89,3,0)*0.475*44/12</f>
        <v>11.738350253036554</v>
      </c>
      <c r="AW129" s="21">
        <f>EXP(-LN(2)/2)*AW128+(1-EXP(-LN(2)/2))/(LN(2)/2)*AQ129*AT129*VLOOKUP('Données projet'!$B$10,Paramètres!$A$1:$I$89,3,0)*0.475*44/12</f>
        <v>1.4838710363757376E-7</v>
      </c>
      <c r="AX129" s="21">
        <f t="shared" si="60"/>
        <v>81.169738824224382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-5.6843418860808015E-14</v>
      </c>
      <c r="BE129" s="13">
        <f>BD129*VLOOKUP('Données projet'!$B$11,Paramètres!$A$1:$I$89,3,0)*VLOOKUP('Données projet'!$B$11,Paramètres!$A$1:$I$89,5,0)</f>
        <v>-3.3992364478763198E-14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199.27781324660782</v>
      </c>
      <c r="BJ129" s="59">
        <f t="shared" si="92"/>
        <v>199.82499536488524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35.104044849227925</v>
      </c>
      <c r="BQ129" s="21">
        <f>EXP(-LN(2)/25)*BQ128+(1-EXP(-LN(2)/25))/(LN(2)/25)*Calculateur!BL129*Calculateur!BN129*VLOOKUP('Données projet'!$B$11,Paramètres!$A$1:$I$89,3,0)*0.475*44/12</f>
        <v>5.8013709285717914</v>
      </c>
      <c r="BR129" s="21">
        <f>EXP(-LN(2)/2)*BR128+(1-EXP(-LN(2)/2))/(LN(2)/2)*BL129*BO129*VLOOKUP('Données projet'!$B$11,Paramètres!$A$1:$I$89,3,0)*0.475*44/12</f>
        <v>3.7209628089632952E-9</v>
      </c>
      <c r="BS129" s="22">
        <f t="shared" si="63"/>
        <v>40.905415781520681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-2.8421709430404007E-13</v>
      </c>
      <c r="BZ129" s="13">
        <f>BY129*VLOOKUP('Données projet'!$B$12,Paramètres!$A$1:$I$89,3,0)*VLOOKUP('Données projet'!$B$12,Paramètres!$A$1:$I$89,5,0)</f>
        <v>-1.69961822393816E-13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199.27781323742636</v>
      </c>
      <c r="CE129" s="59">
        <f t="shared" si="94"/>
        <v>199.82499536063892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35.104044849504447</v>
      </c>
      <c r="CL129" s="21">
        <f>EXP(-LN(2)/25)*CL128+(1-EXP(-LN(2)/25))/(LN(2)/25)*Calculateur!CG129*Calculateur!CI129*VLOOKUP('Données projet'!$B$12,Paramètres!$A$1:$I$89,3,0)*0.475*44/12</f>
        <v>5.7975849964246189</v>
      </c>
      <c r="CM129" s="21">
        <f>EXP(-LN(2)/2)*CM128+(1-EXP(-LN(2)/2))/(LN(2)/2)*CG129*CJ129*VLOOKUP('Données projet'!$B$12,Paramètres!$A$1:$I$89,3,0)*0.475*44/12</f>
        <v>3.7209652934663857E-9</v>
      </c>
      <c r="CN129" s="22">
        <f t="shared" si="66"/>
        <v>40.901629849650028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-3.979039320256561E-13</v>
      </c>
      <c r="CU129" s="17">
        <f>CT129*VLOOKUP('Données projet'!$B$13,Paramètres!$A$1:$I$89,3,0)*VLOOKUP('Données projet'!$B$13,Paramètres!$A$1:$I$89,5,0)</f>
        <v>-2.379465513513424E-13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213.18424462765137</v>
      </c>
      <c r="CZ129" s="59">
        <f t="shared" si="96"/>
        <v>158.77848520346532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57.201247646454505</v>
      </c>
      <c r="DG129" s="21">
        <f>EXP(-LN(2)/25)*DG128+(1-EXP(-LN(2)/25))/(LN(2)/25)*Calculateur!DB129*Calculateur!DD129*VLOOKUP('Données projet'!$B$13,Paramètres!$A$1:$I$89,3,0)*0.475*44/12</f>
        <v>9.5568141047333786</v>
      </c>
      <c r="DH129" s="21">
        <f>EXP(-LN(2)/2)*DH128+(1-EXP(-LN(2)/2))/(LN(2)/2)*DB129*DE129*VLOOKUP('Données projet'!$B$13,Paramètres!$A$1:$I$89,3,0)*0.475*44/12</f>
        <v>4.3107775517553949E-6</v>
      </c>
      <c r="DI129" s="22">
        <f t="shared" si="69"/>
        <v>66.758066061965437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4.9084615384615375</v>
      </c>
      <c r="N130" s="13">
        <f>IF('Données projet'!$A$36&gt;35,N129+M130-V129,IF(A130&lt;'Données projet'!$A$36,$K$205^A130,IF(A130='Données projet'!$A$36,'Données projet'!$B$36,N129+M130-V129)))</f>
        <v>239.98153846153951</v>
      </c>
      <c r="O130" s="13">
        <f>N130*VLOOKUP('Données projet'!$B$9,Paramètres!$A$1:$I$89,3,0)*VLOOKUP('Données projet'!$B$9,Paramètres!$A$1:$I$89,5,0)</f>
        <v>112.31136000000051</v>
      </c>
      <c r="P130" s="13">
        <f t="shared" si="87"/>
        <v>29.874898196104638</v>
      </c>
      <c r="Q130" s="20">
        <f t="shared" si="107"/>
        <v>247.64106635821645</v>
      </c>
      <c r="R130" s="59">
        <f t="shared" si="55"/>
        <v>540.97439969154971</v>
      </c>
      <c r="S130" s="59">
        <f ca="1">AVERAGE(OFFSET($R$3,0,0,'Données projet'!$E$9+1,1))-AVERAGE(OFFSET($H$3,0,0,'Données projet'!$E$9+1,1))</f>
        <v>181.79645720099597</v>
      </c>
      <c r="T130" s="59">
        <f t="shared" si="88"/>
        <v>120.20040029102233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90.631146553847017</v>
      </c>
      <c r="AA130" s="21">
        <f>EXP(-LN(2)/25)*AA129+(1-EXP(-LN(2)/25))/(LN(2)/25)*Calculateur!V130*Calculateur!X130*VLOOKUP('Données projet'!$B$9,Paramètres!$A$1:$I$89,3,0)*0.475*44/12</f>
        <v>22.323101331631992</v>
      </c>
      <c r="AB130" s="21">
        <f>EXP(-LN(2)/2)*AB129+(1-EXP(-LN(2)/2))/(LN(2)/2)*V130*Y130*VLOOKUP('Données projet'!$B$9,Paramètres!$A$1:$I$89,3,0)*0.475*44/12</f>
        <v>1.8216849348032675</v>
      </c>
      <c r="AC130" s="22">
        <f t="shared" si="57"/>
        <v>114.77593282028228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253.62342381933348</v>
      </c>
      <c r="AO130" s="59">
        <f t="shared" si="90"/>
        <v>230.93438491775407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68.069881244794928</v>
      </c>
      <c r="AV130" s="21">
        <f>EXP(-LN(2)/25)*AV129+(1-EXP(-LN(2)/25))/(LN(2)/25)*Calculateur!AQ130*Calculateur!AS130*VLOOKUP('Données projet'!$B$10,Paramètres!$A$1:$I$89,3,0)*0.475*44/12</f>
        <v>11.417364448074258</v>
      </c>
      <c r="AW130" s="21">
        <f>EXP(-LN(2)/2)*AW129+(1-EXP(-LN(2)/2))/(LN(2)/2)*AQ130*AT130*VLOOKUP('Données projet'!$B$10,Paramètres!$A$1:$I$89,3,0)*0.475*44/12</f>
        <v>1.0492552722275942E-7</v>
      </c>
      <c r="AX130" s="21">
        <f t="shared" si="60"/>
        <v>79.487245797794714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-5.6843418860808015E-14</v>
      </c>
      <c r="BE130" s="13">
        <f>BD130*VLOOKUP('Données projet'!$B$11,Paramètres!$A$1:$I$89,3,0)*VLOOKUP('Données projet'!$B$11,Paramètres!$A$1:$I$89,5,0)</f>
        <v>-3.3992364478763198E-14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199.27781324660782</v>
      </c>
      <c r="BJ130" s="59">
        <f t="shared" si="92"/>
        <v>199.82499536488524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34.415675941087727</v>
      </c>
      <c r="BQ130" s="21">
        <f>EXP(-LN(2)/25)*BQ129+(1-EXP(-LN(2)/25))/(LN(2)/25)*Calculateur!BL130*Calculateur!BN130*VLOOKUP('Données projet'!$B$11,Paramètres!$A$1:$I$89,3,0)*0.475*44/12</f>
        <v>5.6427321354491582</v>
      </c>
      <c r="BR130" s="21">
        <f>EXP(-LN(2)/2)*BR129+(1-EXP(-LN(2)/2))/(LN(2)/2)*BL130*BO130*VLOOKUP('Données projet'!$B$11,Paramètres!$A$1:$I$89,3,0)*0.475*44/12</f>
        <v>2.6311180347608901E-9</v>
      </c>
      <c r="BS130" s="22">
        <f t="shared" si="63"/>
        <v>40.058408079168004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-2.8421709430404007E-13</v>
      </c>
      <c r="BZ130" s="13">
        <f>BY130*VLOOKUP('Données projet'!$B$12,Paramètres!$A$1:$I$89,3,0)*VLOOKUP('Données projet'!$B$12,Paramètres!$A$1:$I$89,5,0)</f>
        <v>-1.69961822393816E-13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199.27781323742636</v>
      </c>
      <c r="CE130" s="59">
        <f t="shared" si="94"/>
        <v>199.82499536063892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34.415675941358828</v>
      </c>
      <c r="CL130" s="21">
        <f>EXP(-LN(2)/25)*CL129+(1-EXP(-LN(2)/25))/(LN(2)/25)*Calculateur!CG130*Calculateur!CI130*VLOOKUP('Données projet'!$B$12,Paramètres!$A$1:$I$89,3,0)*0.475*44/12</f>
        <v>5.6390497298156435</v>
      </c>
      <c r="CM130" s="21">
        <f>EXP(-LN(2)/2)*CM129+(1-EXP(-LN(2)/2))/(LN(2)/2)*CG130*CJ130*VLOOKUP('Données projet'!$B$12,Paramètres!$A$1:$I$89,3,0)*0.475*44/12</f>
        <v>2.6311197915698734E-9</v>
      </c>
      <c r="CN130" s="22">
        <f t="shared" si="66"/>
        <v>40.054725673805592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-3.979039320256561E-13</v>
      </c>
      <c r="CU130" s="17">
        <f>CT130*VLOOKUP('Données projet'!$B$13,Paramètres!$A$1:$I$89,3,0)*VLOOKUP('Données projet'!$B$13,Paramètres!$A$1:$I$89,5,0)</f>
        <v>-2.379465513513424E-13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213.18424462765137</v>
      </c>
      <c r="CZ130" s="59">
        <f t="shared" si="96"/>
        <v>158.77848520346532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56.079566069423564</v>
      </c>
      <c r="DG130" s="21">
        <f>EXP(-LN(2)/25)*DG129+(1-EXP(-LN(2)/25))/(LN(2)/25)*Calculateur!DB130*Calculateur!DD130*VLOOKUP('Données projet'!$B$13,Paramètres!$A$1:$I$89,3,0)*0.475*44/12</f>
        <v>9.2954825204684326</v>
      </c>
      <c r="DH130" s="21">
        <f>EXP(-LN(2)/2)*DH129+(1-EXP(-LN(2)/2))/(LN(2)/2)*DB130*DE130*VLOOKUP('Données projet'!$B$13,Paramètres!$A$1:$I$89,3,0)*0.475*44/12</f>
        <v>3.048180039032983E-6</v>
      </c>
      <c r="DI130" s="22">
        <f t="shared" si="69"/>
        <v>65.375051638072037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4.9084615384615375</v>
      </c>
      <c r="N131" s="13">
        <f>IF('Données projet'!$A$36&gt;35,N130+M131-V130,IF(A131&lt;'Données projet'!$A$36,$K$205^A131,IF(A131='Données projet'!$A$36,'Données projet'!$B$36,N130+M131-V130)))</f>
        <v>244.89000000000107</v>
      </c>
      <c r="O131" s="13">
        <f>N131*VLOOKUP('Données projet'!$B$9,Paramètres!$A$1:$I$89,3,0)*VLOOKUP('Données projet'!$B$9,Paramètres!$A$1:$I$89,5,0)</f>
        <v>114.6085200000005</v>
      </c>
      <c r="P131" s="13">
        <f t="shared" si="87"/>
        <v>30.414180672775728</v>
      </c>
      <c r="Q131" s="20">
        <f t="shared" ref="Q131:Q153" si="108">(O131+P131)*0.475*44/12</f>
        <v>252.58120367175192</v>
      </c>
      <c r="R131" s="59">
        <f t="shared" ref="R131:R194" si="109">Q131+(I131+J131)*44/12</f>
        <v>545.91453700508521</v>
      </c>
      <c r="S131" s="59">
        <f ca="1">AVERAGE(OFFSET($R$3,0,0,'Données projet'!$E$9+1,1))-AVERAGE(OFFSET($H$3,0,0,'Données projet'!$E$9+1,1))</f>
        <v>181.79645720099597</v>
      </c>
      <c r="T131" s="59">
        <f t="shared" si="88"/>
        <v>120.20040029102233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88.85392504946708</v>
      </c>
      <c r="AA131" s="21">
        <f>EXP(-LN(2)/25)*AA130+(1-EXP(-LN(2)/25))/(LN(2)/25)*Calculateur!V131*Calculateur!X131*VLOOKUP('Données projet'!$B$9,Paramètres!$A$1:$I$89,3,0)*0.475*44/12</f>
        <v>21.712674951797638</v>
      </c>
      <c r="AB131" s="21">
        <f>EXP(-LN(2)/2)*AB130+(1-EXP(-LN(2)/2))/(LN(2)/2)*V131*Y131*VLOOKUP('Données projet'!$B$9,Paramètres!$A$1:$I$89,3,0)*0.475*44/12</f>
        <v>1.2881257705847642</v>
      </c>
      <c r="AC131" s="22">
        <f t="shared" si="57"/>
        <v>111.85472577184949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253.62342381933348</v>
      </c>
      <c r="AO131" s="59">
        <f t="shared" si="90"/>
        <v>230.93438491775407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66.735072392112443</v>
      </c>
      <c r="AV131" s="21">
        <f>EXP(-LN(2)/25)*AV130+(1-EXP(-LN(2)/25))/(LN(2)/25)*Calculateur!AQ131*Calculateur!AS131*VLOOKUP('Données projet'!$B$10,Paramètres!$A$1:$I$89,3,0)*0.475*44/12</f>
        <v>11.105156016828566</v>
      </c>
      <c r="AW131" s="21">
        <f>EXP(-LN(2)/2)*AW130+(1-EXP(-LN(2)/2))/(LN(2)/2)*AQ131*AT131*VLOOKUP('Données projet'!$B$10,Paramètres!$A$1:$I$89,3,0)*0.475*44/12</f>
        <v>7.4193551818786882E-8</v>
      </c>
      <c r="AX131" s="21">
        <f t="shared" si="60"/>
        <v>77.840228483134567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-5.6843418860808015E-14</v>
      </c>
      <c r="BE131" s="13">
        <f>BD131*VLOOKUP('Données projet'!$B$11,Paramètres!$A$1:$I$89,3,0)*VLOOKUP('Données projet'!$B$11,Paramètres!$A$1:$I$89,5,0)</f>
        <v>-3.3992364478763198E-14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199.27781324660782</v>
      </c>
      <c r="BJ131" s="59">
        <f t="shared" si="92"/>
        <v>199.82499536488524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33.740805527372586</v>
      </c>
      <c r="BQ131" s="21">
        <f>EXP(-LN(2)/25)*BQ130+(1-EXP(-LN(2)/25))/(LN(2)/25)*Calculateur!BL131*Calculateur!BN131*VLOOKUP('Données projet'!$B$11,Paramètres!$A$1:$I$89,3,0)*0.475*44/12</f>
        <v>5.4884313284669144</v>
      </c>
      <c r="BR131" s="21">
        <f>EXP(-LN(2)/2)*BR130+(1-EXP(-LN(2)/2))/(LN(2)/2)*BL131*BO131*VLOOKUP('Données projet'!$B$11,Paramètres!$A$1:$I$89,3,0)*0.475*44/12</f>
        <v>1.8604814044816478E-9</v>
      </c>
      <c r="BS131" s="22">
        <f t="shared" si="63"/>
        <v>39.229236857699981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-2.8421709430404007E-13</v>
      </c>
      <c r="BZ131" s="13">
        <f>BY131*VLOOKUP('Données projet'!$B$12,Paramètres!$A$1:$I$89,3,0)*VLOOKUP('Données projet'!$B$12,Paramètres!$A$1:$I$89,5,0)</f>
        <v>-1.69961822393816E-13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199.27781323742636</v>
      </c>
      <c r="CE131" s="59">
        <f t="shared" si="94"/>
        <v>199.82499536063892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33.740805527638365</v>
      </c>
      <c r="CL131" s="21">
        <f>EXP(-LN(2)/25)*CL130+(1-EXP(-LN(2)/25))/(LN(2)/25)*Calculateur!CG131*Calculateur!CI131*VLOOKUP('Données projet'!$B$12,Paramètres!$A$1:$I$89,3,0)*0.475*44/12</f>
        <v>5.4848496184090978</v>
      </c>
      <c r="CM131" s="21">
        <f>EXP(-LN(2)/2)*CM130+(1-EXP(-LN(2)/2))/(LN(2)/2)*CG131*CJ131*VLOOKUP('Données projet'!$B$12,Paramètres!$A$1:$I$89,3,0)*0.475*44/12</f>
        <v>1.8604826467331931E-9</v>
      </c>
      <c r="CN131" s="22">
        <f t="shared" si="66"/>
        <v>39.22565514790795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-3.979039320256561E-13</v>
      </c>
      <c r="CU131" s="17">
        <f>CT131*VLOOKUP('Données projet'!$B$13,Paramètres!$A$1:$I$89,3,0)*VLOOKUP('Données projet'!$B$13,Paramètres!$A$1:$I$89,5,0)</f>
        <v>-2.379465513513424E-13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213.18424462765137</v>
      </c>
      <c r="CZ131" s="59">
        <f t="shared" si="96"/>
        <v>158.77848520346532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54.979879983959989</v>
      </c>
      <c r="DG131" s="21">
        <f>EXP(-LN(2)/25)*DG130+(1-EXP(-LN(2)/25))/(LN(2)/25)*Calculateur!DB131*Calculateur!DD131*VLOOKUP('Données projet'!$B$13,Paramètres!$A$1:$I$89,3,0)*0.475*44/12</f>
        <v>9.0412970621180424</v>
      </c>
      <c r="DH131" s="21">
        <f>EXP(-LN(2)/2)*DH130+(1-EXP(-LN(2)/2))/(LN(2)/2)*DB131*DE131*VLOOKUP('Données projet'!$B$13,Paramètres!$A$1:$I$89,3,0)*0.475*44/12</f>
        <v>2.1553887758776974E-6</v>
      </c>
      <c r="DI131" s="22">
        <f t="shared" si="69"/>
        <v>64.021179201466808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4.9084615384615375</v>
      </c>
      <c r="N132" s="13">
        <f>IF('Données projet'!$A$36&gt;35,N131+M132-V131,IF(A132&lt;'Données projet'!$A$36,$K$205^A132,IF(A132='Données projet'!$A$36,'Données projet'!$B$36,N131+M132-V131)))</f>
        <v>249.79846153846262</v>
      </c>
      <c r="O132" s="13">
        <f>N132*VLOOKUP('Données projet'!$B$9,Paramètres!$A$1:$I$89,3,0)*VLOOKUP('Données projet'!$B$9,Paramètres!$A$1:$I$89,5,0)</f>
        <v>116.90568000000052</v>
      </c>
      <c r="P132" s="13">
        <f t="shared" si="87"/>
        <v>30.952206344593481</v>
      </c>
      <c r="Q132" s="20">
        <f t="shared" si="108"/>
        <v>257.51915205016786</v>
      </c>
      <c r="R132" s="59">
        <f t="shared" si="109"/>
        <v>550.85248538350118</v>
      </c>
      <c r="S132" s="59">
        <f ca="1">AVERAGE(OFFSET($R$3,0,0,'Données projet'!$E$9+1,1))-AVERAGE(OFFSET($H$3,0,0,'Données projet'!$E$9+1,1))</f>
        <v>181.79645720099597</v>
      </c>
      <c r="T132" s="59">
        <f t="shared" si="88"/>
        <v>120.20040029102233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87.11155377478994</v>
      </c>
      <c r="AA132" s="21">
        <f>EXP(-LN(2)/25)*AA131+(1-EXP(-LN(2)/25))/(LN(2)/25)*Calculateur!V132*Calculateur!X132*VLOOKUP('Données projet'!$B$9,Paramètres!$A$1:$I$89,3,0)*0.475*44/12</f>
        <v>21.11894071342078</v>
      </c>
      <c r="AB132" s="21">
        <f>EXP(-LN(2)/2)*AB131+(1-EXP(-LN(2)/2))/(LN(2)/2)*V132*Y132*VLOOKUP('Données projet'!$B$9,Paramètres!$A$1:$I$89,3,0)*0.475*44/12</f>
        <v>0.91084246740163377</v>
      </c>
      <c r="AC132" s="22">
        <f t="shared" ref="AC132:AC153" si="111">SUM(Z132:AB132)</f>
        <v>109.14133695561236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253.62342381933348</v>
      </c>
      <c r="AO132" s="59">
        <f t="shared" si="90"/>
        <v>230.93438491775407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65.426438326878056</v>
      </c>
      <c r="AV132" s="21">
        <f>EXP(-LN(2)/25)*AV131+(1-EXP(-LN(2)/25))/(LN(2)/25)*Calculateur!AQ132*Calculateur!AS132*VLOOKUP('Données projet'!$B$10,Paramètres!$A$1:$I$89,3,0)*0.475*44/12</f>
        <v>10.801484941553616</v>
      </c>
      <c r="AW132" s="21">
        <f>EXP(-LN(2)/2)*AW131+(1-EXP(-LN(2)/2))/(LN(2)/2)*AQ132*AT132*VLOOKUP('Données projet'!$B$10,Paramètres!$A$1:$I$89,3,0)*0.475*44/12</f>
        <v>5.2462763611379711E-8</v>
      </c>
      <c r="AX132" s="21">
        <f t="shared" ref="AX132:AX153" si="114">SUM(AU132:AW132)</f>
        <v>76.227923320894433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-5.6843418860808015E-14</v>
      </c>
      <c r="BE132" s="13">
        <f>BD132*VLOOKUP('Données projet'!$B$11,Paramètres!$A$1:$I$89,3,0)*VLOOKUP('Données projet'!$B$11,Paramètres!$A$1:$I$89,5,0)</f>
        <v>-3.3992364478763198E-14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199.27781324660782</v>
      </c>
      <c r="BJ132" s="59">
        <f t="shared" si="92"/>
        <v>199.82499536488524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33.079168910840089</v>
      </c>
      <c r="BQ132" s="21">
        <f>EXP(-LN(2)/25)*BQ131+(1-EXP(-LN(2)/25))/(LN(2)/25)*Calculateur!BL132*Calculateur!BN132*VLOOKUP('Données projet'!$B$11,Paramètres!$A$1:$I$89,3,0)*0.475*44/12</f>
        <v>5.3383498851659272</v>
      </c>
      <c r="BR132" s="21">
        <f>EXP(-LN(2)/2)*BR131+(1-EXP(-LN(2)/2))/(LN(2)/2)*BL132*BO132*VLOOKUP('Données projet'!$B$11,Paramètres!$A$1:$I$89,3,0)*0.475*44/12</f>
        <v>1.3155590173804453E-9</v>
      </c>
      <c r="BS132" s="22">
        <f t="shared" ref="BS132:BS153" si="117">SUM(BP132:BR132)</f>
        <v>38.41751879732157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-2.8421709430404007E-13</v>
      </c>
      <c r="BZ132" s="13">
        <f>BY132*VLOOKUP('Données projet'!$B$12,Paramètres!$A$1:$I$89,3,0)*VLOOKUP('Données projet'!$B$12,Paramètres!$A$1:$I$89,5,0)</f>
        <v>-1.69961822393816E-13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199.27781323742636</v>
      </c>
      <c r="CE132" s="59">
        <f t="shared" si="94"/>
        <v>199.82499536063892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33.079168911100659</v>
      </c>
      <c r="CL132" s="21">
        <f>EXP(-LN(2)/25)*CL131+(1-EXP(-LN(2)/25))/(LN(2)/25)*Calculateur!CG132*Calculateur!CI132*VLOOKUP('Données projet'!$B$12,Paramètres!$A$1:$I$89,3,0)*0.475*44/12</f>
        <v>5.3348661171579952</v>
      </c>
      <c r="CM132" s="21">
        <f>EXP(-LN(2)/2)*CM131+(1-EXP(-LN(2)/2))/(LN(2)/2)*CG132*CJ132*VLOOKUP('Données projet'!$B$12,Paramètres!$A$1:$I$89,3,0)*0.475*44/12</f>
        <v>1.3155598957849369E-9</v>
      </c>
      <c r="CN132" s="22">
        <f t="shared" ref="CN132:CN153" si="120">SUM(CK132:CM132)</f>
        <v>38.414035029574215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-3.979039320256561E-13</v>
      </c>
      <c r="CU132" s="17">
        <f>CT132*VLOOKUP('Données projet'!$B$13,Paramètres!$A$1:$I$89,3,0)*VLOOKUP('Données projet'!$B$13,Paramètres!$A$1:$I$89,5,0)</f>
        <v>-2.379465513513424E-13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213.18424462765137</v>
      </c>
      <c r="CZ132" s="59">
        <f t="shared" si="96"/>
        <v>158.77848520346532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53.901758071890079</v>
      </c>
      <c r="DG132" s="21">
        <f>EXP(-LN(2)/25)*DG131+(1-EXP(-LN(2)/25))/(LN(2)/25)*Calculateur!DB132*Calculateur!DD132*VLOOKUP('Données projet'!$B$13,Paramètres!$A$1:$I$89,3,0)*0.475*44/12</f>
        <v>8.7940623184932765</v>
      </c>
      <c r="DH132" s="21">
        <f>EXP(-LN(2)/2)*DH131+(1-EXP(-LN(2)/2))/(LN(2)/2)*DB132*DE132*VLOOKUP('Données projet'!$B$13,Paramètres!$A$1:$I$89,3,0)*0.475*44/12</f>
        <v>1.5240900195164915E-6</v>
      </c>
      <c r="DI132" s="22">
        <f t="shared" ref="DI132:DI153" si="123">SUM(DF132:DH132)</f>
        <v>62.69582191447337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4.9084615384615375</v>
      </c>
      <c r="N133" s="13">
        <f>IF('Données projet'!$A$36&gt;35,N132+M133-V132,IF(A133&lt;'Données projet'!$A$36,$K$205^A133,IF(A133='Données projet'!$A$36,'Données projet'!$B$36,N132+M133-V132)))</f>
        <v>254.70692307692417</v>
      </c>
      <c r="O133" s="13">
        <f>N133*VLOOKUP('Données projet'!$B$9,Paramètres!$A$1:$I$89,3,0)*VLOOKUP('Données projet'!$B$9,Paramètres!$A$1:$I$89,5,0)</f>
        <v>119.20284000000051</v>
      </c>
      <c r="P133" s="13">
        <f t="shared" ref="P133:P196" si="141">EXP(-1.0587+0.8836*LN(O133)+0.284)</f>
        <v>31.489002754044087</v>
      </c>
      <c r="Q133" s="20">
        <f t="shared" si="108"/>
        <v>262.4549594632943</v>
      </c>
      <c r="R133" s="59">
        <f t="shared" si="109"/>
        <v>555.78829279662762</v>
      </c>
      <c r="S133" s="59">
        <f ca="1">AVERAGE(OFFSET($R$3,0,0,'Données projet'!$E$9+1,1))-AVERAGE(OFFSET($H$3,0,0,'Données projet'!$E$9+1,1))</f>
        <v>181.79645720099597</v>
      </c>
      <c r="T133" s="59">
        <f t="shared" ref="T133:T196" si="142">$T$3</f>
        <v>120.20040029102233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85.403349338067684</v>
      </c>
      <c r="AA133" s="21">
        <f>EXP(-LN(2)/25)*AA132+(1-EXP(-LN(2)/25))/(LN(2)/25)*Calculateur!V133*Calculateur!X133*VLOOKUP('Données projet'!$B$9,Paramètres!$A$1:$I$89,3,0)*0.475*44/12</f>
        <v>20.541442169015465</v>
      </c>
      <c r="AB133" s="21">
        <f>EXP(-LN(2)/2)*AB132+(1-EXP(-LN(2)/2))/(LN(2)/2)*V133*Y133*VLOOKUP('Données projet'!$B$9,Paramètres!$A$1:$I$89,3,0)*0.475*44/12</f>
        <v>0.64406288529238209</v>
      </c>
      <c r="AC133" s="22">
        <f t="shared" si="111"/>
        <v>106.58885439237554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253.62342381933348</v>
      </c>
      <c r="AO133" s="59">
        <f t="shared" ref="AO133:AO196" si="144">$AO$3</f>
        <v>230.93438491775407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64.143465777474944</v>
      </c>
      <c r="AV133" s="21">
        <f>EXP(-LN(2)/25)*AV132+(1-EXP(-LN(2)/25))/(LN(2)/25)*Calculateur!AQ133*Calculateur!AS133*VLOOKUP('Données projet'!$B$10,Paramètres!$A$1:$I$89,3,0)*0.475*44/12</f>
        <v>10.506117767801426</v>
      </c>
      <c r="AW133" s="21">
        <f>EXP(-LN(2)/2)*AW132+(1-EXP(-LN(2)/2))/(LN(2)/2)*AQ133*AT133*VLOOKUP('Données projet'!$B$10,Paramètres!$A$1:$I$89,3,0)*0.475*44/12</f>
        <v>3.7096775909393441E-8</v>
      </c>
      <c r="AX133" s="21">
        <f t="shared" si="114"/>
        <v>74.649583582373154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-5.6843418860808015E-14</v>
      </c>
      <c r="BE133" s="13">
        <f>BD133*VLOOKUP('Données projet'!$B$11,Paramètres!$A$1:$I$89,3,0)*VLOOKUP('Données projet'!$B$11,Paramètres!$A$1:$I$89,5,0)</f>
        <v>-3.3992364478763198E-14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199.27781324660782</v>
      </c>
      <c r="BJ133" s="59">
        <f t="shared" ref="BJ133:BJ196" si="146">$BJ$3</f>
        <v>199.82499536488524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32.430506584799303</v>
      </c>
      <c r="BQ133" s="21">
        <f>EXP(-LN(2)/25)*BQ132+(1-EXP(-LN(2)/25))/(LN(2)/25)*Calculateur!BL133*Calculateur!BN133*VLOOKUP('Données projet'!$B$11,Paramètres!$A$1:$I$89,3,0)*0.475*44/12</f>
        <v>5.1923724268244458</v>
      </c>
      <c r="BR133" s="21">
        <f>EXP(-LN(2)/2)*BR132+(1-EXP(-LN(2)/2))/(LN(2)/2)*BL133*BO133*VLOOKUP('Données projet'!$B$11,Paramètres!$A$1:$I$89,3,0)*0.475*44/12</f>
        <v>9.3024070224082401E-10</v>
      </c>
      <c r="BS133" s="22">
        <f t="shared" si="117"/>
        <v>37.622879012553994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-2.8421709430404007E-13</v>
      </c>
      <c r="BZ133" s="13">
        <f>BY133*VLOOKUP('Données projet'!$B$12,Paramètres!$A$1:$I$89,3,0)*VLOOKUP('Données projet'!$B$12,Paramètres!$A$1:$I$89,5,0)</f>
        <v>-1.69961822393816E-13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199.27781323742636</v>
      </c>
      <c r="CE133" s="59">
        <f t="shared" ref="CE133:CE196" si="148">$CE$3</f>
        <v>199.82499536063892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32.430506585054765</v>
      </c>
      <c r="CL133" s="21">
        <f>EXP(-LN(2)/25)*CL132+(1-EXP(-LN(2)/25))/(LN(2)/25)*Calculateur!CG133*Calculateur!CI133*VLOOKUP('Données projet'!$B$12,Paramètres!$A$1:$I$89,3,0)*0.475*44/12</f>
        <v>5.1889839226358934</v>
      </c>
      <c r="CM133" s="21">
        <f>EXP(-LN(2)/2)*CM132+(1-EXP(-LN(2)/2))/(LN(2)/2)*CG133*CJ133*VLOOKUP('Données projet'!$B$12,Paramètres!$A$1:$I$89,3,0)*0.475*44/12</f>
        <v>9.3024132336659673E-10</v>
      </c>
      <c r="CN133" s="22">
        <f t="shared" si="120"/>
        <v>37.619490508620899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-3.979039320256561E-13</v>
      </c>
      <c r="CU133" s="17">
        <f>CT133*VLOOKUP('Données projet'!$B$13,Paramètres!$A$1:$I$89,3,0)*VLOOKUP('Données projet'!$B$13,Paramètres!$A$1:$I$89,5,0)</f>
        <v>-2.379465513513424E-13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213.18424462765137</v>
      </c>
      <c r="CZ133" s="59">
        <f t="shared" ref="CZ133:CZ196" si="150">$CZ$3</f>
        <v>158.77848520346532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52.844777472926424</v>
      </c>
      <c r="DG133" s="21">
        <f>EXP(-LN(2)/25)*DG132+(1-EXP(-LN(2)/25))/(LN(2)/25)*Calculateur!DB133*Calculateur!DD133*VLOOKUP('Données projet'!$B$13,Paramètres!$A$1:$I$89,3,0)*0.475*44/12</f>
        <v>8.5535882219344401</v>
      </c>
      <c r="DH133" s="21">
        <f>EXP(-LN(2)/2)*DH132+(1-EXP(-LN(2)/2))/(LN(2)/2)*DB133*DE133*VLOOKUP('Données projet'!$B$13,Paramètres!$A$1:$I$89,3,0)*0.475*44/12</f>
        <v>1.0776943879388487E-6</v>
      </c>
      <c r="DI133" s="22">
        <f t="shared" si="123"/>
        <v>61.398366772555249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>
        <f>VLOOKUP(A134,'Données projet'!$A$35:$I$55,2,0)</f>
        <v>259.61538461538458</v>
      </c>
      <c r="L134" s="12">
        <f>VLOOKUP(A134,'Données projet'!$A$35:$I$55,9,0)</f>
        <v>4.9084615384615375</v>
      </c>
      <c r="M134" s="12">
        <f t="array" ref="M134">INDEX(L:L,MIN(IF(ISNUMBER(L134:L330),ROW(L134:L330),"")))</f>
        <v>4.9084615384615375</v>
      </c>
      <c r="N134" s="13">
        <f>IF('Données projet'!$A$36&gt;35,N133+M134-V133,IF(A134&lt;'Données projet'!$A$36,$K$205^A134,IF(A134='Données projet'!$A$36,'Données projet'!$B$36,N133+M134-V133)))</f>
        <v>259.61538461538572</v>
      </c>
      <c r="O134" s="13">
        <f>N134*VLOOKUP('Données projet'!$B$9,Paramètres!$A$1:$I$89,3,0)*VLOOKUP('Données projet'!$B$9,Paramètres!$A$1:$I$89,5,0)</f>
        <v>121.50000000000051</v>
      </c>
      <c r="P134" s="13">
        <f t="shared" si="141"/>
        <v>32.024596321339168</v>
      </c>
      <c r="Q134" s="20">
        <f t="shared" si="108"/>
        <v>267.3886719263333</v>
      </c>
      <c r="R134" s="59">
        <f t="shared" si="109"/>
        <v>560.72200525966662</v>
      </c>
      <c r="S134" s="59">
        <f ca="1">AVERAGE(OFFSET($R$3,0,0,'Données projet'!$E$9+1,1))-AVERAGE(OFFSET($H$3,0,0,'Données projet'!$E$9+1,1))</f>
        <v>181.79645720099597</v>
      </c>
      <c r="T134" s="59">
        <f t="shared" si="142"/>
        <v>120.20040029102233</v>
      </c>
      <c r="U134" s="15">
        <f>IF(ISNA(VLOOKUP(A134,'Données projet'!$A$35:$I$55,3,0)),0,VLOOKUP(A134,'Données projet'!$A$35:$I$55,3,0))</f>
        <v>8</v>
      </c>
      <c r="V134" s="15">
        <f>IF(ISNA(VLOOKUP(A134,'Données projet'!$A$35:$I$55,4,0)),0,VLOOKUP(A134,'Données projet'!$A$35:$I$55,4,0))</f>
        <v>259.61538461538458</v>
      </c>
      <c r="W134" s="16">
        <f>IF(ISNA(VLOOKUP(A134,'Données projet'!$A$35:$I$55,5,0)),0%,VLOOKUP(A134,'Données projet'!$A$35:$I$55,5,0)*VLOOKUP('Données projet'!$B$9,Paramètres!$A$1:$I$89,7,0))</f>
        <v>0.38500000000000001</v>
      </c>
      <c r="X134" s="16">
        <f>IF(ISNA(VLOOKUP(A134,'Données projet'!$A$35:$I$55,6,0)),0%,VLOOKUP(A134,'Données projet'!$A$35:$I$55,6,0)*VLOOKUP('Données projet'!$B$9,Paramètres!$A$1:$I$89,7,0))</f>
        <v>9.240000000000001E-2</v>
      </c>
      <c r="Y134" s="16">
        <f>IF(ISNA(VLOOKUP(A134,'Données projet'!$A$35:$I$55,7,0)),0%,VLOOKUP(A134,'Données projet'!$A$35:$I$55,7,0))</f>
        <v>0.13200000000000001</v>
      </c>
      <c r="Z134" s="21">
        <f>EXP(-LN(2)/35)*Z133+(1-EXP(-LN(2)/35))/(LN(2)/35)*V134*W134*VLOOKUP('Données projet'!$B$9,Paramètres!$A$1:$I$89,3,0)*0.475*44/12</f>
        <v>145.78201056277081</v>
      </c>
      <c r="AA134" s="21">
        <f>EXP(-LN(2)/25)*AA133+(1-EXP(-LN(2)/25))/(LN(2)/25)*Calculateur!V134*Calculateur!X134*VLOOKUP('Données projet'!$B$9,Paramètres!$A$1:$I$89,3,0)*0.475*44/12</f>
        <v>34.813905206383581</v>
      </c>
      <c r="AB134" s="21">
        <f>EXP(-LN(2)/2)*AB133+(1-EXP(-LN(2)/2))/(LN(2)/2)*V134*Y134*VLOOKUP('Données projet'!$B$9,Paramètres!$A$1:$I$89,3,0)*0.475*44/12</f>
        <v>18.614162821430273</v>
      </c>
      <c r="AC134" s="22">
        <f t="shared" si="111"/>
        <v>199.21007859058466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253.62342381933348</v>
      </c>
      <c r="AO134" s="59">
        <f t="shared" si="144"/>
        <v>230.93438491775407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62.885651537229641</v>
      </c>
      <c r="AV134" s="21">
        <f>EXP(-LN(2)/25)*AV133+(1-EXP(-LN(2)/25))/(LN(2)/25)*Calculateur!AQ134*Calculateur!AS134*VLOOKUP('Données projet'!$B$10,Paramètres!$A$1:$I$89,3,0)*0.475*44/12</f>
        <v>10.218827424948174</v>
      </c>
      <c r="AW134" s="21">
        <f>EXP(-LN(2)/2)*AW133+(1-EXP(-LN(2)/2))/(LN(2)/2)*AQ134*AT134*VLOOKUP('Données projet'!$B$10,Paramètres!$A$1:$I$89,3,0)*0.475*44/12</f>
        <v>2.6231381805689856E-8</v>
      </c>
      <c r="AX134" s="21">
        <f t="shared" si="114"/>
        <v>73.104478988409184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-5.6843418860808015E-14</v>
      </c>
      <c r="BE134" s="13">
        <f>BD134*VLOOKUP('Données projet'!$B$11,Paramètres!$A$1:$I$89,3,0)*VLOOKUP('Données projet'!$B$11,Paramètres!$A$1:$I$89,5,0)</f>
        <v>-3.3992364478763198E-14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199.27781324660782</v>
      </c>
      <c r="BJ134" s="59">
        <f t="shared" si="146"/>
        <v>199.82499536488524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31.794564131327228</v>
      </c>
      <c r="BQ134" s="21">
        <f>EXP(-LN(2)/25)*BQ133+(1-EXP(-LN(2)/25))/(LN(2)/25)*Calculateur!BL134*Calculateur!BN134*VLOOKUP('Données projet'!$B$11,Paramètres!$A$1:$I$89,3,0)*0.475*44/12</f>
        <v>5.0503867297579328</v>
      </c>
      <c r="BR134" s="21">
        <f>EXP(-LN(2)/2)*BR133+(1-EXP(-LN(2)/2))/(LN(2)/2)*BL134*BO134*VLOOKUP('Données projet'!$B$11,Paramètres!$A$1:$I$89,3,0)*0.475*44/12</f>
        <v>6.5777950869022274E-10</v>
      </c>
      <c r="BS134" s="22">
        <f t="shared" si="117"/>
        <v>36.844950861742937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-2.8421709430404007E-13</v>
      </c>
      <c r="BZ134" s="13">
        <f>BY134*VLOOKUP('Données projet'!$B$12,Paramètres!$A$1:$I$89,3,0)*VLOOKUP('Données projet'!$B$12,Paramètres!$A$1:$I$89,5,0)</f>
        <v>-1.69961822393816E-13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199.27781323742636</v>
      </c>
      <c r="CE134" s="59">
        <f t="shared" si="148"/>
        <v>199.82499536063892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31.79456413157768</v>
      </c>
      <c r="CL134" s="21">
        <f>EXP(-LN(2)/25)*CL133+(1-EXP(-LN(2)/25))/(LN(2)/25)*Calculateur!CG134*Calculateur!CI134*VLOOKUP('Données projet'!$B$12,Paramètres!$A$1:$I$89,3,0)*0.475*44/12</f>
        <v>5.0470908843946098</v>
      </c>
      <c r="CM134" s="21">
        <f>EXP(-LN(2)/2)*CM133+(1-EXP(-LN(2)/2))/(LN(2)/2)*CG134*CJ134*VLOOKUP('Données projet'!$B$12,Paramètres!$A$1:$I$89,3,0)*0.475*44/12</f>
        <v>6.5777994789246856E-10</v>
      </c>
      <c r="CN134" s="22">
        <f t="shared" si="120"/>
        <v>36.841655016630071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-3.979039320256561E-13</v>
      </c>
      <c r="CU134" s="17">
        <f>CT134*VLOOKUP('Données projet'!$B$13,Paramètres!$A$1:$I$89,3,0)*VLOOKUP('Données projet'!$B$13,Paramètres!$A$1:$I$89,5,0)</f>
        <v>-2.379465513513424E-13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213.18424462765137</v>
      </c>
      <c r="CZ134" s="59">
        <f t="shared" si="150"/>
        <v>158.77848520346532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51.808523618813936</v>
      </c>
      <c r="DG134" s="21">
        <f>EXP(-LN(2)/25)*DG133+(1-EXP(-LN(2)/25))/(LN(2)/25)*Calculateur!DB134*Calculateur!DD134*VLOOKUP('Données projet'!$B$13,Paramètres!$A$1:$I$89,3,0)*0.475*44/12</f>
        <v>8.3196899021919872</v>
      </c>
      <c r="DH134" s="21">
        <f>EXP(-LN(2)/2)*DH133+(1-EXP(-LN(2)/2))/(LN(2)/2)*DB134*DE134*VLOOKUP('Données projet'!$B$13,Paramètres!$A$1:$I$89,3,0)*0.475*44/12</f>
        <v>7.6204500975824576E-7</v>
      </c>
      <c r="DI134" s="22">
        <f t="shared" si="123"/>
        <v>60.128214283050937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1.1368683772161603E-12</v>
      </c>
      <c r="O135" s="13">
        <f>N135*VLOOKUP('Données projet'!$B$9,Paramètres!$A$1:$I$89,3,0)*VLOOKUP('Données projet'!$B$9,Paramètres!$A$1:$I$89,5,0)</f>
        <v>5.3205440053716299E-13</v>
      </c>
      <c r="P135" s="13">
        <f t="shared" si="141"/>
        <v>6.579711042921201E-12</v>
      </c>
      <c r="Q135" s="20">
        <f t="shared" si="108"/>
        <v>1.2386324814023317E-11</v>
      </c>
      <c r="R135" s="59">
        <f t="shared" si="109"/>
        <v>293.33333333334571</v>
      </c>
      <c r="S135" s="59">
        <f ca="1">AVERAGE(OFFSET($R$3,0,0,'Données projet'!$E$9+1,1))-AVERAGE(OFFSET($H$3,0,0,'Données projet'!$E$9+1,1))</f>
        <v>181.79645720099597</v>
      </c>
      <c r="T135" s="59">
        <f t="shared" si="142"/>
        <v>120.20040029102233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142.92331425388136</v>
      </c>
      <c r="AA135" s="21">
        <f>EXP(-LN(2)/25)*AA134+(1-EXP(-LN(2)/25))/(LN(2)/25)*Calculateur!V135*Calculateur!X135*VLOOKUP('Données projet'!$B$9,Paramètres!$A$1:$I$89,3,0)*0.475*44/12</f>
        <v>33.861917137731318</v>
      </c>
      <c r="AB135" s="21">
        <f>EXP(-LN(2)/2)*AB134+(1-EXP(-LN(2)/2))/(LN(2)/2)*V135*Y135*VLOOKUP('Données projet'!$B$9,Paramètres!$A$1:$I$89,3,0)*0.475*44/12</f>
        <v>13.162200757143866</v>
      </c>
      <c r="AC135" s="22">
        <f t="shared" si="111"/>
        <v>189.94743214875655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253.62342381933348</v>
      </c>
      <c r="AO135" s="59">
        <f t="shared" si="144"/>
        <v>230.93438491775407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61.652502267044618</v>
      </c>
      <c r="AV135" s="21">
        <f>EXP(-LN(2)/25)*AV134+(1-EXP(-LN(2)/25))/(LN(2)/25)*Calculateur!AQ135*Calculateur!AS135*VLOOKUP('Données projet'!$B$10,Paramètres!$A$1:$I$89,3,0)*0.475*44/12</f>
        <v>9.939393051628187</v>
      </c>
      <c r="AW135" s="21">
        <f>EXP(-LN(2)/2)*AW134+(1-EXP(-LN(2)/2))/(LN(2)/2)*AQ135*AT135*VLOOKUP('Données projet'!$B$10,Paramètres!$A$1:$I$89,3,0)*0.475*44/12</f>
        <v>1.854838795469672E-8</v>
      </c>
      <c r="AX135" s="21">
        <f t="shared" si="114"/>
        <v>71.591895337221203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-5.6843418860808015E-14</v>
      </c>
      <c r="BE135" s="13">
        <f>BD135*VLOOKUP('Données projet'!$B$11,Paramètres!$A$1:$I$89,3,0)*VLOOKUP('Données projet'!$B$11,Paramètres!$A$1:$I$89,5,0)</f>
        <v>-3.3992364478763198E-14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199.27781324660782</v>
      </c>
      <c r="BJ135" s="59">
        <f t="shared" si="146"/>
        <v>199.82499536488524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31.171092121481145</v>
      </c>
      <c r="BQ135" s="21">
        <f>EXP(-LN(2)/25)*BQ134+(1-EXP(-LN(2)/25))/(LN(2)/25)*Calculateur!BL135*Calculateur!BN135*VLOOKUP('Données projet'!$B$11,Paramètres!$A$1:$I$89,3,0)*0.475*44/12</f>
        <v>4.9122836390444071</v>
      </c>
      <c r="BR135" s="21">
        <f>EXP(-LN(2)/2)*BR134+(1-EXP(-LN(2)/2))/(LN(2)/2)*BL135*BO135*VLOOKUP('Données projet'!$B$11,Paramètres!$A$1:$I$89,3,0)*0.475*44/12</f>
        <v>4.6512035112041211E-10</v>
      </c>
      <c r="BS135" s="22">
        <f t="shared" si="117"/>
        <v>36.083375760990677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-2.8421709430404007E-13</v>
      </c>
      <c r="BZ135" s="13">
        <f>BY135*VLOOKUP('Données projet'!$B$12,Paramètres!$A$1:$I$89,3,0)*VLOOKUP('Données projet'!$B$12,Paramètres!$A$1:$I$89,5,0)</f>
        <v>-1.69961822393816E-13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199.27781323742636</v>
      </c>
      <c r="CE135" s="59">
        <f t="shared" si="148"/>
        <v>199.82499536063892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31.171092121726684</v>
      </c>
      <c r="CL135" s="21">
        <f>EXP(-LN(2)/25)*CL134+(1-EXP(-LN(2)/25))/(LN(2)/25)*Calculateur!CG135*Calculateur!CI135*VLOOKUP('Données projet'!$B$12,Paramètres!$A$1:$I$89,3,0)*0.475*44/12</f>
        <v>4.9090779187458651</v>
      </c>
      <c r="CM135" s="21">
        <f>EXP(-LN(2)/2)*CM134+(1-EXP(-LN(2)/2))/(LN(2)/2)*CG135*CJ135*VLOOKUP('Données projet'!$B$12,Paramètres!$A$1:$I$89,3,0)*0.475*44/12</f>
        <v>4.6512066168329842E-10</v>
      </c>
      <c r="CN135" s="22">
        <f t="shared" si="120"/>
        <v>36.080170040937674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-3.979039320256561E-13</v>
      </c>
      <c r="CU135" s="17">
        <f>CT135*VLOOKUP('Données projet'!$B$13,Paramètres!$A$1:$I$89,3,0)*VLOOKUP('Données projet'!$B$13,Paramètres!$A$1:$I$89,5,0)</f>
        <v>-2.379465513513424E-13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213.18424462765137</v>
      </c>
      <c r="CZ135" s="59">
        <f t="shared" si="150"/>
        <v>158.77848520346532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50.792590070728153</v>
      </c>
      <c r="DG135" s="21">
        <f>EXP(-LN(2)/25)*DG134+(1-EXP(-LN(2)/25))/(LN(2)/25)*Calculateur!DB135*Calculateur!DD135*VLOOKUP('Données projet'!$B$13,Paramètres!$A$1:$I$89,3,0)*0.475*44/12</f>
        <v>8.0921875443030711</v>
      </c>
      <c r="DH135" s="21">
        <f>EXP(-LN(2)/2)*DH134+(1-EXP(-LN(2)/2))/(LN(2)/2)*DB135*DE135*VLOOKUP('Données projet'!$B$13,Paramètres!$A$1:$I$89,3,0)*0.475*44/12</f>
        <v>5.3884719396942436E-7</v>
      </c>
      <c r="DI135" s="22">
        <f t="shared" si="123"/>
        <v>58.884778153878422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1.1368683772161603E-12</v>
      </c>
      <c r="O136" s="13">
        <f>N136*VLOOKUP('Données projet'!$B$9,Paramètres!$A$1:$I$89,3,0)*VLOOKUP('Données projet'!$B$9,Paramètres!$A$1:$I$89,5,0)</f>
        <v>5.3205440053716299E-13</v>
      </c>
      <c r="P136" s="13">
        <f t="shared" si="141"/>
        <v>6.579711042921201E-12</v>
      </c>
      <c r="Q136" s="20">
        <f t="shared" si="108"/>
        <v>1.2386324814023317E-11</v>
      </c>
      <c r="R136" s="59">
        <f t="shared" si="109"/>
        <v>293.33333333334571</v>
      </c>
      <c r="S136" s="59">
        <f ca="1">AVERAGE(OFFSET($R$3,0,0,'Données projet'!$E$9+1,1))-AVERAGE(OFFSET($H$3,0,0,'Données projet'!$E$9+1,1))</f>
        <v>181.79645720099597</v>
      </c>
      <c r="T136" s="59">
        <f t="shared" si="142"/>
        <v>120.20040029102233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140.12067523597665</v>
      </c>
      <c r="AA136" s="21">
        <f>EXP(-LN(2)/25)*AA135+(1-EXP(-LN(2)/25))/(LN(2)/25)*Calculateur!V136*Calculateur!X136*VLOOKUP('Données projet'!$B$9,Paramètres!$A$1:$I$89,3,0)*0.475*44/12</f>
        <v>32.935961232879222</v>
      </c>
      <c r="AB136" s="21">
        <f>EXP(-LN(2)/2)*AB135+(1-EXP(-LN(2)/2))/(LN(2)/2)*V136*Y136*VLOOKUP('Données projet'!$B$9,Paramètres!$A$1:$I$89,3,0)*0.475*44/12</f>
        <v>9.3070814107151385</v>
      </c>
      <c r="AC136" s="22">
        <f t="shared" si="111"/>
        <v>182.363717879571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253.62342381933348</v>
      </c>
      <c r="AO136" s="59">
        <f t="shared" si="144"/>
        <v>230.93438491775407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60.443534301901138</v>
      </c>
      <c r="AV136" s="21">
        <f>EXP(-LN(2)/25)*AV135+(1-EXP(-LN(2)/25))/(LN(2)/25)*Calculateur!AQ136*Calculateur!AS136*VLOOKUP('Données projet'!$B$10,Paramètres!$A$1:$I$89,3,0)*0.475*44/12</f>
        <v>9.6675998259414513</v>
      </c>
      <c r="AW136" s="21">
        <f>EXP(-LN(2)/2)*AW135+(1-EXP(-LN(2)/2))/(LN(2)/2)*AQ136*AT136*VLOOKUP('Données projet'!$B$10,Paramètres!$A$1:$I$89,3,0)*0.475*44/12</f>
        <v>1.3115690902844928E-8</v>
      </c>
      <c r="AX136" s="21">
        <f t="shared" si="114"/>
        <v>70.111134140958285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-5.6843418860808015E-14</v>
      </c>
      <c r="BE136" s="13">
        <f>BD136*VLOOKUP('Données projet'!$B$11,Paramètres!$A$1:$I$89,3,0)*VLOOKUP('Données projet'!$B$11,Paramètres!$A$1:$I$89,5,0)</f>
        <v>-3.3992364478763198E-14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199.27781324660782</v>
      </c>
      <c r="BJ136" s="59">
        <f t="shared" si="146"/>
        <v>199.82499536488524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30.559846017467766</v>
      </c>
      <c r="BQ136" s="21">
        <f>EXP(-LN(2)/25)*BQ135+(1-EXP(-LN(2)/25))/(LN(2)/25)*Calculateur!BL136*Calculateur!BN136*VLOOKUP('Données projet'!$B$11,Paramètres!$A$1:$I$89,3,0)*0.475*44/12</f>
        <v>4.7779569846089682</v>
      </c>
      <c r="BR136" s="21">
        <f>EXP(-LN(2)/2)*BR135+(1-EXP(-LN(2)/2))/(LN(2)/2)*BL136*BO136*VLOOKUP('Données projet'!$B$11,Paramètres!$A$1:$I$89,3,0)*0.475*44/12</f>
        <v>3.2888975434511142E-10</v>
      </c>
      <c r="BS136" s="22">
        <f t="shared" si="117"/>
        <v>35.337803002405622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-2.8421709430404007E-13</v>
      </c>
      <c r="BZ136" s="13">
        <f>BY136*VLOOKUP('Données projet'!$B$12,Paramètres!$A$1:$I$89,3,0)*VLOOKUP('Données projet'!$B$12,Paramètres!$A$1:$I$89,5,0)</f>
        <v>-1.69961822393816E-13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199.27781323742636</v>
      </c>
      <c r="CE136" s="59">
        <f t="shared" si="148"/>
        <v>199.82499536063892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30.559846017708491</v>
      </c>
      <c r="CL136" s="21">
        <f>EXP(-LN(2)/25)*CL135+(1-EXP(-LN(2)/25))/(LN(2)/25)*Calculateur!CG136*Calculateur!CI136*VLOOKUP('Données projet'!$B$12,Paramètres!$A$1:$I$89,3,0)*0.475*44/12</f>
        <v>4.7748389249005712</v>
      </c>
      <c r="CM136" s="21">
        <f>EXP(-LN(2)/2)*CM135+(1-EXP(-LN(2)/2))/(LN(2)/2)*CG136*CJ136*VLOOKUP('Données projet'!$B$12,Paramètres!$A$1:$I$89,3,0)*0.475*44/12</f>
        <v>3.2888997394623433E-10</v>
      </c>
      <c r="CN136" s="22">
        <f t="shared" si="120"/>
        <v>35.334684942937947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-3.979039320256561E-13</v>
      </c>
      <c r="CU136" s="17">
        <f>CT136*VLOOKUP('Données projet'!$B$13,Paramètres!$A$1:$I$89,3,0)*VLOOKUP('Données projet'!$B$13,Paramètres!$A$1:$I$89,5,0)</f>
        <v>-2.379465513513424E-13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213.18424462765137</v>
      </c>
      <c r="CZ136" s="59">
        <f t="shared" si="150"/>
        <v>158.77848520346532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49.796578359862053</v>
      </c>
      <c r="DG136" s="21">
        <f>EXP(-LN(2)/25)*DG135+(1-EXP(-LN(2)/25))/(LN(2)/25)*Calculateur!DB136*Calculateur!DD136*VLOOKUP('Données projet'!$B$13,Paramètres!$A$1:$I$89,3,0)*0.475*44/12</f>
        <v>7.870906250354456</v>
      </c>
      <c r="DH136" s="21">
        <f>EXP(-LN(2)/2)*DH135+(1-EXP(-LN(2)/2))/(LN(2)/2)*DB136*DE136*VLOOKUP('Données projet'!$B$13,Paramètres!$A$1:$I$89,3,0)*0.475*44/12</f>
        <v>3.8102250487912288E-7</v>
      </c>
      <c r="DI136" s="22">
        <f t="shared" si="123"/>
        <v>57.667484991239014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1.1368683772161603E-12</v>
      </c>
      <c r="O137" s="13">
        <f>N137*VLOOKUP('Données projet'!$B$9,Paramètres!$A$1:$I$89,3,0)*VLOOKUP('Données projet'!$B$9,Paramètres!$A$1:$I$89,5,0)</f>
        <v>5.3205440053716299E-13</v>
      </c>
      <c r="P137" s="13">
        <f t="shared" si="141"/>
        <v>6.579711042921201E-12</v>
      </c>
      <c r="Q137" s="20">
        <f t="shared" si="108"/>
        <v>1.2386324814023317E-11</v>
      </c>
      <c r="R137" s="59">
        <f t="shared" si="109"/>
        <v>293.33333333334571</v>
      </c>
      <c r="S137" s="59">
        <f ca="1">AVERAGE(OFFSET($R$3,0,0,'Données projet'!$E$9+1,1))-AVERAGE(OFFSET($H$3,0,0,'Données projet'!$E$9+1,1))</f>
        <v>181.79645720099597</v>
      </c>
      <c r="T137" s="59">
        <f t="shared" si="142"/>
        <v>120.20040029102233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137.37299425977204</v>
      </c>
      <c r="AA137" s="21">
        <f>EXP(-LN(2)/25)*AA136+(1-EXP(-LN(2)/25))/(LN(2)/25)*Calculateur!V137*Calculateur!X137*VLOOKUP('Données projet'!$B$9,Paramètres!$A$1:$I$89,3,0)*0.475*44/12</f>
        <v>32.035325640939213</v>
      </c>
      <c r="AB137" s="21">
        <f>EXP(-LN(2)/2)*AB136+(1-EXP(-LN(2)/2))/(LN(2)/2)*V137*Y137*VLOOKUP('Données projet'!$B$9,Paramètres!$A$1:$I$89,3,0)*0.475*44/12</f>
        <v>6.581100378571934</v>
      </c>
      <c r="AC137" s="22">
        <f t="shared" si="111"/>
        <v>175.98942027928319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253.62342381933348</v>
      </c>
      <c r="AO137" s="59">
        <f t="shared" si="144"/>
        <v>230.93438491775407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59.258273461156477</v>
      </c>
      <c r="AV137" s="21">
        <f>EXP(-LN(2)/25)*AV136+(1-EXP(-LN(2)/25))/(LN(2)/25)*Calculateur!AQ137*Calculateur!AS137*VLOOKUP('Données projet'!$B$10,Paramètres!$A$1:$I$89,3,0)*0.475*44/12</f>
        <v>9.4032388003041039</v>
      </c>
      <c r="AW137" s="21">
        <f>EXP(-LN(2)/2)*AW136+(1-EXP(-LN(2)/2))/(LN(2)/2)*AQ137*AT137*VLOOKUP('Données projet'!$B$10,Paramètres!$A$1:$I$89,3,0)*0.475*44/12</f>
        <v>9.2741939773483602E-9</v>
      </c>
      <c r="AX137" s="21">
        <f t="shared" si="114"/>
        <v>68.661512270734775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-5.6843418860808015E-14</v>
      </c>
      <c r="BE137" s="13">
        <f>BD137*VLOOKUP('Données projet'!$B$11,Paramètres!$A$1:$I$89,3,0)*VLOOKUP('Données projet'!$B$11,Paramètres!$A$1:$I$89,5,0)</f>
        <v>-3.3992364478763198E-14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199.27781324660782</v>
      </c>
      <c r="BJ137" s="59">
        <f t="shared" si="146"/>
        <v>199.82499536488524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29.960586076730781</v>
      </c>
      <c r="BQ137" s="21">
        <f>EXP(-LN(2)/25)*BQ136+(1-EXP(-LN(2)/25))/(LN(2)/25)*Calculateur!BL137*Calculateur!BN137*VLOOKUP('Données projet'!$B$11,Paramètres!$A$1:$I$89,3,0)*0.475*44/12</f>
        <v>4.647303499602998</v>
      </c>
      <c r="BR137" s="21">
        <f>EXP(-LN(2)/2)*BR136+(1-EXP(-LN(2)/2))/(LN(2)/2)*BL137*BO137*VLOOKUP('Données projet'!$B$11,Paramètres!$A$1:$I$89,3,0)*0.475*44/12</f>
        <v>2.3256017556020608E-10</v>
      </c>
      <c r="BS137" s="22">
        <f t="shared" si="117"/>
        <v>34.607889576566336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-2.8421709430404007E-13</v>
      </c>
      <c r="BZ137" s="13">
        <f>BY137*VLOOKUP('Données projet'!$B$12,Paramètres!$A$1:$I$89,3,0)*VLOOKUP('Données projet'!$B$12,Paramètres!$A$1:$I$89,5,0)</f>
        <v>-1.69961822393816E-13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199.27781323742636</v>
      </c>
      <c r="CE137" s="59">
        <f t="shared" si="148"/>
        <v>199.82499536063892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29.960586076966784</v>
      </c>
      <c r="CL137" s="21">
        <f>EXP(-LN(2)/25)*CL136+(1-EXP(-LN(2)/25))/(LN(2)/25)*Calculateur!CG137*Calculateur!CI137*VLOOKUP('Données projet'!$B$12,Paramètres!$A$1:$I$89,3,0)*0.475*44/12</f>
        <v>4.6442707034012987</v>
      </c>
      <c r="CM137" s="21">
        <f>EXP(-LN(2)/2)*CM136+(1-EXP(-LN(2)/2))/(LN(2)/2)*CG137*CJ137*VLOOKUP('Données projet'!$B$12,Paramètres!$A$1:$I$89,3,0)*0.475*44/12</f>
        <v>2.3256033084164926E-10</v>
      </c>
      <c r="CN137" s="22">
        <f t="shared" si="120"/>
        <v>34.604856780600642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-3.979039320256561E-13</v>
      </c>
      <c r="CU137" s="17">
        <f>CT137*VLOOKUP('Données projet'!$B$13,Paramètres!$A$1:$I$89,3,0)*VLOOKUP('Données projet'!$B$13,Paramètres!$A$1:$I$89,5,0)</f>
        <v>-2.379465513513424E-13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213.18424462765137</v>
      </c>
      <c r="CZ137" s="59">
        <f t="shared" si="150"/>
        <v>158.77848520346532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48.820097831138881</v>
      </c>
      <c r="DG137" s="21">
        <f>EXP(-LN(2)/25)*DG136+(1-EXP(-LN(2)/25))/(LN(2)/25)*Calculateur!DB137*Calculateur!DD137*VLOOKUP('Données projet'!$B$13,Paramètres!$A$1:$I$89,3,0)*0.475*44/12</f>
        <v>7.655675905025543</v>
      </c>
      <c r="DH137" s="21">
        <f>EXP(-LN(2)/2)*DH136+(1-EXP(-LN(2)/2))/(LN(2)/2)*DB137*DE137*VLOOKUP('Données projet'!$B$13,Paramètres!$A$1:$I$89,3,0)*0.475*44/12</f>
        <v>2.6942359698471218E-7</v>
      </c>
      <c r="DI137" s="22">
        <f t="shared" si="123"/>
        <v>56.475774005588022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1.1368683772161603E-12</v>
      </c>
      <c r="O138" s="13">
        <f>N138*VLOOKUP('Données projet'!$B$9,Paramètres!$A$1:$I$89,3,0)*VLOOKUP('Données projet'!$B$9,Paramètres!$A$1:$I$89,5,0)</f>
        <v>5.3205440053716299E-13</v>
      </c>
      <c r="P138" s="13">
        <f t="shared" si="141"/>
        <v>6.579711042921201E-12</v>
      </c>
      <c r="Q138" s="20">
        <f t="shared" si="108"/>
        <v>1.2386324814023317E-11</v>
      </c>
      <c r="R138" s="59">
        <f t="shared" si="109"/>
        <v>293.33333333334571</v>
      </c>
      <c r="S138" s="59">
        <f ca="1">AVERAGE(OFFSET($R$3,0,0,'Données projet'!$E$9+1,1))-AVERAGE(OFFSET($H$3,0,0,'Données projet'!$E$9+1,1))</f>
        <v>181.79645720099597</v>
      </c>
      <c r="T138" s="59">
        <f t="shared" si="142"/>
        <v>120.20040029102233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134.67919363159092</v>
      </c>
      <c r="AA138" s="21">
        <f>EXP(-LN(2)/25)*AA137+(1-EXP(-LN(2)/25))/(LN(2)/25)*Calculateur!V138*Calculateur!X138*VLOOKUP('Données projet'!$B$9,Paramètres!$A$1:$I$89,3,0)*0.475*44/12</f>
        <v>31.159317976623171</v>
      </c>
      <c r="AB138" s="21">
        <f>EXP(-LN(2)/2)*AB137+(1-EXP(-LN(2)/2))/(LN(2)/2)*V138*Y138*VLOOKUP('Données projet'!$B$9,Paramètres!$A$1:$I$89,3,0)*0.475*44/12</f>
        <v>4.6535407053575701</v>
      </c>
      <c r="AC138" s="22">
        <f t="shared" si="111"/>
        <v>170.49205231357166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253.62342381933348</v>
      </c>
      <c r="AO138" s="59">
        <f t="shared" si="144"/>
        <v>230.93438491775407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58.096254862561089</v>
      </c>
      <c r="AV138" s="21">
        <f>EXP(-LN(2)/25)*AV137+(1-EXP(-LN(2)/25))/(LN(2)/25)*Calculateur!AQ138*Calculateur!AS138*VLOOKUP('Données projet'!$B$10,Paramètres!$A$1:$I$89,3,0)*0.475*44/12</f>
        <v>9.1461067408149503</v>
      </c>
      <c r="AW138" s="21">
        <f>EXP(-LN(2)/2)*AW137+(1-EXP(-LN(2)/2))/(LN(2)/2)*AQ138*AT138*VLOOKUP('Données projet'!$B$10,Paramètres!$A$1:$I$89,3,0)*0.475*44/12</f>
        <v>6.5578454514224639E-9</v>
      </c>
      <c r="AX138" s="21">
        <f t="shared" si="114"/>
        <v>67.24236160993388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-5.6843418860808015E-14</v>
      </c>
      <c r="BE138" s="13">
        <f>BD138*VLOOKUP('Données projet'!$B$11,Paramètres!$A$1:$I$89,3,0)*VLOOKUP('Données projet'!$B$11,Paramètres!$A$1:$I$89,5,0)</f>
        <v>-3.3992364478763198E-14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199.27781324660782</v>
      </c>
      <c r="BJ138" s="59">
        <f t="shared" si="146"/>
        <v>199.82499536488524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29.373077257919174</v>
      </c>
      <c r="BQ138" s="21">
        <f>EXP(-LN(2)/25)*BQ137+(1-EXP(-LN(2)/25))/(LN(2)/25)*Calculateur!BL138*Calculateur!BN138*VLOOKUP('Données projet'!$B$11,Paramètres!$A$1:$I$89,3,0)*0.475*44/12</f>
        <v>4.5202227410152842</v>
      </c>
      <c r="BR138" s="21">
        <f>EXP(-LN(2)/2)*BR137+(1-EXP(-LN(2)/2))/(LN(2)/2)*BL138*BO138*VLOOKUP('Données projet'!$B$11,Paramètres!$A$1:$I$89,3,0)*0.475*44/12</f>
        <v>1.6444487717255574E-10</v>
      </c>
      <c r="BS138" s="22">
        <f t="shared" si="117"/>
        <v>33.893299999098907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-2.8421709430404007E-13</v>
      </c>
      <c r="BZ138" s="13">
        <f>BY138*VLOOKUP('Données projet'!$B$12,Paramètres!$A$1:$I$89,3,0)*VLOOKUP('Données projet'!$B$12,Paramètres!$A$1:$I$89,5,0)</f>
        <v>-1.69961822393816E-13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199.27781323742636</v>
      </c>
      <c r="CE138" s="59">
        <f t="shared" si="148"/>
        <v>199.82499536063892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29.373077258150548</v>
      </c>
      <c r="CL138" s="21">
        <f>EXP(-LN(2)/25)*CL137+(1-EXP(-LN(2)/25))/(LN(2)/25)*Calculateur!CG138*Calculateur!CI138*VLOOKUP('Données projet'!$B$12,Paramètres!$A$1:$I$89,3,0)*0.475*44/12</f>
        <v>4.5172728767852082</v>
      </c>
      <c r="CM138" s="21">
        <f>EXP(-LN(2)/2)*CM137+(1-EXP(-LN(2)/2))/(LN(2)/2)*CG138*CJ138*VLOOKUP('Données projet'!$B$12,Paramètres!$A$1:$I$89,3,0)*0.475*44/12</f>
        <v>1.6444498697311719E-10</v>
      </c>
      <c r="CN138" s="22">
        <f t="shared" si="120"/>
        <v>33.890350135100206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-3.979039320256561E-13</v>
      </c>
      <c r="CU138" s="17">
        <f>CT138*VLOOKUP('Données projet'!$B$13,Paramètres!$A$1:$I$89,3,0)*VLOOKUP('Données projet'!$B$13,Paramètres!$A$1:$I$89,5,0)</f>
        <v>-2.379465513513424E-13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213.18424462765137</v>
      </c>
      <c r="CZ138" s="59">
        <f t="shared" si="150"/>
        <v>158.77848520346532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47.862765489989656</v>
      </c>
      <c r="DG138" s="21">
        <f>EXP(-LN(2)/25)*DG137+(1-EXP(-LN(2)/25))/(LN(2)/25)*Calculateur!DB138*Calculateur!DD138*VLOOKUP('Données projet'!$B$13,Paramètres!$A$1:$I$89,3,0)*0.475*44/12</f>
        <v>7.4463310448081206</v>
      </c>
      <c r="DH138" s="21">
        <f>EXP(-LN(2)/2)*DH137+(1-EXP(-LN(2)/2))/(LN(2)/2)*DB138*DE138*VLOOKUP('Données projet'!$B$13,Paramètres!$A$1:$I$89,3,0)*0.475*44/12</f>
        <v>1.9051125243956144E-7</v>
      </c>
      <c r="DI138" s="22">
        <f t="shared" si="123"/>
        <v>55.309096725309026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1.1368683772161603E-12</v>
      </c>
      <c r="O139" s="13">
        <f>N139*VLOOKUP('Données projet'!$B$9,Paramètres!$A$1:$I$89,3,0)*VLOOKUP('Données projet'!$B$9,Paramètres!$A$1:$I$89,5,0)</f>
        <v>5.3205440053716299E-13</v>
      </c>
      <c r="P139" s="13">
        <f t="shared" si="141"/>
        <v>6.579711042921201E-12</v>
      </c>
      <c r="Q139" s="20">
        <f t="shared" si="108"/>
        <v>1.2386324814023317E-11</v>
      </c>
      <c r="R139" s="59">
        <f t="shared" si="109"/>
        <v>293.33333333334571</v>
      </c>
      <c r="S139" s="59">
        <f ca="1">AVERAGE(OFFSET($R$3,0,0,'Données projet'!$E$9+1,1))-AVERAGE(OFFSET($H$3,0,0,'Données projet'!$E$9+1,1))</f>
        <v>181.79645720099597</v>
      </c>
      <c r="T139" s="59">
        <f t="shared" si="142"/>
        <v>120.20040029102233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132.03821679067227</v>
      </c>
      <c r="AA139" s="21">
        <f>EXP(-LN(2)/25)*AA138+(1-EXP(-LN(2)/25))/(LN(2)/25)*Calculateur!V139*Calculateur!X139*VLOOKUP('Données projet'!$B$9,Paramètres!$A$1:$I$89,3,0)*0.475*44/12</f>
        <v>30.307264787955095</v>
      </c>
      <c r="AB139" s="21">
        <f>EXP(-LN(2)/2)*AB138+(1-EXP(-LN(2)/2))/(LN(2)/2)*V139*Y139*VLOOKUP('Données projet'!$B$9,Paramètres!$A$1:$I$89,3,0)*0.475*44/12</f>
        <v>3.2905501892859674</v>
      </c>
      <c r="AC139" s="22">
        <f t="shared" si="111"/>
        <v>165.63603176791332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253.62342381933348</v>
      </c>
      <c r="AO139" s="59">
        <f t="shared" si="144"/>
        <v>230.93438491775407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56.957022739922799</v>
      </c>
      <c r="AV139" s="21">
        <f>EXP(-LN(2)/25)*AV138+(1-EXP(-LN(2)/25))/(LN(2)/25)*Calculateur!AQ139*Calculateur!AS139*VLOOKUP('Données projet'!$B$10,Paramètres!$A$1:$I$89,3,0)*0.475*44/12</f>
        <v>8.8960059710145156</v>
      </c>
      <c r="AW139" s="21">
        <f>EXP(-LN(2)/2)*AW138+(1-EXP(-LN(2)/2))/(LN(2)/2)*AQ139*AT139*VLOOKUP('Données projet'!$B$10,Paramètres!$A$1:$I$89,3,0)*0.475*44/12</f>
        <v>4.6370969886741801E-9</v>
      </c>
      <c r="AX139" s="21">
        <f t="shared" si="114"/>
        <v>65.853028715574411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-5.6843418860808015E-14</v>
      </c>
      <c r="BE139" s="13">
        <f>BD139*VLOOKUP('Données projet'!$B$11,Paramètres!$A$1:$I$89,3,0)*VLOOKUP('Données projet'!$B$11,Paramètres!$A$1:$I$89,5,0)</f>
        <v>-3.3992364478763198E-14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199.27781324660782</v>
      </c>
      <c r="BJ139" s="59">
        <f t="shared" si="146"/>
        <v>199.82499536488524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28.797089128699469</v>
      </c>
      <c r="BQ139" s="21">
        <f>EXP(-LN(2)/25)*BQ138+(1-EXP(-LN(2)/25))/(LN(2)/25)*Calculateur!BL139*Calculateur!BN139*VLOOKUP('Données projet'!$B$11,Paramètres!$A$1:$I$89,3,0)*0.475*44/12</f>
        <v>4.3966170124540387</v>
      </c>
      <c r="BR139" s="21">
        <f>EXP(-LN(2)/2)*BR138+(1-EXP(-LN(2)/2))/(LN(2)/2)*BL139*BO139*VLOOKUP('Données projet'!$B$11,Paramètres!$A$1:$I$89,3,0)*0.475*44/12</f>
        <v>1.1628008778010307E-10</v>
      </c>
      <c r="BS139" s="22">
        <f t="shared" si="117"/>
        <v>33.193706141269786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-2.8421709430404007E-13</v>
      </c>
      <c r="BZ139" s="13">
        <f>BY139*VLOOKUP('Données projet'!$B$12,Paramètres!$A$1:$I$89,3,0)*VLOOKUP('Données projet'!$B$12,Paramètres!$A$1:$I$89,5,0)</f>
        <v>-1.69961822393816E-13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199.27781323742636</v>
      </c>
      <c r="CE139" s="59">
        <f t="shared" si="148"/>
        <v>199.82499536063892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28.797089128926306</v>
      </c>
      <c r="CL139" s="21">
        <f>EXP(-LN(2)/25)*CL138+(1-EXP(-LN(2)/25))/(LN(2)/25)*Calculateur!CG139*Calculateur!CI139*VLOOKUP('Données projet'!$B$12,Paramètres!$A$1:$I$89,3,0)*0.475*44/12</f>
        <v>4.3937478124164606</v>
      </c>
      <c r="CM139" s="21">
        <f>EXP(-LN(2)/2)*CM138+(1-EXP(-LN(2)/2))/(LN(2)/2)*CG139*CJ139*VLOOKUP('Données projet'!$B$12,Paramètres!$A$1:$I$89,3,0)*0.475*44/12</f>
        <v>1.1628016542082464E-10</v>
      </c>
      <c r="CN139" s="22">
        <f t="shared" si="120"/>
        <v>33.190836941459047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-3.979039320256561E-13</v>
      </c>
      <c r="CU139" s="17">
        <f>CT139*VLOOKUP('Données projet'!$B$13,Paramètres!$A$1:$I$89,3,0)*VLOOKUP('Données projet'!$B$13,Paramètres!$A$1:$I$89,5,0)</f>
        <v>-2.379465513513424E-13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213.18424462765137</v>
      </c>
      <c r="CZ139" s="59">
        <f t="shared" si="150"/>
        <v>158.77848520346532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46.924205852135294</v>
      </c>
      <c r="DG139" s="21">
        <f>EXP(-LN(2)/25)*DG138+(1-EXP(-LN(2)/25))/(LN(2)/25)*Calculateur!DB139*Calculateur!DD139*VLOOKUP('Données projet'!$B$13,Paramètres!$A$1:$I$89,3,0)*0.475*44/12</f>
        <v>7.2427107308023118</v>
      </c>
      <c r="DH139" s="21">
        <f>EXP(-LN(2)/2)*DH138+(1-EXP(-LN(2)/2))/(LN(2)/2)*DB139*DE139*VLOOKUP('Données projet'!$B$13,Paramètres!$A$1:$I$89,3,0)*0.475*44/12</f>
        <v>1.3471179849235609E-7</v>
      </c>
      <c r="DI139" s="22">
        <f t="shared" si="123"/>
        <v>54.1669167176494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1.1368683772161603E-12</v>
      </c>
      <c r="O140" s="13">
        <f>N140*VLOOKUP('Données projet'!$B$9,Paramètres!$A$1:$I$89,3,0)*VLOOKUP('Données projet'!$B$9,Paramètres!$A$1:$I$89,5,0)</f>
        <v>5.3205440053716299E-13</v>
      </c>
      <c r="P140" s="13">
        <f t="shared" si="141"/>
        <v>6.579711042921201E-12</v>
      </c>
      <c r="Q140" s="20">
        <f t="shared" si="108"/>
        <v>1.2386324814023317E-11</v>
      </c>
      <c r="R140" s="59">
        <f t="shared" si="109"/>
        <v>293.33333333334571</v>
      </c>
      <c r="S140" s="59">
        <f ca="1">AVERAGE(OFFSET($R$3,0,0,'Données projet'!$E$9+1,1))-AVERAGE(OFFSET($H$3,0,0,'Données projet'!$E$9+1,1))</f>
        <v>181.79645720099597</v>
      </c>
      <c r="T140" s="59">
        <f t="shared" si="142"/>
        <v>120.20040029102233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129.44902789476723</v>
      </c>
      <c r="AA140" s="21">
        <f>EXP(-LN(2)/25)*AA139+(1-EXP(-LN(2)/25))/(LN(2)/25)*Calculateur!V140*Calculateur!X140*VLOOKUP('Données projet'!$B$9,Paramètres!$A$1:$I$89,3,0)*0.475*44/12</f>
        <v>29.478511038538677</v>
      </c>
      <c r="AB140" s="21">
        <f>EXP(-LN(2)/2)*AB139+(1-EXP(-LN(2)/2))/(LN(2)/2)*V140*Y140*VLOOKUP('Données projet'!$B$9,Paramètres!$A$1:$I$89,3,0)*0.475*44/12</f>
        <v>2.3267703526787851</v>
      </c>
      <c r="AC140" s="22">
        <f t="shared" si="111"/>
        <v>161.25430928598468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253.62342381933348</v>
      </c>
      <c r="AO140" s="59">
        <f t="shared" si="144"/>
        <v>230.93438491775407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55.840130264346456</v>
      </c>
      <c r="AV140" s="21">
        <f>EXP(-LN(2)/25)*AV139+(1-EXP(-LN(2)/25))/(LN(2)/25)*Calculateur!AQ140*Calculateur!AS140*VLOOKUP('Données projet'!$B$10,Paramètres!$A$1:$I$89,3,0)*0.475*44/12</f>
        <v>8.6527442199165012</v>
      </c>
      <c r="AW140" s="21">
        <f>EXP(-LN(2)/2)*AW139+(1-EXP(-LN(2)/2))/(LN(2)/2)*AQ140*AT140*VLOOKUP('Données projet'!$B$10,Paramètres!$A$1:$I$89,3,0)*0.475*44/12</f>
        <v>3.2789227257112319E-9</v>
      </c>
      <c r="AX140" s="21">
        <f t="shared" si="114"/>
        <v>64.492874487541883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-5.6843418860808015E-14</v>
      </c>
      <c r="BE140" s="13">
        <f>BD140*VLOOKUP('Données projet'!$B$11,Paramètres!$A$1:$I$89,3,0)*VLOOKUP('Données projet'!$B$11,Paramètres!$A$1:$I$89,5,0)</f>
        <v>-3.3992364478763198E-14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199.27781324660782</v>
      </c>
      <c r="BJ140" s="59">
        <f t="shared" si="146"/>
        <v>199.82499536488524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28.232395775375693</v>
      </c>
      <c r="BQ140" s="21">
        <f>EXP(-LN(2)/25)*BQ139+(1-EXP(-LN(2)/25))/(LN(2)/25)*Calculateur!BL140*Calculateur!BN140*VLOOKUP('Données projet'!$B$11,Paramètres!$A$1:$I$89,3,0)*0.475*44/12</f>
        <v>4.2763912890404425</v>
      </c>
      <c r="BR140" s="21">
        <f>EXP(-LN(2)/2)*BR139+(1-EXP(-LN(2)/2))/(LN(2)/2)*BL140*BO140*VLOOKUP('Données projet'!$B$11,Paramètres!$A$1:$I$89,3,0)*0.475*44/12</f>
        <v>8.2222438586277882E-11</v>
      </c>
      <c r="BS140" s="22">
        <f t="shared" si="117"/>
        <v>32.508787064498357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-2.8421709430404007E-13</v>
      </c>
      <c r="BZ140" s="13">
        <f>BY140*VLOOKUP('Données projet'!$B$12,Paramètres!$A$1:$I$89,3,0)*VLOOKUP('Données projet'!$B$12,Paramètres!$A$1:$I$89,5,0)</f>
        <v>-1.69961822393816E-13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199.27781323742636</v>
      </c>
      <c r="CE140" s="59">
        <f t="shared" si="148"/>
        <v>199.82499536063892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28.232395775598079</v>
      </c>
      <c r="CL140" s="21">
        <f>EXP(-LN(2)/25)*CL139+(1-EXP(-LN(2)/25))/(LN(2)/25)*Calculateur!CG140*Calculateur!CI140*VLOOKUP('Données projet'!$B$12,Paramètres!$A$1:$I$89,3,0)*0.475*44/12</f>
        <v>4.273600547428777</v>
      </c>
      <c r="CM140" s="21">
        <f>EXP(-LN(2)/2)*CM139+(1-EXP(-LN(2)/2))/(LN(2)/2)*CG140*CJ140*VLOOKUP('Données projet'!$B$12,Paramètres!$A$1:$I$89,3,0)*0.475*44/12</f>
        <v>8.2222493486558609E-11</v>
      </c>
      <c r="CN140" s="22">
        <f t="shared" si="120"/>
        <v>32.50599632310908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-3.979039320256561E-13</v>
      </c>
      <c r="CU140" s="17">
        <f>CT140*VLOOKUP('Données projet'!$B$13,Paramètres!$A$1:$I$89,3,0)*VLOOKUP('Données projet'!$B$13,Paramètres!$A$1:$I$89,5,0)</f>
        <v>-2.379465513513424E-13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213.18424462765137</v>
      </c>
      <c r="CZ140" s="59">
        <f t="shared" si="150"/>
        <v>158.77848520346532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46.004050796314409</v>
      </c>
      <c r="DG140" s="21">
        <f>EXP(-LN(2)/25)*DG139+(1-EXP(-LN(2)/25))/(LN(2)/25)*Calculateur!DB140*Calculateur!DD140*VLOOKUP('Données projet'!$B$13,Paramètres!$A$1:$I$89,3,0)*0.475*44/12</f>
        <v>7.044658424990919</v>
      </c>
      <c r="DH140" s="21">
        <f>EXP(-LN(2)/2)*DH139+(1-EXP(-LN(2)/2))/(LN(2)/2)*DB140*DE140*VLOOKUP('Données projet'!$B$13,Paramètres!$A$1:$I$89,3,0)*0.475*44/12</f>
        <v>9.525562621978072E-8</v>
      </c>
      <c r="DI140" s="22">
        <f t="shared" si="123"/>
        <v>53.048709316560959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1.1368683772161603E-12</v>
      </c>
      <c r="O141" s="13">
        <f>N141*VLOOKUP('Données projet'!$B$9,Paramètres!$A$1:$I$89,3,0)*VLOOKUP('Données projet'!$B$9,Paramètres!$A$1:$I$89,5,0)</f>
        <v>5.3205440053716299E-13</v>
      </c>
      <c r="P141" s="13">
        <f t="shared" si="141"/>
        <v>6.579711042921201E-12</v>
      </c>
      <c r="Q141" s="20">
        <f t="shared" si="108"/>
        <v>1.2386324814023317E-11</v>
      </c>
      <c r="R141" s="59">
        <f t="shared" si="109"/>
        <v>293.33333333334571</v>
      </c>
      <c r="S141" s="59">
        <f ca="1">AVERAGE(OFFSET($R$3,0,0,'Données projet'!$E$9+1,1))-AVERAGE(OFFSET($H$3,0,0,'Données projet'!$E$9+1,1))</f>
        <v>181.79645720099597</v>
      </c>
      <c r="T141" s="59">
        <f t="shared" si="142"/>
        <v>120.20040029102233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126.91061141386159</v>
      </c>
      <c r="AA141" s="21">
        <f>EXP(-LN(2)/25)*AA140+(1-EXP(-LN(2)/25))/(LN(2)/25)*Calculateur!V141*Calculateur!X141*VLOOKUP('Données projet'!$B$9,Paramètres!$A$1:$I$89,3,0)*0.475*44/12</f>
        <v>28.672419603982316</v>
      </c>
      <c r="AB141" s="21">
        <f>EXP(-LN(2)/2)*AB140+(1-EXP(-LN(2)/2))/(LN(2)/2)*V141*Y141*VLOOKUP('Données projet'!$B$9,Paramètres!$A$1:$I$89,3,0)*0.475*44/12</f>
        <v>1.6452750946429837</v>
      </c>
      <c r="AC141" s="22">
        <f t="shared" si="111"/>
        <v>157.22830611248688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253.62342381933348</v>
      </c>
      <c r="AO141" s="59">
        <f t="shared" si="144"/>
        <v>230.93438491775407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54.745139368979025</v>
      </c>
      <c r="AV141" s="21">
        <f>EXP(-LN(2)/25)*AV140+(1-EXP(-LN(2)/25))/(LN(2)/25)*Calculateur!AQ141*Calculateur!AS141*VLOOKUP('Données projet'!$B$10,Paramètres!$A$1:$I$89,3,0)*0.475*44/12</f>
        <v>8.416134474194843</v>
      </c>
      <c r="AW141" s="21">
        <f>EXP(-LN(2)/2)*AW140+(1-EXP(-LN(2)/2))/(LN(2)/2)*AQ141*AT141*VLOOKUP('Données projet'!$B$10,Paramètres!$A$1:$I$89,3,0)*0.475*44/12</f>
        <v>2.3185484943370901E-9</v>
      </c>
      <c r="AX141" s="21">
        <f t="shared" si="114"/>
        <v>63.161273845492417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-5.6843418860808015E-14</v>
      </c>
      <c r="BE141" s="13">
        <f>BD141*VLOOKUP('Données projet'!$B$11,Paramètres!$A$1:$I$89,3,0)*VLOOKUP('Données projet'!$B$11,Paramètres!$A$1:$I$89,5,0)</f>
        <v>-3.3992364478763198E-14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199.27781324660782</v>
      </c>
      <c r="BJ141" s="59">
        <f t="shared" si="146"/>
        <v>199.82499536488524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27.67877571428166</v>
      </c>
      <c r="BQ141" s="21">
        <f>EXP(-LN(2)/25)*BQ140+(1-EXP(-LN(2)/25))/(LN(2)/25)*Calculateur!BL141*Calculateur!BN141*VLOOKUP('Données projet'!$B$11,Paramètres!$A$1:$I$89,3,0)*0.475*44/12</f>
        <v>4.1594531443559877</v>
      </c>
      <c r="BR141" s="21">
        <f>EXP(-LN(2)/2)*BR140+(1-EXP(-LN(2)/2))/(LN(2)/2)*BL141*BO141*VLOOKUP('Données projet'!$B$11,Paramètres!$A$1:$I$89,3,0)*0.475*44/12</f>
        <v>5.8140043890051539E-11</v>
      </c>
      <c r="BS141" s="22">
        <f t="shared" si="117"/>
        <v>31.838228858695789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-2.8421709430404007E-13</v>
      </c>
      <c r="BZ141" s="13">
        <f>BY141*VLOOKUP('Données projet'!$B$12,Paramètres!$A$1:$I$89,3,0)*VLOOKUP('Données projet'!$B$12,Paramètres!$A$1:$I$89,5,0)</f>
        <v>-1.69961822393816E-13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199.27781323742636</v>
      </c>
      <c r="CE141" s="59">
        <f t="shared" si="148"/>
        <v>199.82499536063892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27.678775714499682</v>
      </c>
      <c r="CL141" s="21">
        <f>EXP(-LN(2)/25)*CL140+(1-EXP(-LN(2)/25))/(LN(2)/25)*Calculateur!CG141*Calculateur!CI141*VLOOKUP('Données projet'!$B$12,Paramètres!$A$1:$I$89,3,0)*0.475*44/12</f>
        <v>4.1567387157204516</v>
      </c>
      <c r="CM141" s="21">
        <f>EXP(-LN(2)/2)*CM140+(1-EXP(-LN(2)/2))/(LN(2)/2)*CG141*CJ141*VLOOKUP('Données projet'!$B$12,Paramètres!$A$1:$I$89,3,0)*0.475*44/12</f>
        <v>5.8140082710412328E-11</v>
      </c>
      <c r="CN141" s="22">
        <f t="shared" si="120"/>
        <v>31.835514430278273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-3.979039320256561E-13</v>
      </c>
      <c r="CU141" s="17">
        <f>CT141*VLOOKUP('Données projet'!$B$13,Paramètres!$A$1:$I$89,3,0)*VLOOKUP('Données projet'!$B$13,Paramètres!$A$1:$I$89,5,0)</f>
        <v>-2.379465513513424E-13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213.18424462765137</v>
      </c>
      <c r="CZ141" s="59">
        <f t="shared" si="150"/>
        <v>158.77848520346532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45.101939419899004</v>
      </c>
      <c r="DG141" s="21">
        <f>EXP(-LN(2)/25)*DG140+(1-EXP(-LN(2)/25))/(LN(2)/25)*Calculateur!DB141*Calculateur!DD141*VLOOKUP('Données projet'!$B$13,Paramètres!$A$1:$I$89,3,0)*0.475*44/12</f>
        <v>6.8520218698970563</v>
      </c>
      <c r="DH141" s="21">
        <f>EXP(-LN(2)/2)*DH140+(1-EXP(-LN(2)/2))/(LN(2)/2)*DB141*DE141*VLOOKUP('Données projet'!$B$13,Paramètres!$A$1:$I$89,3,0)*0.475*44/12</f>
        <v>6.7355899246178045E-8</v>
      </c>
      <c r="DI141" s="22">
        <f t="shared" si="123"/>
        <v>51.953961357151961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1.1368683772161603E-12</v>
      </c>
      <c r="O142" s="13">
        <f>N142*VLOOKUP('Données projet'!$B$9,Paramètres!$A$1:$I$89,3,0)*VLOOKUP('Données projet'!$B$9,Paramètres!$A$1:$I$89,5,0)</f>
        <v>5.3205440053716299E-13</v>
      </c>
      <c r="P142" s="13">
        <f t="shared" si="141"/>
        <v>6.579711042921201E-12</v>
      </c>
      <c r="Q142" s="20">
        <f t="shared" si="108"/>
        <v>1.2386324814023317E-11</v>
      </c>
      <c r="R142" s="59">
        <f t="shared" si="109"/>
        <v>293.33333333334571</v>
      </c>
      <c r="S142" s="59">
        <f ca="1">AVERAGE(OFFSET($R$3,0,0,'Données projet'!$E$9+1,1))-AVERAGE(OFFSET($H$3,0,0,'Données projet'!$E$9+1,1))</f>
        <v>181.79645720099597</v>
      </c>
      <c r="T142" s="59">
        <f t="shared" si="142"/>
        <v>120.20040029102233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124.42197173186534</v>
      </c>
      <c r="AA142" s="21">
        <f>EXP(-LN(2)/25)*AA141+(1-EXP(-LN(2)/25))/(LN(2)/25)*Calculateur!V142*Calculateur!X142*VLOOKUP('Données projet'!$B$9,Paramètres!$A$1:$I$89,3,0)*0.475*44/12</f>
        <v>27.888370782094405</v>
      </c>
      <c r="AB142" s="21">
        <f>EXP(-LN(2)/2)*AB141+(1-EXP(-LN(2)/2))/(LN(2)/2)*V142*Y142*VLOOKUP('Données projet'!$B$9,Paramètres!$A$1:$I$89,3,0)*0.475*44/12</f>
        <v>1.1633851763393925</v>
      </c>
      <c r="AC142" s="22">
        <f t="shared" si="111"/>
        <v>153.47372769029914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253.62342381933348</v>
      </c>
      <c r="AO142" s="59">
        <f t="shared" si="144"/>
        <v>230.93438491775407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53.671620577191248</v>
      </c>
      <c r="AV142" s="21">
        <f>EXP(-LN(2)/25)*AV141+(1-EXP(-LN(2)/25))/(LN(2)/25)*Calculateur!AQ142*Calculateur!AS142*VLOOKUP('Données projet'!$B$10,Paramètres!$A$1:$I$89,3,0)*0.475*44/12</f>
        <v>8.1859948344127087</v>
      </c>
      <c r="AW142" s="21">
        <f>EXP(-LN(2)/2)*AW141+(1-EXP(-LN(2)/2))/(LN(2)/2)*AQ142*AT142*VLOOKUP('Données projet'!$B$10,Paramètres!$A$1:$I$89,3,0)*0.475*44/12</f>
        <v>1.639461362855616E-9</v>
      </c>
      <c r="AX142" s="21">
        <f t="shared" si="114"/>
        <v>61.857615413243423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-5.6843418860808015E-14</v>
      </c>
      <c r="BE142" s="13">
        <f>BD142*VLOOKUP('Données projet'!$B$11,Paramètres!$A$1:$I$89,3,0)*VLOOKUP('Données projet'!$B$11,Paramètres!$A$1:$I$89,5,0)</f>
        <v>-3.3992364478763198E-14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199.27781324660782</v>
      </c>
      <c r="BJ142" s="59">
        <f t="shared" si="146"/>
        <v>199.82499536488524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27.136011804910783</v>
      </c>
      <c r="BQ142" s="21">
        <f>EXP(-LN(2)/25)*BQ141+(1-EXP(-LN(2)/25))/(LN(2)/25)*Calculateur!BL142*Calculateur!BN142*VLOOKUP('Données projet'!$B$11,Paramètres!$A$1:$I$89,3,0)*0.475*44/12</f>
        <v>4.0457126793874387</v>
      </c>
      <c r="BR142" s="21">
        <f>EXP(-LN(2)/2)*BR141+(1-EXP(-LN(2)/2))/(LN(2)/2)*BL142*BO142*VLOOKUP('Données projet'!$B$11,Paramètres!$A$1:$I$89,3,0)*0.475*44/12</f>
        <v>4.1111219293138947E-11</v>
      </c>
      <c r="BS142" s="22">
        <f t="shared" si="117"/>
        <v>31.181724484339334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-2.8421709430404007E-13</v>
      </c>
      <c r="BZ142" s="13">
        <f>BY142*VLOOKUP('Données projet'!$B$12,Paramètres!$A$1:$I$89,3,0)*VLOOKUP('Données projet'!$B$12,Paramètres!$A$1:$I$89,5,0)</f>
        <v>-1.69961822393816E-13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199.27781323742636</v>
      </c>
      <c r="CE142" s="59">
        <f t="shared" si="148"/>
        <v>199.82499536063892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27.136011805124532</v>
      </c>
      <c r="CL142" s="21">
        <f>EXP(-LN(2)/25)*CL141+(1-EXP(-LN(2)/25))/(LN(2)/25)*Calculateur!CG142*Calculateur!CI142*VLOOKUP('Données projet'!$B$12,Paramètres!$A$1:$I$89,3,0)*0.475*44/12</f>
        <v>4.0430724769456869</v>
      </c>
      <c r="CM142" s="21">
        <f>EXP(-LN(2)/2)*CM141+(1-EXP(-LN(2)/2))/(LN(2)/2)*CG142*CJ142*VLOOKUP('Données projet'!$B$12,Paramètres!$A$1:$I$89,3,0)*0.475*44/12</f>
        <v>4.1111246743279311E-11</v>
      </c>
      <c r="CN142" s="22">
        <f t="shared" si="120"/>
        <v>31.179084282111333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-3.979039320256561E-13</v>
      </c>
      <c r="CU142" s="17">
        <f>CT142*VLOOKUP('Données projet'!$B$13,Paramètres!$A$1:$I$89,3,0)*VLOOKUP('Données projet'!$B$13,Paramètres!$A$1:$I$89,5,0)</f>
        <v>-2.379465513513424E-13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213.18424462765137</v>
      </c>
      <c r="CZ142" s="59">
        <f t="shared" si="150"/>
        <v>158.77848520346532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44.217517897341494</v>
      </c>
      <c r="DG142" s="21">
        <f>EXP(-LN(2)/25)*DG141+(1-EXP(-LN(2)/25))/(LN(2)/25)*Calculateur!DB142*Calculateur!DD142*VLOOKUP('Données projet'!$B$13,Paramètres!$A$1:$I$89,3,0)*0.475*44/12</f>
        <v>6.6646529715325515</v>
      </c>
      <c r="DH142" s="21">
        <f>EXP(-LN(2)/2)*DH141+(1-EXP(-LN(2)/2))/(LN(2)/2)*DB142*DE142*VLOOKUP('Données projet'!$B$13,Paramètres!$A$1:$I$89,3,0)*0.475*44/12</f>
        <v>4.762781310989036E-8</v>
      </c>
      <c r="DI142" s="22">
        <f t="shared" si="123"/>
        <v>50.882170916501863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1.1368683772161603E-12</v>
      </c>
      <c r="O143" s="13">
        <f>N143*VLOOKUP('Données projet'!$B$9,Paramètres!$A$1:$I$89,3,0)*VLOOKUP('Données projet'!$B$9,Paramètres!$A$1:$I$89,5,0)</f>
        <v>5.3205440053716299E-13</v>
      </c>
      <c r="P143" s="13">
        <f t="shared" si="141"/>
        <v>6.579711042921201E-12</v>
      </c>
      <c r="Q143" s="20">
        <f t="shared" si="108"/>
        <v>1.2386324814023317E-11</v>
      </c>
      <c r="R143" s="59">
        <f t="shared" si="109"/>
        <v>293.33333333334571</v>
      </c>
      <c r="S143" s="59">
        <f ca="1">AVERAGE(OFFSET($R$3,0,0,'Données projet'!$E$9+1,1))-AVERAGE(OFFSET($H$3,0,0,'Données projet'!$E$9+1,1))</f>
        <v>181.79645720099597</v>
      </c>
      <c r="T143" s="59">
        <f t="shared" si="142"/>
        <v>120.20040029102233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121.9821327561127</v>
      </c>
      <c r="AA143" s="21">
        <f>EXP(-LN(2)/25)*AA142+(1-EXP(-LN(2)/25))/(LN(2)/25)*Calculateur!V143*Calculateur!X143*VLOOKUP('Données projet'!$B$9,Paramètres!$A$1:$I$89,3,0)*0.475*44/12</f>
        <v>27.125761816472355</v>
      </c>
      <c r="AB143" s="21">
        <f>EXP(-LN(2)/2)*AB142+(1-EXP(-LN(2)/2))/(LN(2)/2)*V143*Y143*VLOOKUP('Données projet'!$B$9,Paramètres!$A$1:$I$89,3,0)*0.475*44/12</f>
        <v>0.82263754732149186</v>
      </c>
      <c r="AC143" s="22">
        <f t="shared" si="111"/>
        <v>149.93053211990656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253.62342381933348</v>
      </c>
      <c r="AO143" s="59">
        <f t="shared" si="144"/>
        <v>230.93438491775407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52.61915283412862</v>
      </c>
      <c r="AV143" s="21">
        <f>EXP(-LN(2)/25)*AV142+(1-EXP(-LN(2)/25))/(LN(2)/25)*Calculateur!AQ143*Calculateur!AS143*VLOOKUP('Données projet'!$B$10,Paramètres!$A$1:$I$89,3,0)*0.475*44/12</f>
        <v>7.9621483751829345</v>
      </c>
      <c r="AW143" s="21">
        <f>EXP(-LN(2)/2)*AW142+(1-EXP(-LN(2)/2))/(LN(2)/2)*AQ143*AT143*VLOOKUP('Données projet'!$B$10,Paramètres!$A$1:$I$89,3,0)*0.475*44/12</f>
        <v>1.159274247168545E-9</v>
      </c>
      <c r="AX143" s="21">
        <f t="shared" si="114"/>
        <v>60.581301210470826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-5.6843418860808015E-14</v>
      </c>
      <c r="BE143" s="13">
        <f>BD143*VLOOKUP('Données projet'!$B$11,Paramètres!$A$1:$I$89,3,0)*VLOOKUP('Données projet'!$B$11,Paramètres!$A$1:$I$89,5,0)</f>
        <v>-3.3992364478763198E-14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199.27781324660782</v>
      </c>
      <c r="BJ143" s="59">
        <f t="shared" si="146"/>
        <v>199.82499536488524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26.603891164749374</v>
      </c>
      <c r="BQ143" s="21">
        <f>EXP(-LN(2)/25)*BQ142+(1-EXP(-LN(2)/25))/(LN(2)/25)*Calculateur!BL143*Calculateur!BN143*VLOOKUP('Données projet'!$B$11,Paramètres!$A$1:$I$89,3,0)*0.475*44/12</f>
        <v>3.9350824534148061</v>
      </c>
      <c r="BR143" s="21">
        <f>EXP(-LN(2)/2)*BR142+(1-EXP(-LN(2)/2))/(LN(2)/2)*BL143*BO143*VLOOKUP('Données projet'!$B$11,Paramètres!$A$1:$I$89,3,0)*0.475*44/12</f>
        <v>2.9070021945025776E-11</v>
      </c>
      <c r="BS143" s="22">
        <f t="shared" si="117"/>
        <v>30.53897361819325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-2.8421709430404007E-13</v>
      </c>
      <c r="BZ143" s="13">
        <f>BY143*VLOOKUP('Données projet'!$B$12,Paramètres!$A$1:$I$89,3,0)*VLOOKUP('Données projet'!$B$12,Paramètres!$A$1:$I$89,5,0)</f>
        <v>-1.69961822393816E-13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199.27781323742636</v>
      </c>
      <c r="CE143" s="59">
        <f t="shared" si="148"/>
        <v>199.82499536063892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26.603891164958934</v>
      </c>
      <c r="CL143" s="21">
        <f>EXP(-LN(2)/25)*CL142+(1-EXP(-LN(2)/25))/(LN(2)/25)*Calculateur!CG143*Calculateur!CI143*VLOOKUP('Données projet'!$B$12,Paramètres!$A$1:$I$89,3,0)*0.475*44/12</f>
        <v>3.9325144474476663</v>
      </c>
      <c r="CM143" s="21">
        <f>EXP(-LN(2)/2)*CM142+(1-EXP(-LN(2)/2))/(LN(2)/2)*CG143*CJ143*VLOOKUP('Données projet'!$B$12,Paramètres!$A$1:$I$89,3,0)*0.475*44/12</f>
        <v>2.9070041355206171E-11</v>
      </c>
      <c r="CN143" s="22">
        <f t="shared" si="120"/>
        <v>30.536405612435669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-3.979039320256561E-13</v>
      </c>
      <c r="CU143" s="17">
        <f>CT143*VLOOKUP('Données projet'!$B$13,Paramètres!$A$1:$I$89,3,0)*VLOOKUP('Données projet'!$B$13,Paramètres!$A$1:$I$89,5,0)</f>
        <v>-2.379465513513424E-13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213.18424462765137</v>
      </c>
      <c r="CZ143" s="59">
        <f t="shared" si="150"/>
        <v>158.77848520346532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43.350439341397475</v>
      </c>
      <c r="DG143" s="21">
        <f>EXP(-LN(2)/25)*DG142+(1-EXP(-LN(2)/25))/(LN(2)/25)*Calculateur!DB143*Calculateur!DD143*VLOOKUP('Données projet'!$B$13,Paramètres!$A$1:$I$89,3,0)*0.475*44/12</f>
        <v>6.482407685547126</v>
      </c>
      <c r="DH143" s="21">
        <f>EXP(-LN(2)/2)*DH142+(1-EXP(-LN(2)/2))/(LN(2)/2)*DB143*DE143*VLOOKUP('Données projet'!$B$13,Paramètres!$A$1:$I$89,3,0)*0.475*44/12</f>
        <v>3.3677949623089022E-8</v>
      </c>
      <c r="DI143" s="22">
        <f t="shared" si="123"/>
        <v>49.832847060622548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1.1368683772161603E-12</v>
      </c>
      <c r="O144" s="13">
        <f>N144*VLOOKUP('Données projet'!$B$9,Paramètres!$A$1:$I$89,3,0)*VLOOKUP('Données projet'!$B$9,Paramètres!$A$1:$I$89,5,0)</f>
        <v>5.3205440053716299E-13</v>
      </c>
      <c r="P144" s="13">
        <f t="shared" si="141"/>
        <v>6.579711042921201E-12</v>
      </c>
      <c r="Q144" s="20">
        <f t="shared" si="108"/>
        <v>1.2386324814023317E-11</v>
      </c>
      <c r="R144" s="59">
        <f t="shared" si="109"/>
        <v>293.33333333334571</v>
      </c>
      <c r="S144" s="59">
        <f ca="1">AVERAGE(OFFSET($R$3,0,0,'Données projet'!$E$9+1,1))-AVERAGE(OFFSET($H$3,0,0,'Données projet'!$E$9+1,1))</f>
        <v>181.79645720099597</v>
      </c>
      <c r="T144" s="59">
        <f t="shared" si="142"/>
        <v>120.20040029102233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119.59013753451976</v>
      </c>
      <c r="AA144" s="21">
        <f>EXP(-LN(2)/25)*AA143+(1-EXP(-LN(2)/25))/(LN(2)/25)*Calculateur!V144*Calculateur!X144*VLOOKUP('Données projet'!$B$9,Paramètres!$A$1:$I$89,3,0)*0.475*44/12</f>
        <v>26.384006433119101</v>
      </c>
      <c r="AB144" s="21">
        <f>EXP(-LN(2)/2)*AB143+(1-EXP(-LN(2)/2))/(LN(2)/2)*V144*Y144*VLOOKUP('Données projet'!$B$9,Paramètres!$A$1:$I$89,3,0)*0.475*44/12</f>
        <v>0.58169258816969627</v>
      </c>
      <c r="AC144" s="22">
        <f t="shared" si="111"/>
        <v>146.55583655580855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253.62342381933348</v>
      </c>
      <c r="AO144" s="59">
        <f t="shared" si="144"/>
        <v>230.93438491775407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51.587323341565515</v>
      </c>
      <c r="AV144" s="21">
        <f>EXP(-LN(2)/25)*AV143+(1-EXP(-LN(2)/25))/(LN(2)/25)*Calculateur!AQ144*Calculateur!AS144*VLOOKUP('Données projet'!$B$10,Paramètres!$A$1:$I$89,3,0)*0.475*44/12</f>
        <v>7.7444230091523716</v>
      </c>
      <c r="AW144" s="21">
        <f>EXP(-LN(2)/2)*AW143+(1-EXP(-LN(2)/2))/(LN(2)/2)*AQ144*AT144*VLOOKUP('Données projet'!$B$10,Paramètres!$A$1:$I$89,3,0)*0.475*44/12</f>
        <v>8.1973068142780799E-10</v>
      </c>
      <c r="AX144" s="21">
        <f t="shared" si="114"/>
        <v>59.331746351537618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-5.6843418860808015E-14</v>
      </c>
      <c r="BE144" s="13">
        <f>BD144*VLOOKUP('Données projet'!$B$11,Paramètres!$A$1:$I$89,3,0)*VLOOKUP('Données projet'!$B$11,Paramètres!$A$1:$I$89,5,0)</f>
        <v>-3.3992364478763198E-14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199.27781324660782</v>
      </c>
      <c r="BJ144" s="59">
        <f t="shared" si="146"/>
        <v>199.82499536488524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26.082205085779989</v>
      </c>
      <c r="BQ144" s="21">
        <f>EXP(-LN(2)/25)*BQ143+(1-EXP(-LN(2)/25))/(LN(2)/25)*Calculateur!BL144*Calculateur!BN144*VLOOKUP('Données projet'!$B$11,Paramètres!$A$1:$I$89,3,0)*0.475*44/12</f>
        <v>3.8274774167891858</v>
      </c>
      <c r="BR144" s="21">
        <f>EXP(-LN(2)/2)*BR143+(1-EXP(-LN(2)/2))/(LN(2)/2)*BL144*BO144*VLOOKUP('Données projet'!$B$11,Paramètres!$A$1:$I$89,3,0)*0.475*44/12</f>
        <v>2.0555609646569477E-11</v>
      </c>
      <c r="BS144" s="22">
        <f t="shared" si="117"/>
        <v>29.909682502589732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-2.8421709430404007E-13</v>
      </c>
      <c r="BZ144" s="13">
        <f>BY144*VLOOKUP('Données projet'!$B$12,Paramètres!$A$1:$I$89,3,0)*VLOOKUP('Données projet'!$B$12,Paramètres!$A$1:$I$89,5,0)</f>
        <v>-1.69961822393816E-13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199.27781323742636</v>
      </c>
      <c r="CE144" s="59">
        <f t="shared" si="148"/>
        <v>199.82499536063892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26.082205085985439</v>
      </c>
      <c r="CL144" s="21">
        <f>EXP(-LN(2)/25)*CL143+(1-EXP(-LN(2)/25))/(LN(2)/25)*Calculateur!CG144*Calculateur!CI144*VLOOKUP('Données projet'!$B$12,Paramètres!$A$1:$I$89,3,0)*0.475*44/12</f>
        <v>3.8249796330802628</v>
      </c>
      <c r="CM144" s="21">
        <f>EXP(-LN(2)/2)*CM143+(1-EXP(-LN(2)/2))/(LN(2)/2)*CG144*CJ144*VLOOKUP('Données projet'!$B$12,Paramètres!$A$1:$I$89,3,0)*0.475*44/12</f>
        <v>2.0555623371639659E-11</v>
      </c>
      <c r="CN144" s="22">
        <f t="shared" si="120"/>
        <v>29.90718471908626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-3.979039320256561E-13</v>
      </c>
      <c r="CU144" s="17">
        <f>CT144*VLOOKUP('Données projet'!$B$13,Paramètres!$A$1:$I$89,3,0)*VLOOKUP('Données projet'!$B$13,Paramètres!$A$1:$I$89,5,0)</f>
        <v>-2.379465513513424E-13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213.18424462765137</v>
      </c>
      <c r="CZ144" s="59">
        <f t="shared" si="150"/>
        <v>158.77848520346532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42.50036366706982</v>
      </c>
      <c r="DG144" s="21">
        <f>EXP(-LN(2)/25)*DG143+(1-EXP(-LN(2)/25))/(LN(2)/25)*Calculateur!DB144*Calculateur!DD144*VLOOKUP('Données projet'!$B$13,Paramètres!$A$1:$I$89,3,0)*0.475*44/12</f>
        <v>6.3051459064908357</v>
      </c>
      <c r="DH144" s="21">
        <f>EXP(-LN(2)/2)*DH143+(1-EXP(-LN(2)/2))/(LN(2)/2)*DB144*DE144*VLOOKUP('Données projet'!$B$13,Paramètres!$A$1:$I$89,3,0)*0.475*44/12</f>
        <v>2.381390655494518E-8</v>
      </c>
      <c r="DI144" s="22">
        <f t="shared" si="123"/>
        <v>48.805509597374559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1.1368683772161603E-12</v>
      </c>
      <c r="O145" s="13">
        <f>N145*VLOOKUP('Données projet'!$B$9,Paramètres!$A$1:$I$89,3,0)*VLOOKUP('Données projet'!$B$9,Paramètres!$A$1:$I$89,5,0)</f>
        <v>5.3205440053716299E-13</v>
      </c>
      <c r="P145" s="13">
        <f t="shared" si="141"/>
        <v>6.579711042921201E-12</v>
      </c>
      <c r="Q145" s="20">
        <f t="shared" si="108"/>
        <v>1.2386324814023317E-11</v>
      </c>
      <c r="R145" s="59">
        <f t="shared" si="109"/>
        <v>293.33333333334571</v>
      </c>
      <c r="S145" s="59">
        <f ca="1">AVERAGE(OFFSET($R$3,0,0,'Données projet'!$E$9+1,1))-AVERAGE(OFFSET($H$3,0,0,'Données projet'!$E$9+1,1))</f>
        <v>181.79645720099597</v>
      </c>
      <c r="T145" s="59">
        <f t="shared" si="142"/>
        <v>120.20040029102233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117.24504788024922</v>
      </c>
      <c r="AA145" s="21">
        <f>EXP(-LN(2)/25)*AA144+(1-EXP(-LN(2)/25))/(LN(2)/25)*Calculateur!V145*Calculateur!X145*VLOOKUP('Données projet'!$B$9,Paramètres!$A$1:$I$89,3,0)*0.475*44/12</f>
        <v>25.662534389730862</v>
      </c>
      <c r="AB145" s="21">
        <f>EXP(-LN(2)/2)*AB144+(1-EXP(-LN(2)/2))/(LN(2)/2)*V145*Y145*VLOOKUP('Données projet'!$B$9,Paramètres!$A$1:$I$89,3,0)*0.475*44/12</f>
        <v>0.41131877366074593</v>
      </c>
      <c r="AC145" s="22">
        <f t="shared" si="111"/>
        <v>143.31890104364084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253.62342381933348</v>
      </c>
      <c r="AO145" s="59">
        <f t="shared" si="144"/>
        <v>230.93438491775407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50.575727395997724</v>
      </c>
      <c r="AV145" s="21">
        <f>EXP(-LN(2)/25)*AV144+(1-EXP(-LN(2)/25))/(LN(2)/25)*Calculateur!AQ145*Calculateur!AS145*VLOOKUP('Données projet'!$B$10,Paramètres!$A$1:$I$89,3,0)*0.475*44/12</f>
        <v>7.5326513547055942</v>
      </c>
      <c r="AW145" s="21">
        <f>EXP(-LN(2)/2)*AW144+(1-EXP(-LN(2)/2))/(LN(2)/2)*AQ145*AT145*VLOOKUP('Données projet'!$B$10,Paramètres!$A$1:$I$89,3,0)*0.475*44/12</f>
        <v>5.7963712358427251E-10</v>
      </c>
      <c r="AX145" s="21">
        <f t="shared" si="114"/>
        <v>58.108378751282956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-5.6843418860808015E-14</v>
      </c>
      <c r="BE145" s="13">
        <f>BD145*VLOOKUP('Données projet'!$B$11,Paramètres!$A$1:$I$89,3,0)*VLOOKUP('Données projet'!$B$11,Paramètres!$A$1:$I$89,5,0)</f>
        <v>-3.3992364478763198E-14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199.27781324660782</v>
      </c>
      <c r="BJ145" s="59">
        <f t="shared" si="146"/>
        <v>199.82499536488524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25.570748952622104</v>
      </c>
      <c r="BQ145" s="21">
        <f>EXP(-LN(2)/25)*BQ144+(1-EXP(-LN(2)/25))/(LN(2)/25)*Calculateur!BL145*Calculateur!BN145*VLOOKUP('Données projet'!$B$11,Paramètres!$A$1:$I$89,3,0)*0.475*44/12</f>
        <v>3.7228148455487959</v>
      </c>
      <c r="BR145" s="21">
        <f>EXP(-LN(2)/2)*BR144+(1-EXP(-LN(2)/2))/(LN(2)/2)*BL145*BO145*VLOOKUP('Données projet'!$B$11,Paramètres!$A$1:$I$89,3,0)*0.475*44/12</f>
        <v>1.453501097251289E-11</v>
      </c>
      <c r="BS145" s="22">
        <f t="shared" si="117"/>
        <v>29.293563798185435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-2.8421709430404007E-13</v>
      </c>
      <c r="BZ145" s="13">
        <f>BY145*VLOOKUP('Données projet'!$B$12,Paramètres!$A$1:$I$89,3,0)*VLOOKUP('Données projet'!$B$12,Paramètres!$A$1:$I$89,5,0)</f>
        <v>-1.69961822393816E-13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199.27781323742636</v>
      </c>
      <c r="CE145" s="59">
        <f t="shared" si="148"/>
        <v>199.82499536063892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25.570748952823525</v>
      </c>
      <c r="CL145" s="21">
        <f>EXP(-LN(2)/25)*CL144+(1-EXP(-LN(2)/25))/(LN(2)/25)*Calculateur!CG145*Calculateur!CI145*VLOOKUP('Données projet'!$B$12,Paramètres!$A$1:$I$89,3,0)*0.475*44/12</f>
        <v>3.7203853638667463</v>
      </c>
      <c r="CM145" s="21">
        <f>EXP(-LN(2)/2)*CM144+(1-EXP(-LN(2)/2))/(LN(2)/2)*CG145*CJ145*VLOOKUP('Données projet'!$B$12,Paramètres!$A$1:$I$89,3,0)*0.475*44/12</f>
        <v>1.4535020677603087E-11</v>
      </c>
      <c r="CN145" s="22">
        <f t="shared" si="120"/>
        <v>29.291134316704806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-3.979039320256561E-13</v>
      </c>
      <c r="CU145" s="17">
        <f>CT145*VLOOKUP('Données projet'!$B$13,Paramètres!$A$1:$I$89,3,0)*VLOOKUP('Données projet'!$B$13,Paramètres!$A$1:$I$89,5,0)</f>
        <v>-2.379465513513424E-13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213.18424462765137</v>
      </c>
      <c r="CZ145" s="59">
        <f t="shared" si="150"/>
        <v>158.77848520346532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41.666957458220764</v>
      </c>
      <c r="DG145" s="21">
        <f>EXP(-LN(2)/25)*DG144+(1-EXP(-LN(2)/25))/(LN(2)/25)*Calculateur!DB145*Calculateur!DD145*VLOOKUP('Données projet'!$B$13,Paramètres!$A$1:$I$89,3,0)*0.475*44/12</f>
        <v>6.1327313601046312</v>
      </c>
      <c r="DH145" s="21">
        <f>EXP(-LN(2)/2)*DH144+(1-EXP(-LN(2)/2))/(LN(2)/2)*DB145*DE145*VLOOKUP('Données projet'!$B$13,Paramètres!$A$1:$I$89,3,0)*0.475*44/12</f>
        <v>1.6838974811544511E-8</v>
      </c>
      <c r="DI145" s="22">
        <f t="shared" si="123"/>
        <v>47.799688835164368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1.1368683772161603E-12</v>
      </c>
      <c r="O146" s="13">
        <f>N146*VLOOKUP('Données projet'!$B$9,Paramètres!$A$1:$I$89,3,0)*VLOOKUP('Données projet'!$B$9,Paramètres!$A$1:$I$89,5,0)</f>
        <v>5.3205440053716299E-13</v>
      </c>
      <c r="P146" s="13">
        <f t="shared" si="141"/>
        <v>6.579711042921201E-12</v>
      </c>
      <c r="Q146" s="20">
        <f t="shared" si="108"/>
        <v>1.2386324814023317E-11</v>
      </c>
      <c r="R146" s="59">
        <f t="shared" si="109"/>
        <v>293.33333333334571</v>
      </c>
      <c r="S146" s="59">
        <f ca="1">AVERAGE(OFFSET($R$3,0,0,'Données projet'!$E$9+1,1))-AVERAGE(OFFSET($H$3,0,0,'Données projet'!$E$9+1,1))</f>
        <v>181.79645720099597</v>
      </c>
      <c r="T146" s="59">
        <f t="shared" si="142"/>
        <v>120.20040029102233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114.94594400373548</v>
      </c>
      <c r="AA146" s="21">
        <f>EXP(-LN(2)/25)*AA145+(1-EXP(-LN(2)/25))/(LN(2)/25)*Calculateur!V146*Calculateur!X146*VLOOKUP('Données projet'!$B$9,Paramètres!$A$1:$I$89,3,0)*0.475*44/12</f>
        <v>24.96079103730964</v>
      </c>
      <c r="AB146" s="21">
        <f>EXP(-LN(2)/2)*AB145+(1-EXP(-LN(2)/2))/(LN(2)/2)*V146*Y146*VLOOKUP('Données projet'!$B$9,Paramètres!$A$1:$I$89,3,0)*0.475*44/12</f>
        <v>0.29084629408484813</v>
      </c>
      <c r="AC146" s="22">
        <f t="shared" si="111"/>
        <v>140.19758133512997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253.62342381933348</v>
      </c>
      <c r="AO146" s="59">
        <f t="shared" si="144"/>
        <v>230.93438491775407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49.583968229909921</v>
      </c>
      <c r="AV146" s="21">
        <f>EXP(-LN(2)/25)*AV145+(1-EXP(-LN(2)/25))/(LN(2)/25)*Calculateur!AQ146*Calculateur!AS146*VLOOKUP('Données projet'!$B$10,Paramètres!$A$1:$I$89,3,0)*0.475*44/12</f>
        <v>7.3266706072862515</v>
      </c>
      <c r="AW146" s="21">
        <f>EXP(-LN(2)/2)*AW145+(1-EXP(-LN(2)/2))/(LN(2)/2)*AQ146*AT146*VLOOKUP('Données projet'!$B$10,Paramètres!$A$1:$I$89,3,0)*0.475*44/12</f>
        <v>4.0986534071390399E-10</v>
      </c>
      <c r="AX146" s="21">
        <f t="shared" si="114"/>
        <v>56.910638837606037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-5.6843418860808015E-14</v>
      </c>
      <c r="BE146" s="13">
        <f>BD146*VLOOKUP('Données projet'!$B$11,Paramètres!$A$1:$I$89,3,0)*VLOOKUP('Données projet'!$B$11,Paramètres!$A$1:$I$89,5,0)</f>
        <v>-3.3992364478763198E-14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199.27781324660782</v>
      </c>
      <c r="BJ146" s="59">
        <f t="shared" si="146"/>
        <v>199.82499536488524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25.069322162278006</v>
      </c>
      <c r="BQ146" s="21">
        <f>EXP(-LN(2)/25)*BQ145+(1-EXP(-LN(2)/25))/(LN(2)/25)*Calculateur!BL146*Calculateur!BN146*VLOOKUP('Données projet'!$B$11,Paramètres!$A$1:$I$89,3,0)*0.475*44/12</f>
        <v>3.6210142778229399</v>
      </c>
      <c r="BR146" s="21">
        <f>EXP(-LN(2)/2)*BR145+(1-EXP(-LN(2)/2))/(LN(2)/2)*BL146*BO146*VLOOKUP('Données projet'!$B$11,Paramètres!$A$1:$I$89,3,0)*0.475*44/12</f>
        <v>1.027780482328474E-11</v>
      </c>
      <c r="BS146" s="22">
        <f t="shared" si="117"/>
        <v>28.690336440111224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-2.8421709430404007E-13</v>
      </c>
      <c r="BZ146" s="13">
        <f>BY146*VLOOKUP('Données projet'!$B$12,Paramètres!$A$1:$I$89,3,0)*VLOOKUP('Données projet'!$B$12,Paramètres!$A$1:$I$89,5,0)</f>
        <v>-1.69961822393816E-13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199.27781323742636</v>
      </c>
      <c r="CE146" s="59">
        <f t="shared" si="148"/>
        <v>199.82499536063892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25.06932216247548</v>
      </c>
      <c r="CL146" s="21">
        <f>EXP(-LN(2)/25)*CL145+(1-EXP(-LN(2)/25))/(LN(2)/25)*Calculateur!CG146*Calculateur!CI146*VLOOKUP('Données projet'!$B$12,Paramètres!$A$1:$I$89,3,0)*0.475*44/12</f>
        <v>3.6186512304452467</v>
      </c>
      <c r="CM146" s="21">
        <f>EXP(-LN(2)/2)*CM145+(1-EXP(-LN(2)/2))/(LN(2)/2)*CG146*CJ146*VLOOKUP('Données projet'!$B$12,Paramètres!$A$1:$I$89,3,0)*0.475*44/12</f>
        <v>1.0277811685819831E-11</v>
      </c>
      <c r="CN146" s="22">
        <f t="shared" si="120"/>
        <v>28.687973392931003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-3.979039320256561E-13</v>
      </c>
      <c r="CU146" s="17">
        <f>CT146*VLOOKUP('Données projet'!$B$13,Paramètres!$A$1:$I$89,3,0)*VLOOKUP('Données projet'!$B$13,Paramètres!$A$1:$I$89,5,0)</f>
        <v>-2.379465513513424E-13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213.18424462765137</v>
      </c>
      <c r="CZ146" s="59">
        <f t="shared" si="150"/>
        <v>158.77848520346532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40.849893836799644</v>
      </c>
      <c r="DG146" s="21">
        <f>EXP(-LN(2)/25)*DG145+(1-EXP(-LN(2)/25))/(LN(2)/25)*Calculateur!DB146*Calculateur!DD146*VLOOKUP('Données projet'!$B$13,Paramètres!$A$1:$I$89,3,0)*0.475*44/12</f>
        <v>5.965031498556244</v>
      </c>
      <c r="DH146" s="21">
        <f>EXP(-LN(2)/2)*DH145+(1-EXP(-LN(2)/2))/(LN(2)/2)*DB146*DE146*VLOOKUP('Données projet'!$B$13,Paramètres!$A$1:$I$89,3,0)*0.475*44/12</f>
        <v>1.190695327747259E-8</v>
      </c>
      <c r="DI146" s="22">
        <f t="shared" si="123"/>
        <v>46.814925347262843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1.1368683772161603E-12</v>
      </c>
      <c r="O147" s="13">
        <f>N147*VLOOKUP('Données projet'!$B$9,Paramètres!$A$1:$I$89,3,0)*VLOOKUP('Données projet'!$B$9,Paramètres!$A$1:$I$89,5,0)</f>
        <v>5.3205440053716299E-13</v>
      </c>
      <c r="P147" s="13">
        <f t="shared" si="141"/>
        <v>6.579711042921201E-12</v>
      </c>
      <c r="Q147" s="20">
        <f t="shared" si="108"/>
        <v>1.2386324814023317E-11</v>
      </c>
      <c r="R147" s="59">
        <f t="shared" si="109"/>
        <v>293.33333333334571</v>
      </c>
      <c r="S147" s="59">
        <f ca="1">AVERAGE(OFFSET($R$3,0,0,'Données projet'!$E$9+1,1))-AVERAGE(OFFSET($H$3,0,0,'Données projet'!$E$9+1,1))</f>
        <v>181.79645720099597</v>
      </c>
      <c r="T147" s="59">
        <f t="shared" si="142"/>
        <v>120.20040029102233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112.69192415192526</v>
      </c>
      <c r="AA147" s="21">
        <f>EXP(-LN(2)/25)*AA146+(1-EXP(-LN(2)/25))/(LN(2)/25)*Calculateur!V147*Calculateur!X147*VLOOKUP('Données projet'!$B$9,Paramètres!$A$1:$I$89,3,0)*0.475*44/12</f>
        <v>24.278236893763456</v>
      </c>
      <c r="AB147" s="21">
        <f>EXP(-LN(2)/2)*AB146+(1-EXP(-LN(2)/2))/(LN(2)/2)*V147*Y147*VLOOKUP('Données projet'!$B$9,Paramètres!$A$1:$I$89,3,0)*0.475*44/12</f>
        <v>0.20565938683037296</v>
      </c>
      <c r="AC147" s="22">
        <f t="shared" si="111"/>
        <v>137.17582043251909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253.62342381933348</v>
      </c>
      <c r="AO147" s="59">
        <f t="shared" si="144"/>
        <v>230.93438491775407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48.611656856155733</v>
      </c>
      <c r="AV147" s="21">
        <f>EXP(-LN(2)/25)*AV146+(1-EXP(-LN(2)/25))/(LN(2)/25)*Calculateur!AQ147*Calculateur!AS147*VLOOKUP('Données projet'!$B$10,Paramètres!$A$1:$I$89,3,0)*0.475*44/12</f>
        <v>7.1263224142371469</v>
      </c>
      <c r="AW147" s="21">
        <f>EXP(-LN(2)/2)*AW146+(1-EXP(-LN(2)/2))/(LN(2)/2)*AQ147*AT147*VLOOKUP('Données projet'!$B$10,Paramètres!$A$1:$I$89,3,0)*0.475*44/12</f>
        <v>2.8981856179213626E-10</v>
      </c>
      <c r="AX147" s="21">
        <f t="shared" si="114"/>
        <v>55.737979270682693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-5.6843418860808015E-14</v>
      </c>
      <c r="BE147" s="13">
        <f>BD147*VLOOKUP('Données projet'!$B$11,Paramètres!$A$1:$I$89,3,0)*VLOOKUP('Données projet'!$B$11,Paramètres!$A$1:$I$89,5,0)</f>
        <v>-3.3992364478763198E-14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199.27781324660782</v>
      </c>
      <c r="BJ147" s="59">
        <f t="shared" si="146"/>
        <v>199.82499536488524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24.577728045452414</v>
      </c>
      <c r="BQ147" s="21">
        <f>EXP(-LN(2)/25)*BQ146+(1-EXP(-LN(2)/25))/(LN(2)/25)*Calculateur!BL147*Calculateur!BN147*VLOOKUP('Données projet'!$B$11,Paramètres!$A$1:$I$89,3,0)*0.475*44/12</f>
        <v>3.5219974519750066</v>
      </c>
      <c r="BR147" s="21">
        <f>EXP(-LN(2)/2)*BR146+(1-EXP(-LN(2)/2))/(LN(2)/2)*BL147*BO147*VLOOKUP('Données projet'!$B$11,Paramètres!$A$1:$I$89,3,0)*0.475*44/12</f>
        <v>7.2675054862564456E-12</v>
      </c>
      <c r="BS147" s="22">
        <f t="shared" si="117"/>
        <v>28.09972549743469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-2.8421709430404007E-13</v>
      </c>
      <c r="BZ147" s="13">
        <f>BY147*VLOOKUP('Données projet'!$B$12,Paramètres!$A$1:$I$89,3,0)*VLOOKUP('Données projet'!$B$12,Paramètres!$A$1:$I$89,5,0)</f>
        <v>-1.69961822393816E-13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199.27781323742636</v>
      </c>
      <c r="CE147" s="59">
        <f t="shared" si="148"/>
        <v>199.82499536063892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24.577728045646015</v>
      </c>
      <c r="CL147" s="21">
        <f>EXP(-LN(2)/25)*CL146+(1-EXP(-LN(2)/25))/(LN(2)/25)*Calculateur!CG147*Calculateur!CI147*VLOOKUP('Données projet'!$B$12,Paramètres!$A$1:$I$89,3,0)*0.475*44/12</f>
        <v>3.5196990222521238</v>
      </c>
      <c r="CM147" s="21">
        <f>EXP(-LN(2)/2)*CM146+(1-EXP(-LN(2)/2))/(LN(2)/2)*CG147*CJ147*VLOOKUP('Données projet'!$B$12,Paramètres!$A$1:$I$89,3,0)*0.475*44/12</f>
        <v>7.2675103388015451E-12</v>
      </c>
      <c r="CN147" s="22">
        <f t="shared" si="120"/>
        <v>28.097427067905407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-3.979039320256561E-13</v>
      </c>
      <c r="CU147" s="17">
        <f>CT147*VLOOKUP('Données projet'!$B$13,Paramètres!$A$1:$I$89,3,0)*VLOOKUP('Données projet'!$B$13,Paramètres!$A$1:$I$89,5,0)</f>
        <v>-2.379465513513424E-13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213.18424462765137</v>
      </c>
      <c r="CZ147" s="59">
        <f t="shared" si="150"/>
        <v>158.77848520346532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40.048852334634994</v>
      </c>
      <c r="DG147" s="21">
        <f>EXP(-LN(2)/25)*DG146+(1-EXP(-LN(2)/25))/(LN(2)/25)*Calculateur!DB147*Calculateur!DD147*VLOOKUP('Données projet'!$B$13,Paramètres!$A$1:$I$89,3,0)*0.475*44/12</f>
        <v>5.8019173985408505</v>
      </c>
      <c r="DH147" s="21">
        <f>EXP(-LN(2)/2)*DH146+(1-EXP(-LN(2)/2))/(LN(2)/2)*DB147*DE147*VLOOKUP('Données projet'!$B$13,Paramètres!$A$1:$I$89,3,0)*0.475*44/12</f>
        <v>8.4194874057722556E-9</v>
      </c>
      <c r="DI147" s="22">
        <f t="shared" si="123"/>
        <v>45.850769741595336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1.1368683772161603E-12</v>
      </c>
      <c r="O148" s="13">
        <f>N148*VLOOKUP('Données projet'!$B$9,Paramètres!$A$1:$I$89,3,0)*VLOOKUP('Données projet'!$B$9,Paramètres!$A$1:$I$89,5,0)</f>
        <v>5.3205440053716299E-13</v>
      </c>
      <c r="P148" s="13">
        <f t="shared" si="141"/>
        <v>6.579711042921201E-12</v>
      </c>
      <c r="Q148" s="20">
        <f t="shared" si="108"/>
        <v>1.2386324814023317E-11</v>
      </c>
      <c r="R148" s="59">
        <f t="shared" si="109"/>
        <v>293.33333333334571</v>
      </c>
      <c r="S148" s="59">
        <f ca="1">AVERAGE(OFFSET($R$3,0,0,'Données projet'!$E$9+1,1))-AVERAGE(OFFSET($H$3,0,0,'Données projet'!$E$9+1,1))</f>
        <v>181.79645720099597</v>
      </c>
      <c r="T148" s="59">
        <f t="shared" si="142"/>
        <v>120.20040029102233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110.4821042545927</v>
      </c>
      <c r="AA148" s="21">
        <f>EXP(-LN(2)/25)*AA147+(1-EXP(-LN(2)/25))/(LN(2)/25)*Calculateur!V148*Calculateur!X148*VLOOKUP('Données projet'!$B$9,Paramètres!$A$1:$I$89,3,0)*0.475*44/12</f>
        <v>23.614347229166505</v>
      </c>
      <c r="AB148" s="21">
        <f>EXP(-LN(2)/2)*AB147+(1-EXP(-LN(2)/2))/(LN(2)/2)*V148*Y148*VLOOKUP('Données projet'!$B$9,Paramètres!$A$1:$I$89,3,0)*0.475*44/12</f>
        <v>0.14542314704242407</v>
      </c>
      <c r="AC148" s="22">
        <f t="shared" si="111"/>
        <v>134.24187463080165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253.62342381933348</v>
      </c>
      <c r="AO148" s="59">
        <f t="shared" si="144"/>
        <v>230.93438491775407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47.658411915389486</v>
      </c>
      <c r="AV148" s="21">
        <f>EXP(-LN(2)/25)*AV147+(1-EXP(-LN(2)/25))/(LN(2)/25)*Calculateur!AQ148*Calculateur!AS148*VLOOKUP('Données projet'!$B$10,Paramètres!$A$1:$I$89,3,0)*0.475*44/12</f>
        <v>6.9314527530628238</v>
      </c>
      <c r="AW148" s="21">
        <f>EXP(-LN(2)/2)*AW147+(1-EXP(-LN(2)/2))/(LN(2)/2)*AQ148*AT148*VLOOKUP('Données projet'!$B$10,Paramètres!$A$1:$I$89,3,0)*0.475*44/12</f>
        <v>2.04932670356952E-10</v>
      </c>
      <c r="AX148" s="21">
        <f t="shared" si="114"/>
        <v>54.589864668657242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-5.6843418860808015E-14</v>
      </c>
      <c r="BE148" s="13">
        <f>BD148*VLOOKUP('Données projet'!$B$11,Paramètres!$A$1:$I$89,3,0)*VLOOKUP('Données projet'!$B$11,Paramètres!$A$1:$I$89,5,0)</f>
        <v>-3.3992364478763198E-14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199.27781324660782</v>
      </c>
      <c r="BJ148" s="59">
        <f t="shared" si="146"/>
        <v>199.82499536488524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24.095773789414967</v>
      </c>
      <c r="BQ148" s="21">
        <f>EXP(-LN(2)/25)*BQ147+(1-EXP(-LN(2)/25))/(LN(2)/25)*Calculateur!BL148*Calculateur!BN148*VLOOKUP('Données projet'!$B$11,Paramètres!$A$1:$I$89,3,0)*0.475*44/12</f>
        <v>3.4256882464369536</v>
      </c>
      <c r="BR148" s="21">
        <f>EXP(-LN(2)/2)*BR147+(1-EXP(-LN(2)/2))/(LN(2)/2)*BL148*BO148*VLOOKUP('Données projet'!$B$11,Paramètres!$A$1:$I$89,3,0)*0.475*44/12</f>
        <v>5.1389024116423708E-12</v>
      </c>
      <c r="BS148" s="22">
        <f t="shared" si="117"/>
        <v>27.521462035857056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-2.8421709430404007E-13</v>
      </c>
      <c r="BZ148" s="13">
        <f>BY148*VLOOKUP('Données projet'!$B$12,Paramètres!$A$1:$I$89,3,0)*VLOOKUP('Données projet'!$B$12,Paramètres!$A$1:$I$89,5,0)</f>
        <v>-1.69961822393816E-13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199.27781323742636</v>
      </c>
      <c r="CE148" s="59">
        <f t="shared" si="148"/>
        <v>199.82499536063892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24.095773789604774</v>
      </c>
      <c r="CL148" s="21">
        <f>EXP(-LN(2)/25)*CL147+(1-EXP(-LN(2)/25))/(LN(2)/25)*Calculateur!CG148*Calculateur!CI148*VLOOKUP('Données projet'!$B$12,Paramètres!$A$1:$I$89,3,0)*0.475*44/12</f>
        <v>3.4234526673957122</v>
      </c>
      <c r="CM148" s="21">
        <f>EXP(-LN(2)/2)*CM147+(1-EXP(-LN(2)/2))/(LN(2)/2)*CG148*CJ148*VLOOKUP('Données projet'!$B$12,Paramètres!$A$1:$I$89,3,0)*0.475*44/12</f>
        <v>5.1389058429099163E-12</v>
      </c>
      <c r="CN148" s="22">
        <f t="shared" si="120"/>
        <v>27.519226457005622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-3.979039320256561E-13</v>
      </c>
      <c r="CU148" s="17">
        <f>CT148*VLOOKUP('Données projet'!$B$13,Paramètres!$A$1:$I$89,3,0)*VLOOKUP('Données projet'!$B$13,Paramètres!$A$1:$I$89,5,0)</f>
        <v>-2.379465513513424E-13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213.18424462765137</v>
      </c>
      <c r="CZ148" s="59">
        <f t="shared" si="150"/>
        <v>158.77848520346532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39.26351876774072</v>
      </c>
      <c r="DG148" s="21">
        <f>EXP(-LN(2)/25)*DG147+(1-EXP(-LN(2)/25))/(LN(2)/25)*Calculateur!DB148*Calculateur!DD148*VLOOKUP('Données projet'!$B$13,Paramètres!$A$1:$I$89,3,0)*0.475*44/12</f>
        <v>5.6432636621681755</v>
      </c>
      <c r="DH148" s="21">
        <f>EXP(-LN(2)/2)*DH147+(1-EXP(-LN(2)/2))/(LN(2)/2)*DB148*DE148*VLOOKUP('Données projet'!$B$13,Paramètres!$A$1:$I$89,3,0)*0.475*44/12</f>
        <v>5.953476638736295E-9</v>
      </c>
      <c r="DI148" s="22">
        <f t="shared" si="123"/>
        <v>44.906782435862368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1.1368683772161603E-12</v>
      </c>
      <c r="O149" s="13">
        <f>N149*VLOOKUP('Données projet'!$B$9,Paramètres!$A$1:$I$89,3,0)*VLOOKUP('Données projet'!$B$9,Paramètres!$A$1:$I$89,5,0)</f>
        <v>5.3205440053716299E-13</v>
      </c>
      <c r="P149" s="13">
        <f t="shared" si="141"/>
        <v>6.579711042921201E-12</v>
      </c>
      <c r="Q149" s="20">
        <f t="shared" si="108"/>
        <v>1.2386324814023317E-11</v>
      </c>
      <c r="R149" s="59">
        <f t="shared" si="109"/>
        <v>293.33333333334571</v>
      </c>
      <c r="S149" s="59">
        <f ca="1">AVERAGE(OFFSET($R$3,0,0,'Données projet'!$E$9+1,1))-AVERAGE(OFFSET($H$3,0,0,'Données projet'!$E$9+1,1))</f>
        <v>181.79645720099597</v>
      </c>
      <c r="T149" s="59">
        <f t="shared" si="142"/>
        <v>120.20040029102233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108.31561757758978</v>
      </c>
      <c r="AA149" s="21">
        <f>EXP(-LN(2)/25)*AA148+(1-EXP(-LN(2)/25))/(LN(2)/25)*Calculateur!V149*Calculateur!X149*VLOOKUP('Données projet'!$B$9,Paramètres!$A$1:$I$89,3,0)*0.475*44/12</f>
        <v>22.968611662360399</v>
      </c>
      <c r="AB149" s="21">
        <f>EXP(-LN(2)/2)*AB148+(1-EXP(-LN(2)/2))/(LN(2)/2)*V149*Y149*VLOOKUP('Données projet'!$B$9,Paramètres!$A$1:$I$89,3,0)*0.475*44/12</f>
        <v>0.10282969341518648</v>
      </c>
      <c r="AC149" s="22">
        <f t="shared" si="111"/>
        <v>131.38705893336535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253.62342381933348</v>
      </c>
      <c r="AO149" s="59">
        <f t="shared" si="144"/>
        <v>230.93438491775407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46.723859526489662</v>
      </c>
      <c r="AV149" s="21">
        <f>EXP(-LN(2)/25)*AV148+(1-EXP(-LN(2)/25))/(LN(2)/25)*Calculateur!AQ149*Calculateur!AS149*VLOOKUP('Données projet'!$B$10,Paramètres!$A$1:$I$89,3,0)*0.475*44/12</f>
        <v>6.7419118130210629</v>
      </c>
      <c r="AW149" s="21">
        <f>EXP(-LN(2)/2)*AW148+(1-EXP(-LN(2)/2))/(LN(2)/2)*AQ149*AT149*VLOOKUP('Données projet'!$B$10,Paramètres!$A$1:$I$89,3,0)*0.475*44/12</f>
        <v>1.4490928089606813E-10</v>
      </c>
      <c r="AX149" s="21">
        <f t="shared" si="114"/>
        <v>53.465771339655632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-5.6843418860808015E-14</v>
      </c>
      <c r="BE149" s="13">
        <f>BD149*VLOOKUP('Données projet'!$B$11,Paramètres!$A$1:$I$89,3,0)*VLOOKUP('Données projet'!$B$11,Paramètres!$A$1:$I$89,5,0)</f>
        <v>-3.3992364478763198E-14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199.27781324660782</v>
      </c>
      <c r="BJ149" s="59">
        <f t="shared" si="146"/>
        <v>199.82499536488524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23.623270362375344</v>
      </c>
      <c r="BQ149" s="21">
        <f>EXP(-LN(2)/25)*BQ148+(1-EXP(-LN(2)/25))/(LN(2)/25)*Calculateur!BL149*Calculateur!BN149*VLOOKUP('Données projet'!$B$11,Paramètres!$A$1:$I$89,3,0)*0.475*44/12</f>
        <v>3.3320126211890195</v>
      </c>
      <c r="BR149" s="21">
        <f>EXP(-LN(2)/2)*BR148+(1-EXP(-LN(2)/2))/(LN(2)/2)*BL149*BO149*VLOOKUP('Données projet'!$B$11,Paramètres!$A$1:$I$89,3,0)*0.475*44/12</f>
        <v>3.6337527431282236E-12</v>
      </c>
      <c r="BS149" s="22">
        <f t="shared" si="117"/>
        <v>26.955282983567997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-2.8421709430404007E-13</v>
      </c>
      <c r="BZ149" s="13">
        <f>BY149*VLOOKUP('Données projet'!$B$12,Paramètres!$A$1:$I$89,3,0)*VLOOKUP('Données projet'!$B$12,Paramètres!$A$1:$I$89,5,0)</f>
        <v>-1.69961822393816E-13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199.27781323742636</v>
      </c>
      <c r="CE149" s="59">
        <f t="shared" si="148"/>
        <v>199.82499536063892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23.623270362561431</v>
      </c>
      <c r="CL149" s="21">
        <f>EXP(-LN(2)/25)*CL148+(1-EXP(-LN(2)/25))/(LN(2)/25)*Calculateur!CG149*Calculateur!CI149*VLOOKUP('Données projet'!$B$12,Paramètres!$A$1:$I$89,3,0)*0.475*44/12</f>
        <v>3.3298381741742249</v>
      </c>
      <c r="CM149" s="21">
        <f>EXP(-LN(2)/2)*CM148+(1-EXP(-LN(2)/2))/(LN(2)/2)*CG149*CJ149*VLOOKUP('Données projet'!$B$12,Paramètres!$A$1:$I$89,3,0)*0.475*44/12</f>
        <v>3.6337551694007729E-12</v>
      </c>
      <c r="CN149" s="22">
        <f t="shared" si="120"/>
        <v>26.95310853673929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-3.979039320256561E-13</v>
      </c>
      <c r="CU149" s="17">
        <f>CT149*VLOOKUP('Données projet'!$B$13,Paramètres!$A$1:$I$89,3,0)*VLOOKUP('Données projet'!$B$13,Paramètres!$A$1:$I$89,5,0)</f>
        <v>-2.379465513513424E-13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213.18424462765137</v>
      </c>
      <c r="CZ149" s="59">
        <f t="shared" si="150"/>
        <v>158.77848520346532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38.493585113087065</v>
      </c>
      <c r="DG149" s="21">
        <f>EXP(-LN(2)/25)*DG148+(1-EXP(-LN(2)/25))/(LN(2)/25)*Calculateur!DB149*Calculateur!DD149*VLOOKUP('Données projet'!$B$13,Paramètres!$A$1:$I$89,3,0)*0.475*44/12</f>
        <v>5.4889483205598486</v>
      </c>
      <c r="DH149" s="21">
        <f>EXP(-LN(2)/2)*DH148+(1-EXP(-LN(2)/2))/(LN(2)/2)*DB149*DE149*VLOOKUP('Données projet'!$B$13,Paramètres!$A$1:$I$89,3,0)*0.475*44/12</f>
        <v>4.2097437028861278E-9</v>
      </c>
      <c r="DI149" s="22">
        <f t="shared" si="123"/>
        <v>43.982533437856659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1.1368683772161603E-12</v>
      </c>
      <c r="O150" s="13">
        <f>N150*VLOOKUP('Données projet'!$B$9,Paramètres!$A$1:$I$89,3,0)*VLOOKUP('Données projet'!$B$9,Paramètres!$A$1:$I$89,5,0)</f>
        <v>5.3205440053716299E-13</v>
      </c>
      <c r="P150" s="13">
        <f t="shared" si="141"/>
        <v>6.579711042921201E-12</v>
      </c>
      <c r="Q150" s="20">
        <f t="shared" si="108"/>
        <v>1.2386324814023317E-11</v>
      </c>
      <c r="R150" s="59">
        <f t="shared" si="109"/>
        <v>293.33333333334571</v>
      </c>
      <c r="S150" s="59">
        <f ca="1">AVERAGE(OFFSET($R$3,0,0,'Données projet'!$E$9+1,1))-AVERAGE(OFFSET($H$3,0,0,'Données projet'!$E$9+1,1))</f>
        <v>181.79645720099597</v>
      </c>
      <c r="T150" s="59">
        <f t="shared" si="142"/>
        <v>120.20040029102233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106.19161438289649</v>
      </c>
      <c r="AA150" s="21">
        <f>EXP(-LN(2)/25)*AA149+(1-EXP(-LN(2)/25))/(LN(2)/25)*Calculateur!V150*Calculateur!X150*VLOOKUP('Données projet'!$B$9,Paramètres!$A$1:$I$89,3,0)*0.475*44/12</f>
        <v>22.340533768586361</v>
      </c>
      <c r="AB150" s="21">
        <f>EXP(-LN(2)/2)*AB149+(1-EXP(-LN(2)/2))/(LN(2)/2)*V150*Y150*VLOOKUP('Données projet'!$B$9,Paramètres!$A$1:$I$89,3,0)*0.475*44/12</f>
        <v>7.2711573521212033E-2</v>
      </c>
      <c r="AC150" s="22">
        <f t="shared" si="111"/>
        <v>128.60485972500408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253.62342381933348</v>
      </c>
      <c r="AO150" s="59">
        <f t="shared" si="144"/>
        <v>230.93438491775407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45.807633139915495</v>
      </c>
      <c r="AV150" s="21">
        <f>EXP(-LN(2)/25)*AV149+(1-EXP(-LN(2)/25))/(LN(2)/25)*Calculateur!AQ150*Calculateur!AS150*VLOOKUP('Données projet'!$B$10,Paramètres!$A$1:$I$89,3,0)*0.475*44/12</f>
        <v>6.5575538799522688</v>
      </c>
      <c r="AW150" s="21">
        <f>EXP(-LN(2)/2)*AW149+(1-EXP(-LN(2)/2))/(LN(2)/2)*AQ150*AT150*VLOOKUP('Données projet'!$B$10,Paramètres!$A$1:$I$89,3,0)*0.475*44/12</f>
        <v>1.02466335178476E-10</v>
      </c>
      <c r="AX150" s="21">
        <f t="shared" si="114"/>
        <v>52.365187019970229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-5.6843418860808015E-14</v>
      </c>
      <c r="BE150" s="13">
        <f>BD150*VLOOKUP('Données projet'!$B$11,Paramètres!$A$1:$I$89,3,0)*VLOOKUP('Données projet'!$B$11,Paramètres!$A$1:$I$89,5,0)</f>
        <v>-3.3992364478763198E-14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199.27781324660782</v>
      </c>
      <c r="BJ150" s="59">
        <f t="shared" si="146"/>
        <v>199.82499536488524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23.160032439341336</v>
      </c>
      <c r="BQ150" s="21">
        <f>EXP(-LN(2)/25)*BQ149+(1-EXP(-LN(2)/25))/(LN(2)/25)*Calculateur!BL150*Calculateur!BN150*VLOOKUP('Données projet'!$B$11,Paramètres!$A$1:$I$89,3,0)*0.475*44/12</f>
        <v>3.2408985608396774</v>
      </c>
      <c r="BR150" s="21">
        <f>EXP(-LN(2)/2)*BR149+(1-EXP(-LN(2)/2))/(LN(2)/2)*BL150*BO150*VLOOKUP('Données projet'!$B$11,Paramètres!$A$1:$I$89,3,0)*0.475*44/12</f>
        <v>2.5694512058211858E-12</v>
      </c>
      <c r="BS150" s="22">
        <f t="shared" si="117"/>
        <v>26.400931000183583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-2.8421709430404007E-13</v>
      </c>
      <c r="BZ150" s="13">
        <f>BY150*VLOOKUP('Données projet'!$B$12,Paramètres!$A$1:$I$89,3,0)*VLOOKUP('Données projet'!$B$12,Paramètres!$A$1:$I$89,5,0)</f>
        <v>-1.69961822393816E-13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199.27781323742636</v>
      </c>
      <c r="CE150" s="59">
        <f t="shared" si="148"/>
        <v>199.82499536063892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23.160032439523775</v>
      </c>
      <c r="CL150" s="21">
        <f>EXP(-LN(2)/25)*CL149+(1-EXP(-LN(2)/25))/(LN(2)/25)*Calculateur!CG150*Calculateur!CI150*VLOOKUP('Données projet'!$B$12,Paramètres!$A$1:$I$89,3,0)*0.475*44/12</f>
        <v>3.2387835741928517</v>
      </c>
      <c r="CM150" s="21">
        <f>EXP(-LN(2)/2)*CM149+(1-EXP(-LN(2)/2))/(LN(2)/2)*CG150*CJ150*VLOOKUP('Données projet'!$B$12,Paramètres!$A$1:$I$89,3,0)*0.475*44/12</f>
        <v>2.5694529214549585E-12</v>
      </c>
      <c r="CN150" s="22">
        <f t="shared" si="120"/>
        <v>26.398816013719195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-3.979039320256561E-13</v>
      </c>
      <c r="CU150" s="17">
        <f>CT150*VLOOKUP('Données projet'!$B$13,Paramètres!$A$1:$I$89,3,0)*VLOOKUP('Données projet'!$B$13,Paramètres!$A$1:$I$89,5,0)</f>
        <v>-2.379465513513424E-13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213.18424462765137</v>
      </c>
      <c r="CZ150" s="59">
        <f t="shared" si="150"/>
        <v>158.77848520346532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37.738749387788012</v>
      </c>
      <c r="DG150" s="21">
        <f>EXP(-LN(2)/25)*DG149+(1-EXP(-LN(2)/25))/(LN(2)/25)*Calculateur!DB150*Calculateur!DD150*VLOOKUP('Données projet'!$B$13,Paramètres!$A$1:$I$89,3,0)*0.475*44/12</f>
        <v>5.3388527400828929</v>
      </c>
      <c r="DH150" s="21">
        <f>EXP(-LN(2)/2)*DH149+(1-EXP(-LN(2)/2))/(LN(2)/2)*DB150*DE150*VLOOKUP('Données projet'!$B$13,Paramètres!$A$1:$I$89,3,0)*0.475*44/12</f>
        <v>2.9767383193681475E-9</v>
      </c>
      <c r="DI150" s="22">
        <f t="shared" si="123"/>
        <v>43.077602130847644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1.1368683772161603E-12</v>
      </c>
      <c r="O151" s="13">
        <f>N151*VLOOKUP('Données projet'!$B$9,Paramètres!$A$1:$I$89,3,0)*VLOOKUP('Données projet'!$B$9,Paramètres!$A$1:$I$89,5,0)</f>
        <v>5.3205440053716299E-13</v>
      </c>
      <c r="P151" s="13">
        <f t="shared" si="141"/>
        <v>6.579711042921201E-12</v>
      </c>
      <c r="Q151" s="20">
        <f t="shared" si="108"/>
        <v>1.2386324814023317E-11</v>
      </c>
      <c r="R151" s="59">
        <f t="shared" si="109"/>
        <v>293.33333333334571</v>
      </c>
      <c r="S151" s="59">
        <f ca="1">AVERAGE(OFFSET($R$3,0,0,'Données projet'!$E$9+1,1))-AVERAGE(OFFSET($H$3,0,0,'Données projet'!$E$9+1,1))</f>
        <v>181.79645720099597</v>
      </c>
      <c r="T151" s="59">
        <f t="shared" si="142"/>
        <v>120.20040029102233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104.1092615953371</v>
      </c>
      <c r="AA151" s="21">
        <f>EXP(-LN(2)/25)*AA150+(1-EXP(-LN(2)/25))/(LN(2)/25)*Calculateur!V151*Calculateur!X151*VLOOKUP('Données projet'!$B$9,Paramètres!$A$1:$I$89,3,0)*0.475*44/12</f>
        <v>21.729630697846755</v>
      </c>
      <c r="AB151" s="21">
        <f>EXP(-LN(2)/2)*AB150+(1-EXP(-LN(2)/2))/(LN(2)/2)*V151*Y151*VLOOKUP('Données projet'!$B$9,Paramètres!$A$1:$I$89,3,0)*0.475*44/12</f>
        <v>5.1414846707593241E-2</v>
      </c>
      <c r="AC151" s="22">
        <f t="shared" si="111"/>
        <v>125.89030713989145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253.62342381933348</v>
      </c>
      <c r="AO151" s="59">
        <f t="shared" si="144"/>
        <v>230.93438491775407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44.909373393939134</v>
      </c>
      <c r="AV151" s="21">
        <f>EXP(-LN(2)/25)*AV150+(1-EXP(-LN(2)/25))/(LN(2)/25)*Calculateur!AQ151*Calculateur!AS151*VLOOKUP('Données projet'!$B$10,Paramètres!$A$1:$I$89,3,0)*0.475*44/12</f>
        <v>6.3782372242582026</v>
      </c>
      <c r="AW151" s="21">
        <f>EXP(-LN(2)/2)*AW150+(1-EXP(-LN(2)/2))/(LN(2)/2)*AQ151*AT151*VLOOKUP('Données projet'!$B$10,Paramètres!$A$1:$I$89,3,0)*0.475*44/12</f>
        <v>7.2454640448034064E-11</v>
      </c>
      <c r="AX151" s="21">
        <f t="shared" si="114"/>
        <v>51.287610618269788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-5.6843418860808015E-14</v>
      </c>
      <c r="BE151" s="13">
        <f>BD151*VLOOKUP('Données projet'!$B$11,Paramètres!$A$1:$I$89,3,0)*VLOOKUP('Données projet'!$B$11,Paramètres!$A$1:$I$89,5,0)</f>
        <v>-3.3992364478763198E-14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199.27781324660782</v>
      </c>
      <c r="BJ151" s="59">
        <f t="shared" si="146"/>
        <v>199.82499536488524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22.705878329430792</v>
      </c>
      <c r="BQ151" s="21">
        <f>EXP(-LN(2)/25)*BQ150+(1-EXP(-LN(2)/25))/(LN(2)/25)*Calculateur!BL151*Calculateur!BN151*VLOOKUP('Données projet'!$B$11,Paramètres!$A$1:$I$89,3,0)*0.475*44/12</f>
        <v>3.1522760192620685</v>
      </c>
      <c r="BR151" s="21">
        <f>EXP(-LN(2)/2)*BR150+(1-EXP(-LN(2)/2))/(LN(2)/2)*BL151*BO151*VLOOKUP('Données projet'!$B$11,Paramètres!$A$1:$I$89,3,0)*0.475*44/12</f>
        <v>1.816876371564112E-12</v>
      </c>
      <c r="BS151" s="22">
        <f t="shared" si="117"/>
        <v>25.858154348694676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-2.8421709430404007E-13</v>
      </c>
      <c r="BZ151" s="13">
        <f>BY151*VLOOKUP('Données projet'!$B$12,Paramètres!$A$1:$I$89,3,0)*VLOOKUP('Données projet'!$B$12,Paramètres!$A$1:$I$89,5,0)</f>
        <v>-1.69961822393816E-13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199.27781323742636</v>
      </c>
      <c r="CE151" s="59">
        <f t="shared" si="148"/>
        <v>199.82499536063892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22.705878329609654</v>
      </c>
      <c r="CL151" s="21">
        <f>EXP(-LN(2)/25)*CL150+(1-EXP(-LN(2)/25))/(LN(2)/25)*Calculateur!CG151*Calculateur!CI151*VLOOKUP('Données projet'!$B$12,Paramètres!$A$1:$I$89,3,0)*0.475*44/12</f>
        <v>3.1502188670363225</v>
      </c>
      <c r="CM151" s="21">
        <f>EXP(-LN(2)/2)*CM150+(1-EXP(-LN(2)/2))/(LN(2)/2)*CG151*CJ151*VLOOKUP('Données projet'!$B$12,Paramètres!$A$1:$I$89,3,0)*0.475*44/12</f>
        <v>1.8168775847003869E-12</v>
      </c>
      <c r="CN151" s="22">
        <f t="shared" si="120"/>
        <v>25.856097196647791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-3.979039320256561E-13</v>
      </c>
      <c r="CU151" s="17">
        <f>CT151*VLOOKUP('Données projet'!$B$13,Paramètres!$A$1:$I$89,3,0)*VLOOKUP('Données projet'!$B$13,Paramètres!$A$1:$I$89,5,0)</f>
        <v>-2.379465513513424E-13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213.18424462765137</v>
      </c>
      <c r="CZ151" s="59">
        <f t="shared" si="150"/>
        <v>158.77848520346532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36.998715530657741</v>
      </c>
      <c r="DG151" s="21">
        <f>EXP(-LN(2)/25)*DG150+(1-EXP(-LN(2)/25))/(LN(2)/25)*Calculateur!DB151*Calculateur!DD151*VLOOKUP('Données projet'!$B$13,Paramètres!$A$1:$I$89,3,0)*0.475*44/12</f>
        <v>5.1928615311472628</v>
      </c>
      <c r="DH151" s="21">
        <f>EXP(-LN(2)/2)*DH150+(1-EXP(-LN(2)/2))/(LN(2)/2)*DB151*DE151*VLOOKUP('Données projet'!$B$13,Paramètres!$A$1:$I$89,3,0)*0.475*44/12</f>
        <v>2.1048718514430639E-9</v>
      </c>
      <c r="DI151" s="22">
        <f t="shared" si="123"/>
        <v>42.191577063909875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1.1368683772161603E-12</v>
      </c>
      <c r="O152" s="13">
        <f>N152*VLOOKUP('Données projet'!$B$9,Paramètres!$A$1:$I$89,3,0)*VLOOKUP('Données projet'!$B$9,Paramètres!$A$1:$I$89,5,0)</f>
        <v>5.3205440053716299E-13</v>
      </c>
      <c r="P152" s="13">
        <f t="shared" si="141"/>
        <v>6.579711042921201E-12</v>
      </c>
      <c r="Q152" s="20">
        <f t="shared" si="108"/>
        <v>1.2386324814023317E-11</v>
      </c>
      <c r="R152" s="59">
        <f t="shared" si="109"/>
        <v>293.33333333334571</v>
      </c>
      <c r="S152" s="59">
        <f ca="1">AVERAGE(OFFSET($R$3,0,0,'Données projet'!$E$9+1,1))-AVERAGE(OFFSET($H$3,0,0,'Données projet'!$E$9+1,1))</f>
        <v>181.79645720099597</v>
      </c>
      <c r="T152" s="59">
        <f t="shared" si="142"/>
        <v>120.20040029102233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102.06774247583198</v>
      </c>
      <c r="AA152" s="21">
        <f>EXP(-LN(2)/25)*AA151+(1-EXP(-LN(2)/25))/(LN(2)/25)*Calculateur!V152*Calculateur!X152*VLOOKUP('Données projet'!$B$9,Paramètres!$A$1:$I$89,3,0)*0.475*44/12</f>
        <v>21.135432803702521</v>
      </c>
      <c r="AB152" s="21">
        <f>EXP(-LN(2)/2)*AB151+(1-EXP(-LN(2)/2))/(LN(2)/2)*V152*Y152*VLOOKUP('Données projet'!$B$9,Paramètres!$A$1:$I$89,3,0)*0.475*44/12</f>
        <v>3.6355786760606017E-2</v>
      </c>
      <c r="AC152" s="22">
        <f t="shared" si="111"/>
        <v>123.2395310662951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253.62342381933348</v>
      </c>
      <c r="AO152" s="59">
        <f t="shared" si="144"/>
        <v>230.93438491775407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44.028727973697023</v>
      </c>
      <c r="AV152" s="21">
        <f>EXP(-LN(2)/25)*AV151+(1-EXP(-LN(2)/25))/(LN(2)/25)*Calculateur!AQ152*Calculateur!AS152*VLOOKUP('Données projet'!$B$10,Paramètres!$A$1:$I$89,3,0)*0.475*44/12</f>
        <v>6.2038239919439437</v>
      </c>
      <c r="AW152" s="21">
        <f>EXP(-LN(2)/2)*AW151+(1-EXP(-LN(2)/2))/(LN(2)/2)*AQ152*AT152*VLOOKUP('Données projet'!$B$10,Paramètres!$A$1:$I$89,3,0)*0.475*44/12</f>
        <v>5.1233167589237999E-11</v>
      </c>
      <c r="AX152" s="21">
        <f t="shared" si="114"/>
        <v>50.232551965692195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-5.6843418860808015E-14</v>
      </c>
      <c r="BE152" s="13">
        <f>BD152*VLOOKUP('Données projet'!$B$11,Paramètres!$A$1:$I$89,3,0)*VLOOKUP('Données projet'!$B$11,Paramètres!$A$1:$I$89,5,0)</f>
        <v>-3.3992364478763198E-14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199.27781324660782</v>
      </c>
      <c r="BJ152" s="59">
        <f t="shared" si="146"/>
        <v>199.82499536488524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22.260629904608937</v>
      </c>
      <c r="BQ152" s="21">
        <f>EXP(-LN(2)/25)*BQ151+(1-EXP(-LN(2)/25))/(LN(2)/25)*Calculateur!BL152*Calculateur!BN152*VLOOKUP('Données projet'!$B$11,Paramètres!$A$1:$I$89,3,0)*0.475*44/12</f>
        <v>3.066076865744356</v>
      </c>
      <c r="BR152" s="21">
        <f>EXP(-LN(2)/2)*BR151+(1-EXP(-LN(2)/2))/(LN(2)/2)*BL152*BO152*VLOOKUP('Données projet'!$B$11,Paramètres!$A$1:$I$89,3,0)*0.475*44/12</f>
        <v>1.2847256029105931E-12</v>
      </c>
      <c r="BS152" s="22">
        <f t="shared" si="117"/>
        <v>25.32670677035458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-2.8421709430404007E-13</v>
      </c>
      <c r="BZ152" s="13">
        <f>BY152*VLOOKUP('Données projet'!$B$12,Paramètres!$A$1:$I$89,3,0)*VLOOKUP('Données projet'!$B$12,Paramètres!$A$1:$I$89,5,0)</f>
        <v>-1.69961822393816E-13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199.27781323742636</v>
      </c>
      <c r="CE152" s="59">
        <f t="shared" si="148"/>
        <v>199.82499536063892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22.260629904784292</v>
      </c>
      <c r="CL152" s="21">
        <f>EXP(-LN(2)/25)*CL151+(1-EXP(-LN(2)/25))/(LN(2)/25)*Calculateur!CG152*Calculateur!CI152*VLOOKUP('Données projet'!$B$12,Paramètres!$A$1:$I$89,3,0)*0.475*44/12</f>
        <v>3.0640759664544039</v>
      </c>
      <c r="CM152" s="21">
        <f>EXP(-LN(2)/2)*CM151+(1-EXP(-LN(2)/2))/(LN(2)/2)*CG152*CJ152*VLOOKUP('Données projet'!$B$12,Paramètres!$A$1:$I$89,3,0)*0.475*44/12</f>
        <v>1.2847264607274795E-12</v>
      </c>
      <c r="CN152" s="22">
        <f t="shared" si="120"/>
        <v>25.324705871239981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-3.979039320256561E-13</v>
      </c>
      <c r="CU152" s="17">
        <f>CT152*VLOOKUP('Données projet'!$B$13,Paramètres!$A$1:$I$89,3,0)*VLOOKUP('Données projet'!$B$13,Paramètres!$A$1:$I$89,5,0)</f>
        <v>-2.379465513513424E-13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213.18424462765137</v>
      </c>
      <c r="CZ152" s="59">
        <f t="shared" si="150"/>
        <v>158.77848520346532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36.273193286089715</v>
      </c>
      <c r="DG152" s="21">
        <f>EXP(-LN(2)/25)*DG151+(1-EXP(-LN(2)/25))/(LN(2)/25)*Calculateur!DB152*Calculateur!DD152*VLOOKUP('Données projet'!$B$13,Paramètres!$A$1:$I$89,3,0)*0.475*44/12</f>
        <v>5.0508624594973215</v>
      </c>
      <c r="DH152" s="21">
        <f>EXP(-LN(2)/2)*DH151+(1-EXP(-LN(2)/2))/(LN(2)/2)*DB152*DE152*VLOOKUP('Données projet'!$B$13,Paramètres!$A$1:$I$89,3,0)*0.475*44/12</f>
        <v>1.4883691596840738E-9</v>
      </c>
      <c r="DI152" s="22">
        <f t="shared" si="123"/>
        <v>41.324055747075406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1.1368683772161603E-12</v>
      </c>
      <c r="O153" s="13">
        <f>N153*VLOOKUP('Données projet'!$B$9,Paramètres!$A$1:$I$89,3,0)*VLOOKUP('Données projet'!$B$9,Paramètres!$A$1:$I$89,5,0)</f>
        <v>5.3205440053716299E-13</v>
      </c>
      <c r="P153" s="13">
        <f t="shared" si="141"/>
        <v>6.579711042921201E-12</v>
      </c>
      <c r="Q153" s="20">
        <f t="shared" si="108"/>
        <v>1.2386324814023317E-11</v>
      </c>
      <c r="R153" s="59">
        <f t="shared" si="109"/>
        <v>293.33333333334571</v>
      </c>
      <c r="S153" s="59">
        <f ca="1">AVERAGE(OFFSET($R$3,0,0,'Données projet'!$E$9+1,1))-AVERAGE(OFFSET($H$3,0,0,'Données projet'!$E$9+1,1))</f>
        <v>181.79645720099597</v>
      </c>
      <c r="T153" s="59">
        <f t="shared" si="142"/>
        <v>120.20040029102233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100.06625630105664</v>
      </c>
      <c r="AA153" s="21">
        <f>EXP(-LN(2)/25)*AA152+(1-EXP(-LN(2)/25))/(LN(2)/25)*Calculateur!V153*Calculateur!X153*VLOOKUP('Données projet'!$B$9,Paramètres!$A$1:$I$89,3,0)*0.475*44/12</f>
        <v>20.55748328222117</v>
      </c>
      <c r="AB153" s="21">
        <f>EXP(-LN(2)/2)*AB152+(1-EXP(-LN(2)/2))/(LN(2)/2)*V153*Y153*VLOOKUP('Données projet'!$B$9,Paramètres!$A$1:$I$89,3,0)*0.475*44/12</f>
        <v>2.5707423353796621E-2</v>
      </c>
      <c r="AC153" s="22">
        <f t="shared" si="111"/>
        <v>120.6494470066316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253.62342381933348</v>
      </c>
      <c r="AO153" s="59">
        <f t="shared" si="144"/>
        <v>230.93438491775407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43.165351473005188</v>
      </c>
      <c r="AV153" s="21">
        <f>EXP(-LN(2)/25)*AV152+(1-EXP(-LN(2)/25))/(LN(2)/25)*Calculateur!AQ153*Calculateur!AS153*VLOOKUP('Données projet'!$B$10,Paramètres!$A$1:$I$89,3,0)*0.475*44/12</f>
        <v>6.0341800986393119</v>
      </c>
      <c r="AW153" s="21">
        <f>EXP(-LN(2)/2)*AW152+(1-EXP(-LN(2)/2))/(LN(2)/2)*AQ153*AT153*VLOOKUP('Données projet'!$B$10,Paramètres!$A$1:$I$89,3,0)*0.475*44/12</f>
        <v>3.6227320224017032E-11</v>
      </c>
      <c r="AX153" s="21">
        <f t="shared" si="114"/>
        <v>49.19953157168073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-5.6843418860808015E-14</v>
      </c>
      <c r="BE153" s="13">
        <f>BD153*VLOOKUP('Données projet'!$B$11,Paramètres!$A$1:$I$89,3,0)*VLOOKUP('Données projet'!$B$11,Paramètres!$A$1:$I$89,5,0)</f>
        <v>-3.3992364478763198E-14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199.27781324660782</v>
      </c>
      <c r="BJ153" s="59">
        <f t="shared" si="146"/>
        <v>199.82499536488524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21.824112529823118</v>
      </c>
      <c r="BQ153" s="21">
        <f>EXP(-LN(2)/25)*BQ152+(1-EXP(-LN(2)/25))/(LN(2)/25)*Calculateur!BL153*Calculateur!BN153*VLOOKUP('Données projet'!$B$11,Paramètres!$A$1:$I$89,3,0)*0.475*44/12</f>
        <v>2.982234832612602</v>
      </c>
      <c r="BR153" s="21">
        <f>EXP(-LN(2)/2)*BR152+(1-EXP(-LN(2)/2))/(LN(2)/2)*BL153*BO153*VLOOKUP('Données projet'!$B$11,Paramètres!$A$1:$I$89,3,0)*0.475*44/12</f>
        <v>9.0843818578205621E-13</v>
      </c>
      <c r="BS153" s="22">
        <f t="shared" si="117"/>
        <v>24.806347362436629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-2.8421709430404007E-13</v>
      </c>
      <c r="BZ153" s="13">
        <f>BY153*VLOOKUP('Données projet'!$B$12,Paramètres!$A$1:$I$89,3,0)*VLOOKUP('Données projet'!$B$12,Paramètres!$A$1:$I$89,5,0)</f>
        <v>-1.69961822393816E-13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199.27781323742636</v>
      </c>
      <c r="CE153" s="59">
        <f t="shared" si="148"/>
        <v>199.82499536063892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21.824112529995034</v>
      </c>
      <c r="CL153" s="21">
        <f>EXP(-LN(2)/25)*CL152+(1-EXP(-LN(2)/25))/(LN(2)/25)*Calculateur!CG153*Calculateur!CI153*VLOOKUP('Données projet'!$B$12,Paramètres!$A$1:$I$89,3,0)*0.475*44/12</f>
        <v>2.9802886480189561</v>
      </c>
      <c r="CM153" s="21">
        <f>EXP(-LN(2)/2)*CM152+(1-EXP(-LN(2)/2))/(LN(2)/2)*CG153*CJ153*VLOOKUP('Données projet'!$B$12,Paramètres!$A$1:$I$89,3,0)*0.475*44/12</f>
        <v>9.0843879235019354E-13</v>
      </c>
      <c r="CN153" s="22">
        <f t="shared" si="120"/>
        <v>24.804401178014899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-3.979039320256561E-13</v>
      </c>
      <c r="CU153" s="17">
        <f>CT153*VLOOKUP('Données projet'!$B$13,Paramètres!$A$1:$I$89,3,0)*VLOOKUP('Données projet'!$B$13,Paramètres!$A$1:$I$89,5,0)</f>
        <v>-2.379465513513424E-13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213.18424462765137</v>
      </c>
      <c r="CZ153" s="59">
        <f t="shared" si="150"/>
        <v>158.77848520346532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35.561898090212793</v>
      </c>
      <c r="DG153" s="21">
        <f>EXP(-LN(2)/25)*DG152+(1-EXP(-LN(2)/25))/(LN(2)/25)*Calculateur!DB153*Calculateur!DD153*VLOOKUP('Données projet'!$B$13,Paramètres!$A$1:$I$89,3,0)*0.475*44/12</f>
        <v>4.912746359929054</v>
      </c>
      <c r="DH153" s="21">
        <f>EXP(-LN(2)/2)*DH152+(1-EXP(-LN(2)/2))/(LN(2)/2)*DB153*DE153*VLOOKUP('Données projet'!$B$13,Paramètres!$A$1:$I$89,3,0)*0.475*44/12</f>
        <v>1.0524359257215319E-9</v>
      </c>
      <c r="DI153" s="22">
        <f t="shared" si="123"/>
        <v>40.47464445119428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1.1368683772161603E-12</v>
      </c>
      <c r="O154" s="13">
        <f>N154*VLOOKUP('Données projet'!$B$9,Paramètres!$A$1:$I$89,3,0)*VLOOKUP('Données projet'!$B$9,Paramètres!$A$1:$I$89,5,0)</f>
        <v>5.3205440053716299E-13</v>
      </c>
      <c r="P154" s="13">
        <f t="shared" si="141"/>
        <v>6.579711042921201E-12</v>
      </c>
      <c r="Q154" s="20">
        <f t="shared" ref="Q154:Q203" si="162">(O154+P154)*0.475*44/12</f>
        <v>1.2386324814023317E-11</v>
      </c>
      <c r="R154" s="59">
        <f t="shared" si="109"/>
        <v>293.33333333334571</v>
      </c>
      <c r="S154" s="59">
        <f ca="1">AVERAGE(OFFSET($R$3,0,0,'Données projet'!$E$9+1,1))-AVERAGE(OFFSET($H$3,0,0,'Données projet'!$E$9+1,1))</f>
        <v>181.79645720099597</v>
      </c>
      <c r="T154" s="59">
        <f t="shared" si="142"/>
        <v>120.20040029102233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98.104018049382617</v>
      </c>
      <c r="AA154" s="21">
        <f>EXP(-LN(2)/25)*AA153+(1-EXP(-LN(2)/25))/(LN(2)/25)*Calculateur!V154*Calculateur!X154*VLOOKUP('Données projet'!$B$9,Paramètres!$A$1:$I$89,3,0)*0.475*44/12</f>
        <v>19.995337820797772</v>
      </c>
      <c r="AB154" s="21">
        <f>EXP(-LN(2)/2)*AB153+(1-EXP(-LN(2)/2))/(LN(2)/2)*V154*Y154*VLOOKUP('Données projet'!$B$9,Paramètres!$A$1:$I$89,3,0)*0.475*44/12</f>
        <v>1.8177893380303008E-2</v>
      </c>
      <c r="AC154" s="22">
        <f t="shared" ref="AC154:AC203" si="163">SUM(Z154:AB154)</f>
        <v>118.11753376356069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253.62342381933348</v>
      </c>
      <c r="AO154" s="59">
        <f t="shared" si="144"/>
        <v>230.93438491775407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42.318905258884257</v>
      </c>
      <c r="AV154" s="21">
        <f>EXP(-LN(2)/25)*AV153+(1-EXP(-LN(2)/25))/(LN(2)/25)*Calculateur!AQ154*Calculateur!AS154*VLOOKUP('Données projet'!$B$10,Paramètres!$A$1:$I$89,3,0)*0.475*44/12</f>
        <v>5.8691751265182797</v>
      </c>
      <c r="AW154" s="21">
        <f>EXP(-LN(2)/2)*AW153+(1-EXP(-LN(2)/2))/(LN(2)/2)*AQ154*AT154*VLOOKUP('Données projet'!$B$10,Paramètres!$A$1:$I$89,3,0)*0.475*44/12</f>
        <v>2.5616583794619E-11</v>
      </c>
      <c r="AX154" s="21">
        <f t="shared" ref="AX154:AX203" si="166">SUM(AU154:AW154)</f>
        <v>48.188080385428151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-5.6843418860808015E-14</v>
      </c>
      <c r="BE154" s="13">
        <f>BD154*VLOOKUP('Données projet'!$B$11,Paramètres!$A$1:$I$89,3,0)*VLOOKUP('Données projet'!$B$11,Paramètres!$A$1:$I$89,5,0)</f>
        <v>-3.3992364478763198E-14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199.27781324660782</v>
      </c>
      <c r="BJ154" s="59">
        <f t="shared" si="146"/>
        <v>199.82499536488524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21.39615499450754</v>
      </c>
      <c r="BQ154" s="21">
        <f>EXP(-LN(2)/25)*BQ153+(1-EXP(-LN(2)/25))/(LN(2)/25)*Calculateur!BL154*Calculateur!BN154*VLOOKUP('Données projet'!$B$11,Paramètres!$A$1:$I$89,3,0)*0.475*44/12</f>
        <v>2.9006854642858966</v>
      </c>
      <c r="BR154" s="21">
        <f>EXP(-LN(2)/2)*BR153+(1-EXP(-LN(2)/2))/(LN(2)/2)*BL154*BO154*VLOOKUP('Données projet'!$B$11,Paramètres!$A$1:$I$89,3,0)*0.475*44/12</f>
        <v>6.4236280145529666E-13</v>
      </c>
      <c r="BS154" s="22">
        <f t="shared" ref="BS154:BS203" si="169">SUM(BP154:BR154)</f>
        <v>24.29684045879408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-2.8421709430404007E-13</v>
      </c>
      <c r="BZ154" s="13">
        <f>BY154*VLOOKUP('Données projet'!$B$12,Paramètres!$A$1:$I$89,3,0)*VLOOKUP('Données projet'!$B$12,Paramètres!$A$1:$I$89,5,0)</f>
        <v>-1.69961822393816E-13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199.27781323742636</v>
      </c>
      <c r="CE154" s="59">
        <f t="shared" si="148"/>
        <v>199.82499536063892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21.396154994676085</v>
      </c>
      <c r="CL154" s="21">
        <f>EXP(-LN(2)/25)*CL153+(1-EXP(-LN(2)/25))/(LN(2)/25)*Calculateur!CG154*Calculateur!CI154*VLOOKUP('Données projet'!$B$12,Paramètres!$A$1:$I$89,3,0)*0.475*44/12</f>
        <v>2.8987924982123094</v>
      </c>
      <c r="CM154" s="21">
        <f>EXP(-LN(2)/2)*CM153+(1-EXP(-LN(2)/2))/(LN(2)/2)*CG154*CJ154*VLOOKUP('Données projet'!$B$12,Paramètres!$A$1:$I$89,3,0)*0.475*44/12</f>
        <v>6.4236323036373984E-13</v>
      </c>
      <c r="CN154" s="22">
        <f t="shared" ref="CN154:CN203" si="172">SUM(CK154:CM154)</f>
        <v>24.294947492889037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-3.979039320256561E-13</v>
      </c>
      <c r="CU154" s="17">
        <f>CT154*VLOOKUP('Données projet'!$B$13,Paramètres!$A$1:$I$89,3,0)*VLOOKUP('Données projet'!$B$13,Paramètres!$A$1:$I$89,5,0)</f>
        <v>-2.379465513513424E-13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213.18424462765137</v>
      </c>
      <c r="CZ154" s="59">
        <f t="shared" si="150"/>
        <v>158.77848520346532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34.864550959279782</v>
      </c>
      <c r="DG154" s="21">
        <f>EXP(-LN(2)/25)*DG153+(1-EXP(-LN(2)/25))/(LN(2)/25)*Calculateur!DB154*Calculateur!DD154*VLOOKUP('Données projet'!$B$13,Paramètres!$A$1:$I$89,3,0)*0.475*44/12</f>
        <v>4.7784070523666911</v>
      </c>
      <c r="DH154" s="21">
        <f>EXP(-LN(2)/2)*DH153+(1-EXP(-LN(2)/2))/(LN(2)/2)*DB154*DE154*VLOOKUP('Données projet'!$B$13,Paramètres!$A$1:$I$89,3,0)*0.475*44/12</f>
        <v>7.4418457984203688E-10</v>
      </c>
      <c r="DI154" s="22">
        <f t="shared" ref="DI154:DI203" si="175">SUM(DF154:DH154)</f>
        <v>39.642958012390658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1.1368683772161603E-12</v>
      </c>
      <c r="O155" s="13">
        <f>N155*VLOOKUP('Données projet'!$B$9,Paramètres!$A$1:$I$89,3,0)*VLOOKUP('Données projet'!$B$9,Paramètres!$A$1:$I$89,5,0)</f>
        <v>5.3205440053716299E-13</v>
      </c>
      <c r="P155" s="13">
        <f t="shared" si="141"/>
        <v>6.579711042921201E-12</v>
      </c>
      <c r="Q155" s="20">
        <f t="shared" si="162"/>
        <v>1.2386324814023317E-11</v>
      </c>
      <c r="R155" s="59">
        <f t="shared" si="109"/>
        <v>293.33333333334571</v>
      </c>
      <c r="S155" s="59">
        <f ca="1">AVERAGE(OFFSET($R$3,0,0,'Données projet'!$E$9+1,1))-AVERAGE(OFFSET($H$3,0,0,'Données projet'!$E$9+1,1))</f>
        <v>181.79645720099597</v>
      </c>
      <c r="T155" s="59">
        <f t="shared" si="142"/>
        <v>120.20040029102233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96.180258092976771</v>
      </c>
      <c r="AA155" s="21">
        <f>EXP(-LN(2)/25)*AA154+(1-EXP(-LN(2)/25))/(LN(2)/25)*Calculateur!V155*Calculateur!X155*VLOOKUP('Données projet'!$B$9,Paramètres!$A$1:$I$89,3,0)*0.475*44/12</f>
        <v>19.448564256578941</v>
      </c>
      <c r="AB155" s="21">
        <f>EXP(-LN(2)/2)*AB154+(1-EXP(-LN(2)/2))/(LN(2)/2)*V155*Y155*VLOOKUP('Données projet'!$B$9,Paramètres!$A$1:$I$89,3,0)*0.475*44/12</f>
        <v>1.285371167689831E-2</v>
      </c>
      <c r="AC155" s="22">
        <f t="shared" si="163"/>
        <v>115.64167606123262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253.62342381933348</v>
      </c>
      <c r="AO155" s="59">
        <f t="shared" si="144"/>
        <v>230.93438491775407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41.48905733874102</v>
      </c>
      <c r="AV155" s="21">
        <f>EXP(-LN(2)/25)*AV154+(1-EXP(-LN(2)/25))/(LN(2)/25)*Calculateur!AQ155*Calculateur!AS155*VLOOKUP('Données projet'!$B$10,Paramètres!$A$1:$I$89,3,0)*0.475*44/12</f>
        <v>5.7086822240371315</v>
      </c>
      <c r="AW155" s="21">
        <f>EXP(-LN(2)/2)*AW154+(1-EXP(-LN(2)/2))/(LN(2)/2)*AQ155*AT155*VLOOKUP('Données projet'!$B$10,Paramètres!$A$1:$I$89,3,0)*0.475*44/12</f>
        <v>1.8113660112008516E-11</v>
      </c>
      <c r="AX155" s="21">
        <f t="shared" si="166"/>
        <v>47.197739562796265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-5.6843418860808015E-14</v>
      </c>
      <c r="BE155" s="13">
        <f>BD155*VLOOKUP('Données projet'!$B$11,Paramètres!$A$1:$I$89,3,0)*VLOOKUP('Données projet'!$B$11,Paramètres!$A$1:$I$89,5,0)</f>
        <v>-3.3992364478763198E-14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199.27781324660782</v>
      </c>
      <c r="BJ155" s="59">
        <f t="shared" si="146"/>
        <v>199.82499536488524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20.976589445431177</v>
      </c>
      <c r="BQ155" s="21">
        <f>EXP(-LN(2)/25)*BQ154+(1-EXP(-LN(2)/25))/(LN(2)/25)*Calculateur!BL155*Calculateur!BN155*VLOOKUP('Données projet'!$B$11,Paramètres!$A$1:$I$89,3,0)*0.475*44/12</f>
        <v>2.82136606772458</v>
      </c>
      <c r="BR155" s="21">
        <f>EXP(-LN(2)/2)*BR154+(1-EXP(-LN(2)/2))/(LN(2)/2)*BL155*BO155*VLOOKUP('Données projet'!$B$11,Paramètres!$A$1:$I$89,3,0)*0.475*44/12</f>
        <v>4.5421909289102816E-13</v>
      </c>
      <c r="BS155" s="22">
        <f t="shared" si="169"/>
        <v>23.797955513156211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-2.8421709430404007E-13</v>
      </c>
      <c r="BZ155" s="13">
        <f>BY155*VLOOKUP('Données projet'!$B$12,Paramètres!$A$1:$I$89,3,0)*VLOOKUP('Données projet'!$B$12,Paramètres!$A$1:$I$89,5,0)</f>
        <v>-1.69961822393816E-13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199.27781323742636</v>
      </c>
      <c r="CE155" s="59">
        <f t="shared" si="148"/>
        <v>199.82499536063892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20.976589445596417</v>
      </c>
      <c r="CL155" s="21">
        <f>EXP(-LN(2)/25)*CL154+(1-EXP(-LN(2)/25))/(LN(2)/25)*Calculateur!CG155*Calculateur!CI155*VLOOKUP('Données projet'!$B$12,Paramètres!$A$1:$I$89,3,0)*0.475*44/12</f>
        <v>2.8195248649078217</v>
      </c>
      <c r="CM155" s="21">
        <f>EXP(-LN(2)/2)*CM154+(1-EXP(-LN(2)/2))/(LN(2)/2)*CG155*CJ155*VLOOKUP('Données projet'!$B$12,Paramètres!$A$1:$I$89,3,0)*0.475*44/12</f>
        <v>4.5421939617509682E-13</v>
      </c>
      <c r="CN155" s="22">
        <f t="shared" si="172"/>
        <v>23.796114310504695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-3.979039320256561E-13</v>
      </c>
      <c r="CU155" s="17">
        <f>CT155*VLOOKUP('Données projet'!$B$13,Paramètres!$A$1:$I$89,3,0)*VLOOKUP('Données projet'!$B$13,Paramètres!$A$1:$I$89,5,0)</f>
        <v>-2.379465513513424E-13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213.18424462765137</v>
      </c>
      <c r="CZ155" s="59">
        <f t="shared" si="150"/>
        <v>158.77848520346532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34.180878380244621</v>
      </c>
      <c r="DG155" s="21">
        <f>EXP(-LN(2)/25)*DG154+(1-EXP(-LN(2)/25))/(LN(2)/25)*Calculateur!DB155*Calculateur!DD155*VLOOKUP('Données projet'!$B$13,Paramètres!$A$1:$I$89,3,0)*0.475*44/12</f>
        <v>4.6477412602342181</v>
      </c>
      <c r="DH155" s="21">
        <f>EXP(-LN(2)/2)*DH154+(1-EXP(-LN(2)/2))/(LN(2)/2)*DB155*DE155*VLOOKUP('Données projet'!$B$13,Paramètres!$A$1:$I$89,3,0)*0.475*44/12</f>
        <v>5.2621796286076597E-10</v>
      </c>
      <c r="DI155" s="22">
        <f t="shared" si="175"/>
        <v>38.828619641005062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1.1368683772161603E-12</v>
      </c>
      <c r="O156" s="13">
        <f>N156*VLOOKUP('Données projet'!$B$9,Paramètres!$A$1:$I$89,3,0)*VLOOKUP('Données projet'!$B$9,Paramètres!$A$1:$I$89,5,0)</f>
        <v>5.3205440053716299E-13</v>
      </c>
      <c r="P156" s="13">
        <f t="shared" si="141"/>
        <v>6.579711042921201E-12</v>
      </c>
      <c r="Q156" s="20">
        <f t="shared" si="162"/>
        <v>1.2386324814023317E-11</v>
      </c>
      <c r="R156" s="59">
        <f t="shared" si="109"/>
        <v>293.33333333334571</v>
      </c>
      <c r="S156" s="59">
        <f ca="1">AVERAGE(OFFSET($R$3,0,0,'Données projet'!$E$9+1,1))-AVERAGE(OFFSET($H$3,0,0,'Données projet'!$E$9+1,1))</f>
        <v>181.79645720099597</v>
      </c>
      <c r="T156" s="59">
        <f t="shared" si="142"/>
        <v>120.20040029102233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94.294221895938335</v>
      </c>
      <c r="AA156" s="21">
        <f>EXP(-LN(2)/25)*AA155+(1-EXP(-LN(2)/25))/(LN(2)/25)*Calculateur!V156*Calculateur!X156*VLOOKUP('Données projet'!$B$9,Paramètres!$A$1:$I$89,3,0)*0.475*44/12</f>
        <v>18.916742244227244</v>
      </c>
      <c r="AB156" s="21">
        <f>EXP(-LN(2)/2)*AB155+(1-EXP(-LN(2)/2))/(LN(2)/2)*V156*Y156*VLOOKUP('Données projet'!$B$9,Paramètres!$A$1:$I$89,3,0)*0.475*44/12</f>
        <v>9.0889466901515042E-3</v>
      </c>
      <c r="AC156" s="22">
        <f t="shared" si="163"/>
        <v>113.22005308685573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253.62342381933348</v>
      </c>
      <c r="AO156" s="59">
        <f t="shared" si="144"/>
        <v>230.93438491775407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40.675482230154543</v>
      </c>
      <c r="AV156" s="21">
        <f>EXP(-LN(2)/25)*AV155+(1-EXP(-LN(2)/25))/(LN(2)/25)*Calculateur!AQ156*Calculateur!AS156*VLOOKUP('Données projet'!$B$10,Paramètres!$A$1:$I$89,3,0)*0.475*44/12</f>
        <v>5.5525780084142857</v>
      </c>
      <c r="AW156" s="21">
        <f>EXP(-LN(2)/2)*AW155+(1-EXP(-LN(2)/2))/(LN(2)/2)*AQ156*AT156*VLOOKUP('Données projet'!$B$10,Paramètres!$A$1:$I$89,3,0)*0.475*44/12</f>
        <v>1.28082918973095E-11</v>
      </c>
      <c r="AX156" s="21">
        <f t="shared" si="166"/>
        <v>46.228060238581641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-5.6843418860808015E-14</v>
      </c>
      <c r="BE156" s="13">
        <f>BD156*VLOOKUP('Données projet'!$B$11,Paramètres!$A$1:$I$89,3,0)*VLOOKUP('Données projet'!$B$11,Paramètres!$A$1:$I$89,5,0)</f>
        <v>-3.3992364478763198E-14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199.27781324660782</v>
      </c>
      <c r="BJ156" s="59">
        <f t="shared" si="146"/>
        <v>199.82499536488524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20.565251320862487</v>
      </c>
      <c r="BQ156" s="21">
        <f>EXP(-LN(2)/25)*BQ155+(1-EXP(-LN(2)/25))/(LN(2)/25)*Calculateur!BL156*Calculateur!BN156*VLOOKUP('Données projet'!$B$11,Paramètres!$A$1:$I$89,3,0)*0.475*44/12</f>
        <v>2.7442156642334581</v>
      </c>
      <c r="BR156" s="21">
        <f>EXP(-LN(2)/2)*BR155+(1-EXP(-LN(2)/2))/(LN(2)/2)*BL156*BO156*VLOOKUP('Données projet'!$B$11,Paramètres!$A$1:$I$89,3,0)*0.475*44/12</f>
        <v>3.2118140072764838E-13</v>
      </c>
      <c r="BS156" s="22">
        <f t="shared" si="169"/>
        <v>23.309466985096265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-2.8421709430404007E-13</v>
      </c>
      <c r="BZ156" s="13">
        <f>BY156*VLOOKUP('Données projet'!$B$12,Paramètres!$A$1:$I$89,3,0)*VLOOKUP('Données projet'!$B$12,Paramètres!$A$1:$I$89,5,0)</f>
        <v>-1.69961822393816E-13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199.27781323742636</v>
      </c>
      <c r="CE156" s="59">
        <f t="shared" si="148"/>
        <v>199.82499536063892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20.565251321024487</v>
      </c>
      <c r="CL156" s="21">
        <f>EXP(-LN(2)/25)*CL155+(1-EXP(-LN(2)/25))/(LN(2)/25)*Calculateur!CG156*Calculateur!CI156*VLOOKUP('Données projet'!$B$12,Paramètres!$A$1:$I$89,3,0)*0.475*44/12</f>
        <v>2.7424248092045489</v>
      </c>
      <c r="CM156" s="21">
        <f>EXP(-LN(2)/2)*CM155+(1-EXP(-LN(2)/2))/(LN(2)/2)*CG156*CJ156*VLOOKUP('Données projet'!$B$12,Paramètres!$A$1:$I$89,3,0)*0.475*44/12</f>
        <v>3.2118161518186997E-13</v>
      </c>
      <c r="CN156" s="22">
        <f t="shared" si="172"/>
        <v>23.307676130229357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-3.979039320256561E-13</v>
      </c>
      <c r="CU156" s="17">
        <f>CT156*VLOOKUP('Données projet'!$B$13,Paramètres!$A$1:$I$89,3,0)*VLOOKUP('Données projet'!$B$13,Paramètres!$A$1:$I$89,5,0)</f>
        <v>-2.379465513513424E-13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213.18424462765137</v>
      </c>
      <c r="CZ156" s="59">
        <f t="shared" si="150"/>
        <v>158.77848520346532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33.510612203485238</v>
      </c>
      <c r="DG156" s="21">
        <f>EXP(-LN(2)/25)*DG155+(1-EXP(-LN(2)/25))/(LN(2)/25)*Calculateur!DB156*Calculateur!DD156*VLOOKUP('Données projet'!$B$13,Paramètres!$A$1:$I$89,3,0)*0.475*44/12</f>
        <v>4.520648531059023</v>
      </c>
      <c r="DH156" s="21">
        <f>EXP(-LN(2)/2)*DH155+(1-EXP(-LN(2)/2))/(LN(2)/2)*DB156*DE156*VLOOKUP('Données projet'!$B$13,Paramètres!$A$1:$I$89,3,0)*0.475*44/12</f>
        <v>3.7209228992101844E-10</v>
      </c>
      <c r="DI156" s="22">
        <f t="shared" si="175"/>
        <v>38.031260734916351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1.1368683772161603E-12</v>
      </c>
      <c r="O157" s="13">
        <f>N157*VLOOKUP('Données projet'!$B$9,Paramètres!$A$1:$I$89,3,0)*VLOOKUP('Données projet'!$B$9,Paramètres!$A$1:$I$89,5,0)</f>
        <v>5.3205440053716299E-13</v>
      </c>
      <c r="P157" s="13">
        <f t="shared" si="141"/>
        <v>6.579711042921201E-12</v>
      </c>
      <c r="Q157" s="20">
        <f t="shared" si="162"/>
        <v>1.2386324814023317E-11</v>
      </c>
      <c r="R157" s="59">
        <f t="shared" si="109"/>
        <v>293.33333333334571</v>
      </c>
      <c r="S157" s="59">
        <f ca="1">AVERAGE(OFFSET($R$3,0,0,'Données projet'!$E$9+1,1))-AVERAGE(OFFSET($H$3,0,0,'Données projet'!$E$9+1,1))</f>
        <v>181.79645720099597</v>
      </c>
      <c r="T157" s="59">
        <f t="shared" si="142"/>
        <v>120.20040029102233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92.445169718355331</v>
      </c>
      <c r="AA157" s="21">
        <f>EXP(-LN(2)/25)*AA156+(1-EXP(-LN(2)/25))/(LN(2)/25)*Calculateur!V157*Calculateur!X157*VLOOKUP('Données projet'!$B$9,Paramètres!$A$1:$I$89,3,0)*0.475*44/12</f>
        <v>18.399462932770611</v>
      </c>
      <c r="AB157" s="21">
        <f>EXP(-LN(2)/2)*AB156+(1-EXP(-LN(2)/2))/(LN(2)/2)*V157*Y157*VLOOKUP('Données projet'!$B$9,Paramètres!$A$1:$I$89,3,0)*0.475*44/12</f>
        <v>6.4268558384491551E-3</v>
      </c>
      <c r="AC157" s="22">
        <f t="shared" si="163"/>
        <v>110.8510595069644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253.62342381933348</v>
      </c>
      <c r="AO157" s="59">
        <f t="shared" si="144"/>
        <v>230.93438491775407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39.877860833215628</v>
      </c>
      <c r="AV157" s="21">
        <f>EXP(-LN(2)/25)*AV156+(1-EXP(-LN(2)/25))/(LN(2)/25)*Calculateur!AQ157*Calculateur!AS157*VLOOKUP('Données projet'!$B$10,Paramètres!$A$1:$I$89,3,0)*0.475*44/12</f>
        <v>5.4007424707768106</v>
      </c>
      <c r="AW157" s="21">
        <f>EXP(-LN(2)/2)*AW156+(1-EXP(-LN(2)/2))/(LN(2)/2)*AQ157*AT157*VLOOKUP('Données projet'!$B$10,Paramètres!$A$1:$I$89,3,0)*0.475*44/12</f>
        <v>9.056830056004258E-12</v>
      </c>
      <c r="AX157" s="21">
        <f t="shared" si="166"/>
        <v>45.2786033040015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-5.6843418860808015E-14</v>
      </c>
      <c r="BE157" s="13">
        <f>BD157*VLOOKUP('Données projet'!$B$11,Paramètres!$A$1:$I$89,3,0)*VLOOKUP('Données projet'!$B$11,Paramètres!$A$1:$I$89,5,0)</f>
        <v>-3.3992364478763198E-14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199.27781324660782</v>
      </c>
      <c r="BJ157" s="59">
        <f t="shared" si="146"/>
        <v>199.82499536488524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20.161979286025105</v>
      </c>
      <c r="BQ157" s="21">
        <f>EXP(-LN(2)/25)*BQ156+(1-EXP(-LN(2)/25))/(LN(2)/25)*Calculateur!BL157*Calculateur!BN157*VLOOKUP('Données projet'!$B$11,Paramètres!$A$1:$I$89,3,0)*0.475*44/12</f>
        <v>2.6691749425829645</v>
      </c>
      <c r="BR157" s="21">
        <f>EXP(-LN(2)/2)*BR156+(1-EXP(-LN(2)/2))/(LN(2)/2)*BL157*BO157*VLOOKUP('Données projet'!$B$11,Paramètres!$A$1:$I$89,3,0)*0.475*44/12</f>
        <v>2.271095464455141E-13</v>
      </c>
      <c r="BS157" s="22">
        <f t="shared" si="169"/>
        <v>22.831154228608298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-2.8421709430404007E-13</v>
      </c>
      <c r="BZ157" s="13">
        <f>BY157*VLOOKUP('Données projet'!$B$12,Paramètres!$A$1:$I$89,3,0)*VLOOKUP('Données projet'!$B$12,Paramètres!$A$1:$I$89,5,0)</f>
        <v>-1.69961822393816E-13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199.27781323742636</v>
      </c>
      <c r="CE157" s="59">
        <f t="shared" si="148"/>
        <v>199.82499536063892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20.161979286183929</v>
      </c>
      <c r="CL157" s="21">
        <f>EXP(-LN(2)/25)*CL156+(1-EXP(-LN(2)/25))/(LN(2)/25)*Calculateur!CG157*Calculateur!CI157*VLOOKUP('Données projet'!$B$12,Paramètres!$A$1:$I$89,3,0)*0.475*44/12</f>
        <v>2.6674330585789976</v>
      </c>
      <c r="CM157" s="21">
        <f>EXP(-LN(2)/2)*CM156+(1-EXP(-LN(2)/2))/(LN(2)/2)*CG157*CJ157*VLOOKUP('Données projet'!$B$12,Paramètres!$A$1:$I$89,3,0)*0.475*44/12</f>
        <v>2.2710969808754846E-13</v>
      </c>
      <c r="CN157" s="22">
        <f t="shared" si="172"/>
        <v>22.829412344763153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-3.979039320256561E-13</v>
      </c>
      <c r="CU157" s="17">
        <f>CT157*VLOOKUP('Données projet'!$B$13,Paramètres!$A$1:$I$89,3,0)*VLOOKUP('Données projet'!$B$13,Paramètres!$A$1:$I$89,5,0)</f>
        <v>-2.379465513513424E-13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213.18424462765137</v>
      </c>
      <c r="CZ157" s="59">
        <f t="shared" si="150"/>
        <v>158.77848520346532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32.853489537630111</v>
      </c>
      <c r="DG157" s="21">
        <f>EXP(-LN(2)/25)*DG156+(1-EXP(-LN(2)/25))/(LN(2)/25)*Calculateur!DB157*Calculateur!DD157*VLOOKUP('Données projet'!$B$13,Paramètres!$A$1:$I$89,3,0)*0.475*44/12</f>
        <v>4.39703115924664</v>
      </c>
      <c r="DH157" s="21">
        <f>EXP(-LN(2)/2)*DH156+(1-EXP(-LN(2)/2))/(LN(2)/2)*DB157*DE157*VLOOKUP('Données projet'!$B$13,Paramètres!$A$1:$I$89,3,0)*0.475*44/12</f>
        <v>2.6310898143038299E-10</v>
      </c>
      <c r="DI157" s="22">
        <f t="shared" si="175"/>
        <v>37.250520697139855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1.1368683772161603E-12</v>
      </c>
      <c r="O158" s="13">
        <f>N158*VLOOKUP('Données projet'!$B$9,Paramètres!$A$1:$I$89,3,0)*VLOOKUP('Données projet'!$B$9,Paramètres!$A$1:$I$89,5,0)</f>
        <v>5.3205440053716299E-13</v>
      </c>
      <c r="P158" s="13">
        <f t="shared" si="141"/>
        <v>6.579711042921201E-12</v>
      </c>
      <c r="Q158" s="20">
        <f t="shared" si="162"/>
        <v>1.2386324814023317E-11</v>
      </c>
      <c r="R158" s="59">
        <f t="shared" si="109"/>
        <v>293.33333333334571</v>
      </c>
      <c r="S158" s="59">
        <f ca="1">AVERAGE(OFFSET($R$3,0,0,'Données projet'!$E$9+1,1))-AVERAGE(OFFSET($H$3,0,0,'Données projet'!$E$9+1,1))</f>
        <v>181.79645720099597</v>
      </c>
      <c r="T158" s="59">
        <f t="shared" si="142"/>
        <v>120.20040029102233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90.632376326164263</v>
      </c>
      <c r="AA158" s="21">
        <f>EXP(-LN(2)/25)*AA157+(1-EXP(-LN(2)/25))/(LN(2)/25)*Calculateur!V158*Calculateur!X158*VLOOKUP('Données projet'!$B$9,Paramètres!$A$1:$I$89,3,0)*0.475*44/12</f>
        <v>17.896328651288297</v>
      </c>
      <c r="AB158" s="21">
        <f>EXP(-LN(2)/2)*AB157+(1-EXP(-LN(2)/2))/(LN(2)/2)*V158*Y158*VLOOKUP('Données projet'!$B$9,Paramètres!$A$1:$I$89,3,0)*0.475*44/12</f>
        <v>4.5444733450757521E-3</v>
      </c>
      <c r="AC158" s="22">
        <f t="shared" si="163"/>
        <v>108.53324945079764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253.62342381933348</v>
      </c>
      <c r="AO158" s="59">
        <f t="shared" si="144"/>
        <v>230.93438491775407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39.095880305369668</v>
      </c>
      <c r="AV158" s="21">
        <f>EXP(-LN(2)/25)*AV157+(1-EXP(-LN(2)/25))/(LN(2)/25)*Calculateur!AQ158*Calculateur!AS158*VLOOKUP('Données projet'!$B$10,Paramètres!$A$1:$I$89,3,0)*0.475*44/12</f>
        <v>5.2530588839007155</v>
      </c>
      <c r="AW158" s="21">
        <f>EXP(-LN(2)/2)*AW157+(1-EXP(-LN(2)/2))/(LN(2)/2)*AQ158*AT158*VLOOKUP('Données projet'!$B$10,Paramètres!$A$1:$I$89,3,0)*0.475*44/12</f>
        <v>6.4041459486547499E-12</v>
      </c>
      <c r="AX158" s="21">
        <f t="shared" si="166"/>
        <v>44.348939189276784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-5.6843418860808015E-14</v>
      </c>
      <c r="BE158" s="13">
        <f>BD158*VLOOKUP('Données projet'!$B$11,Paramètres!$A$1:$I$89,3,0)*VLOOKUP('Données projet'!$B$11,Paramètres!$A$1:$I$89,5,0)</f>
        <v>-3.3992364478763198E-14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199.27781324660782</v>
      </c>
      <c r="BJ158" s="59">
        <f t="shared" si="146"/>
        <v>199.82499536488524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19.766615169819229</v>
      </c>
      <c r="BQ158" s="21">
        <f>EXP(-LN(2)/25)*BQ157+(1-EXP(-LN(2)/25))/(LN(2)/25)*Calculateur!BL158*Calculateur!BN158*VLOOKUP('Données projet'!$B$11,Paramètres!$A$1:$I$89,3,0)*0.475*44/12</f>
        <v>2.5961862134122238</v>
      </c>
      <c r="BR158" s="21">
        <f>EXP(-LN(2)/2)*BR157+(1-EXP(-LN(2)/2))/(LN(2)/2)*BL158*BO158*VLOOKUP('Données projet'!$B$11,Paramètres!$A$1:$I$89,3,0)*0.475*44/12</f>
        <v>1.6059070036382422E-13</v>
      </c>
      <c r="BS158" s="22">
        <f t="shared" si="169"/>
        <v>22.362801383231613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-2.8421709430404007E-13</v>
      </c>
      <c r="BZ158" s="13">
        <f>BY158*VLOOKUP('Données projet'!$B$12,Paramètres!$A$1:$I$89,3,0)*VLOOKUP('Données projet'!$B$12,Paramètres!$A$1:$I$89,5,0)</f>
        <v>-1.69961822393816E-13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199.27781323742636</v>
      </c>
      <c r="CE158" s="59">
        <f t="shared" si="148"/>
        <v>199.82499536063892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19.766615169974941</v>
      </c>
      <c r="CL158" s="21">
        <f>EXP(-LN(2)/25)*CL157+(1-EXP(-LN(2)/25))/(LN(2)/25)*Calculateur!CG158*Calculateur!CI158*VLOOKUP('Données projet'!$B$12,Paramètres!$A$1:$I$89,3,0)*0.475*44/12</f>
        <v>2.5944919613179467</v>
      </c>
      <c r="CM158" s="21">
        <f>EXP(-LN(2)/2)*CM157+(1-EXP(-LN(2)/2))/(LN(2)/2)*CG158*CJ158*VLOOKUP('Données projet'!$B$12,Paramètres!$A$1:$I$89,3,0)*0.475*44/12</f>
        <v>1.6059080759093501E-13</v>
      </c>
      <c r="CN158" s="22">
        <f t="shared" si="172"/>
        <v>22.361107131293046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-3.979039320256561E-13</v>
      </c>
      <c r="CU158" s="17">
        <f>CT158*VLOOKUP('Données projet'!$B$13,Paramètres!$A$1:$I$89,3,0)*VLOOKUP('Données projet'!$B$13,Paramètres!$A$1:$I$89,5,0)</f>
        <v>-2.379465513513424E-13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213.18424462765137</v>
      </c>
      <c r="CZ158" s="59">
        <f t="shared" si="150"/>
        <v>158.77848520346532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32.209252646447148</v>
      </c>
      <c r="DG158" s="21">
        <f>EXP(-LN(2)/25)*DG157+(1-EXP(-LN(2)/25))/(LN(2)/25)*Calculateur!DB158*Calculateur!DD158*VLOOKUP('Données projet'!$B$13,Paramètres!$A$1:$I$89,3,0)*0.475*44/12</f>
        <v>4.2767941109672218</v>
      </c>
      <c r="DH158" s="21">
        <f>EXP(-LN(2)/2)*DH157+(1-EXP(-LN(2)/2))/(LN(2)/2)*DB158*DE158*VLOOKUP('Données projet'!$B$13,Paramètres!$A$1:$I$89,3,0)*0.475*44/12</f>
        <v>1.8604614496050922E-10</v>
      </c>
      <c r="DI158" s="22">
        <f t="shared" si="175"/>
        <v>36.48604675760042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1.1368683772161603E-12</v>
      </c>
      <c r="O159" s="13">
        <f>N159*VLOOKUP('Données projet'!$B$9,Paramètres!$A$1:$I$89,3,0)*VLOOKUP('Données projet'!$B$9,Paramètres!$A$1:$I$89,5,0)</f>
        <v>5.3205440053716299E-13</v>
      </c>
      <c r="P159" s="13">
        <f t="shared" si="141"/>
        <v>6.579711042921201E-12</v>
      </c>
      <c r="Q159" s="20">
        <f t="shared" si="162"/>
        <v>1.2386324814023317E-11</v>
      </c>
      <c r="R159" s="59">
        <f t="shared" si="109"/>
        <v>293.33333333334571</v>
      </c>
      <c r="S159" s="59">
        <f ca="1">AVERAGE(OFFSET($R$3,0,0,'Données projet'!$E$9+1,1))-AVERAGE(OFFSET($H$3,0,0,'Données projet'!$E$9+1,1))</f>
        <v>181.79645720099597</v>
      </c>
      <c r="T159" s="59">
        <f t="shared" si="142"/>
        <v>120.20040029102233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88.855130706699271</v>
      </c>
      <c r="AA159" s="21">
        <f>EXP(-LN(2)/25)*AA158+(1-EXP(-LN(2)/25))/(LN(2)/25)*Calculateur!V159*Calculateur!X159*VLOOKUP('Données projet'!$B$9,Paramètres!$A$1:$I$89,3,0)*0.475*44/12</f>
        <v>17.406952603191797</v>
      </c>
      <c r="AB159" s="21">
        <f>EXP(-LN(2)/2)*AB158+(1-EXP(-LN(2)/2))/(LN(2)/2)*V159*Y159*VLOOKUP('Données projet'!$B$9,Paramètres!$A$1:$I$89,3,0)*0.475*44/12</f>
        <v>3.2134279192245776E-3</v>
      </c>
      <c r="AC159" s="22">
        <f t="shared" si="163"/>
        <v>106.26529673781029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253.62342381933348</v>
      </c>
      <c r="AO159" s="59">
        <f t="shared" si="144"/>
        <v>230.93438491775407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38.329233938713749</v>
      </c>
      <c r="AV159" s="21">
        <f>EXP(-LN(2)/25)*AV158+(1-EXP(-LN(2)/25))/(LN(2)/25)*Calculateur!AQ159*Calculateur!AS159*VLOOKUP('Données projet'!$B$10,Paramètres!$A$1:$I$89,3,0)*0.475*44/12</f>
        <v>5.1094137124740895</v>
      </c>
      <c r="AW159" s="21">
        <f>EXP(-LN(2)/2)*AW158+(1-EXP(-LN(2)/2))/(LN(2)/2)*AQ159*AT159*VLOOKUP('Données projet'!$B$10,Paramètres!$A$1:$I$89,3,0)*0.475*44/12</f>
        <v>4.528415028002129E-12</v>
      </c>
      <c r="AX159" s="21">
        <f t="shared" si="166"/>
        <v>43.438647651192362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-5.6843418860808015E-14</v>
      </c>
      <c r="BE159" s="13">
        <f>BD159*VLOOKUP('Données projet'!$B$11,Paramètres!$A$1:$I$89,3,0)*VLOOKUP('Données projet'!$B$11,Paramètres!$A$1:$I$89,5,0)</f>
        <v>-3.3992364478763198E-14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199.27781324660782</v>
      </c>
      <c r="BJ159" s="59">
        <f t="shared" si="146"/>
        <v>199.82499536488524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19.379003902783854</v>
      </c>
      <c r="BQ159" s="21">
        <f>EXP(-LN(2)/25)*BQ158+(1-EXP(-LN(2)/25))/(LN(2)/25)*Calculateur!BL159*Calculateur!BN159*VLOOKUP('Données projet'!$B$11,Paramètres!$A$1:$I$89,3,0)*0.475*44/12</f>
        <v>2.5251933648789673</v>
      </c>
      <c r="BR159" s="21">
        <f>EXP(-LN(2)/2)*BR158+(1-EXP(-LN(2)/2))/(LN(2)/2)*BL159*BO159*VLOOKUP('Données projet'!$B$11,Paramètres!$A$1:$I$89,3,0)*0.475*44/12</f>
        <v>1.1355477322275708E-13</v>
      </c>
      <c r="BS159" s="22">
        <f t="shared" si="169"/>
        <v>21.904197267662934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-2.8421709430404007E-13</v>
      </c>
      <c r="BZ159" s="13">
        <f>BY159*VLOOKUP('Données projet'!$B$12,Paramètres!$A$1:$I$89,3,0)*VLOOKUP('Données projet'!$B$12,Paramètres!$A$1:$I$89,5,0)</f>
        <v>-1.69961822393816E-13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199.27781323742636</v>
      </c>
      <c r="CE159" s="59">
        <f t="shared" si="148"/>
        <v>199.82499536063892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19.37900390293651</v>
      </c>
      <c r="CL159" s="21">
        <f>EXP(-LN(2)/25)*CL158+(1-EXP(-LN(2)/25))/(LN(2)/25)*Calculateur!CG159*Calculateur!CI159*VLOOKUP('Données projet'!$B$12,Paramètres!$A$1:$I$89,3,0)*0.475*44/12</f>
        <v>2.5235454421973049</v>
      </c>
      <c r="CM159" s="21">
        <f>EXP(-LN(2)/2)*CM158+(1-EXP(-LN(2)/2))/(LN(2)/2)*CG159*CJ159*VLOOKUP('Données projet'!$B$12,Paramètres!$A$1:$I$89,3,0)*0.475*44/12</f>
        <v>1.1355484904377424E-13</v>
      </c>
      <c r="CN159" s="22">
        <f t="shared" si="172"/>
        <v>21.902549345133927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-3.979039320256561E-13</v>
      </c>
      <c r="CU159" s="17">
        <f>CT159*VLOOKUP('Données projet'!$B$13,Paramètres!$A$1:$I$89,3,0)*VLOOKUP('Données projet'!$B$13,Paramètres!$A$1:$I$89,5,0)</f>
        <v>-2.379465513513424E-13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213.18424462765137</v>
      </c>
      <c r="CZ159" s="59">
        <f t="shared" si="150"/>
        <v>158.77848520346532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31.577648847754581</v>
      </c>
      <c r="DG159" s="21">
        <f>EXP(-LN(2)/25)*DG158+(1-EXP(-LN(2)/25))/(LN(2)/25)*Calculateur!DB159*Calculateur!DD159*VLOOKUP('Données projet'!$B$13,Paramètres!$A$1:$I$89,3,0)*0.475*44/12</f>
        <v>4.1598449510959954</v>
      </c>
      <c r="DH159" s="21">
        <f>EXP(-LN(2)/2)*DH158+(1-EXP(-LN(2)/2))/(LN(2)/2)*DB159*DE159*VLOOKUP('Données projet'!$B$13,Paramètres!$A$1:$I$89,3,0)*0.475*44/12</f>
        <v>1.3155449071519149E-10</v>
      </c>
      <c r="DI159" s="22">
        <f t="shared" si="175"/>
        <v>35.737493798982136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1.1368683772161603E-12</v>
      </c>
      <c r="O160" s="13">
        <f>N160*VLOOKUP('Données projet'!$B$9,Paramètres!$A$1:$I$89,3,0)*VLOOKUP('Données projet'!$B$9,Paramètres!$A$1:$I$89,5,0)</f>
        <v>5.3205440053716299E-13</v>
      </c>
      <c r="P160" s="13">
        <f t="shared" si="141"/>
        <v>6.579711042921201E-12</v>
      </c>
      <c r="Q160" s="20">
        <f t="shared" si="162"/>
        <v>1.2386324814023317E-11</v>
      </c>
      <c r="R160" s="59">
        <f t="shared" si="109"/>
        <v>293.33333333334571</v>
      </c>
      <c r="S160" s="59">
        <f ca="1">AVERAGE(OFFSET($R$3,0,0,'Données projet'!$E$9+1,1))-AVERAGE(OFFSET($H$3,0,0,'Données projet'!$E$9+1,1))</f>
        <v>181.79645720099597</v>
      </c>
      <c r="T160" s="59">
        <f t="shared" si="142"/>
        <v>120.20040029102233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87.112735789819197</v>
      </c>
      <c r="AA160" s="21">
        <f>EXP(-LN(2)/25)*AA159+(1-EXP(-LN(2)/25))/(LN(2)/25)*Calculateur!V160*Calculateur!X160*VLOOKUP('Données projet'!$B$9,Paramètres!$A$1:$I$89,3,0)*0.475*44/12</f>
        <v>16.930958568865666</v>
      </c>
      <c r="AB160" s="21">
        <f>EXP(-LN(2)/2)*AB159+(1-EXP(-LN(2)/2))/(LN(2)/2)*V160*Y160*VLOOKUP('Données projet'!$B$9,Paramètres!$A$1:$I$89,3,0)*0.475*44/12</f>
        <v>2.272236672537876E-3</v>
      </c>
      <c r="AC160" s="22">
        <f t="shared" si="163"/>
        <v>104.0459665953574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253.62342381933348</v>
      </c>
      <c r="AO160" s="59">
        <f t="shared" si="144"/>
        <v>230.93438491775407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37.577621039699835</v>
      </c>
      <c r="AV160" s="21">
        <f>EXP(-LN(2)/25)*AV159+(1-EXP(-LN(2)/25))/(LN(2)/25)*Calculateur!AQ160*Calculateur!AS160*VLOOKUP('Données projet'!$B$10,Paramètres!$A$1:$I$89,3,0)*0.475*44/12</f>
        <v>4.9696965258140962</v>
      </c>
      <c r="AW160" s="21">
        <f>EXP(-LN(2)/2)*AW159+(1-EXP(-LN(2)/2))/(LN(2)/2)*AQ160*AT160*VLOOKUP('Données projet'!$B$10,Paramètres!$A$1:$I$89,3,0)*0.475*44/12</f>
        <v>3.2020729743273749E-12</v>
      </c>
      <c r="AX160" s="21">
        <f t="shared" si="166"/>
        <v>42.547317565517133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-5.6843418860808015E-14</v>
      </c>
      <c r="BE160" s="13">
        <f>BD160*VLOOKUP('Données projet'!$B$11,Paramètres!$A$1:$I$89,3,0)*VLOOKUP('Données projet'!$B$11,Paramètres!$A$1:$I$89,5,0)</f>
        <v>-3.3992364478763198E-14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199.27781324660782</v>
      </c>
      <c r="BJ160" s="59">
        <f t="shared" si="146"/>
        <v>199.82499536488524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18.998993456275514</v>
      </c>
      <c r="BQ160" s="21">
        <f>EXP(-LN(2)/25)*BQ159+(1-EXP(-LN(2)/25))/(LN(2)/25)*Calculateur!BL160*Calculateur!BN160*VLOOKUP('Données projet'!$B$11,Paramètres!$A$1:$I$89,3,0)*0.475*44/12</f>
        <v>2.4561418195222045</v>
      </c>
      <c r="BR160" s="21">
        <f>EXP(-LN(2)/2)*BR159+(1-EXP(-LN(2)/2))/(LN(2)/2)*BL160*BO160*VLOOKUP('Données projet'!$B$11,Paramètres!$A$1:$I$89,3,0)*0.475*44/12</f>
        <v>8.029535018191212E-14</v>
      </c>
      <c r="BS160" s="22">
        <f t="shared" si="169"/>
        <v>21.455135275797801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-2.8421709430404007E-13</v>
      </c>
      <c r="BZ160" s="13">
        <f>BY160*VLOOKUP('Données projet'!$B$12,Paramètres!$A$1:$I$89,3,0)*VLOOKUP('Données projet'!$B$12,Paramètres!$A$1:$I$89,5,0)</f>
        <v>-1.69961822393816E-13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199.27781323742636</v>
      </c>
      <c r="CE160" s="59">
        <f t="shared" si="148"/>
        <v>199.82499536063892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18.998993456425175</v>
      </c>
      <c r="CL160" s="21">
        <f>EXP(-LN(2)/25)*CL159+(1-EXP(-LN(2)/25))/(LN(2)/25)*Calculateur!CG160*Calculateur!CI160*VLOOKUP('Données projet'!$B$12,Paramètres!$A$1:$I$89,3,0)*0.475*44/12</f>
        <v>2.4545389593729325</v>
      </c>
      <c r="CM160" s="21">
        <f>EXP(-LN(2)/2)*CM159+(1-EXP(-LN(2)/2))/(LN(2)/2)*CG160*CJ160*VLOOKUP('Données projet'!$B$12,Paramètres!$A$1:$I$89,3,0)*0.475*44/12</f>
        <v>8.0295403795467518E-14</v>
      </c>
      <c r="CN160" s="22">
        <f t="shared" si="172"/>
        <v>21.45353241579819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-3.979039320256561E-13</v>
      </c>
      <c r="CU160" s="17">
        <f>CT160*VLOOKUP('Données projet'!$B$13,Paramètres!$A$1:$I$89,3,0)*VLOOKUP('Données projet'!$B$13,Paramètres!$A$1:$I$89,5,0)</f>
        <v>-2.379465513513424E-13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213.18424462765137</v>
      </c>
      <c r="CZ160" s="59">
        <f t="shared" si="150"/>
        <v>158.77848520346532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30.958430414314098</v>
      </c>
      <c r="DG160" s="21">
        <f>EXP(-LN(2)/25)*DG159+(1-EXP(-LN(2)/25))/(LN(2)/25)*Calculateur!DB160*Calculateur!DD160*VLOOKUP('Données projet'!$B$13,Paramètres!$A$1:$I$89,3,0)*0.475*44/12</f>
        <v>4.0460937721515373</v>
      </c>
      <c r="DH160" s="21">
        <f>EXP(-LN(2)/2)*DH159+(1-EXP(-LN(2)/2))/(LN(2)/2)*DB160*DE160*VLOOKUP('Données projet'!$B$13,Paramètres!$A$1:$I$89,3,0)*0.475*44/12</f>
        <v>9.3023072480254609E-11</v>
      </c>
      <c r="DI160" s="22">
        <f t="shared" si="175"/>
        <v>35.004524186558662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1.1368683772161603E-12</v>
      </c>
      <c r="O161" s="13">
        <f>N161*VLOOKUP('Données projet'!$B$9,Paramètres!$A$1:$I$89,3,0)*VLOOKUP('Données projet'!$B$9,Paramètres!$A$1:$I$89,5,0)</f>
        <v>5.3205440053716299E-13</v>
      </c>
      <c r="P161" s="13">
        <f t="shared" si="141"/>
        <v>6.579711042921201E-12</v>
      </c>
      <c r="Q161" s="20">
        <f t="shared" si="162"/>
        <v>1.2386324814023317E-11</v>
      </c>
      <c r="R161" s="59">
        <f t="shared" si="109"/>
        <v>293.33333333334571</v>
      </c>
      <c r="S161" s="59">
        <f ca="1">AVERAGE(OFFSET($R$3,0,0,'Données projet'!$E$9+1,1))-AVERAGE(OFFSET($H$3,0,0,'Données projet'!$E$9+1,1))</f>
        <v>181.79645720099597</v>
      </c>
      <c r="T161" s="59">
        <f t="shared" si="142"/>
        <v>120.20040029102233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85.404508174503178</v>
      </c>
      <c r="AA161" s="21">
        <f>EXP(-LN(2)/25)*AA160+(1-EXP(-LN(2)/25))/(LN(2)/25)*Calculateur!V161*Calculateur!X161*VLOOKUP('Données projet'!$B$9,Paramètres!$A$1:$I$89,3,0)*0.475*44/12</f>
        <v>16.467980616439618</v>
      </c>
      <c r="AB161" s="21">
        <f>EXP(-LN(2)/2)*AB160+(1-EXP(-LN(2)/2))/(LN(2)/2)*V161*Y161*VLOOKUP('Données projet'!$B$9,Paramètres!$A$1:$I$89,3,0)*0.475*44/12</f>
        <v>1.6067139596122888E-3</v>
      </c>
      <c r="AC161" s="22">
        <f t="shared" si="163"/>
        <v>101.87409550490241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253.62342381933348</v>
      </c>
      <c r="AO161" s="59">
        <f t="shared" si="144"/>
        <v>230.93438491775407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36.840746811196986</v>
      </c>
      <c r="AV161" s="21">
        <f>EXP(-LN(2)/25)*AV160+(1-EXP(-LN(2)/25))/(LN(2)/25)*Calculateur!AQ161*Calculateur!AS161*VLOOKUP('Données projet'!$B$10,Paramètres!$A$1:$I$89,3,0)*0.475*44/12</f>
        <v>4.8337999129707274</v>
      </c>
      <c r="AW161" s="21">
        <f>EXP(-LN(2)/2)*AW160+(1-EXP(-LN(2)/2))/(LN(2)/2)*AQ161*AT161*VLOOKUP('Données projet'!$B$10,Paramètres!$A$1:$I$89,3,0)*0.475*44/12</f>
        <v>2.2642075140010645E-12</v>
      </c>
      <c r="AX161" s="21">
        <f t="shared" si="166"/>
        <v>41.674546724169979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-5.6843418860808015E-14</v>
      </c>
      <c r="BE161" s="13">
        <f>BD161*VLOOKUP('Données projet'!$B$11,Paramètres!$A$1:$I$89,3,0)*VLOOKUP('Données projet'!$B$11,Paramètres!$A$1:$I$89,5,0)</f>
        <v>-3.3992364478763198E-14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199.27781324660782</v>
      </c>
      <c r="BJ161" s="59">
        <f t="shared" si="146"/>
        <v>199.82499536488524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18.626434782839716</v>
      </c>
      <c r="BQ161" s="21">
        <f>EXP(-LN(2)/25)*BQ160+(1-EXP(-LN(2)/25))/(LN(2)/25)*Calculateur!BL161*Calculateur!BN161*VLOOKUP('Données projet'!$B$11,Paramètres!$A$1:$I$89,3,0)*0.475*44/12</f>
        <v>2.388978492304485</v>
      </c>
      <c r="BR161" s="21">
        <f>EXP(-LN(2)/2)*BR160+(1-EXP(-LN(2)/2))/(LN(2)/2)*BL161*BO161*VLOOKUP('Données projet'!$B$11,Paramètres!$A$1:$I$89,3,0)*0.475*44/12</f>
        <v>5.6777386611378545E-14</v>
      </c>
      <c r="BS161" s="22">
        <f t="shared" si="169"/>
        <v>21.015413275144258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-2.8421709430404007E-13</v>
      </c>
      <c r="BZ161" s="13">
        <f>BY161*VLOOKUP('Données projet'!$B$12,Paramètres!$A$1:$I$89,3,0)*VLOOKUP('Données projet'!$B$12,Paramètres!$A$1:$I$89,5,0)</f>
        <v>-1.69961822393816E-13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199.27781323742636</v>
      </c>
      <c r="CE161" s="59">
        <f t="shared" si="148"/>
        <v>199.82499536063892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18.626434782986443</v>
      </c>
      <c r="CL161" s="21">
        <f>EXP(-LN(2)/25)*CL160+(1-EXP(-LN(2)/25))/(LN(2)/25)*Calculateur!CG161*Calculateur!CI161*VLOOKUP('Données projet'!$B$12,Paramètres!$A$1:$I$89,3,0)*0.475*44/12</f>
        <v>2.3874194624502856</v>
      </c>
      <c r="CM161" s="21">
        <f>EXP(-LN(2)/2)*CM160+(1-EXP(-LN(2)/2))/(LN(2)/2)*CG161*CJ161*VLOOKUP('Données projet'!$B$12,Paramètres!$A$1:$I$89,3,0)*0.475*44/12</f>
        <v>5.6777424521887134E-14</v>
      </c>
      <c r="CN161" s="22">
        <f t="shared" si="172"/>
        <v>21.013854245436786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-3.979039320256561E-13</v>
      </c>
      <c r="CU161" s="17">
        <f>CT161*VLOOKUP('Données projet'!$B$13,Paramètres!$A$1:$I$89,3,0)*VLOOKUP('Données projet'!$B$13,Paramètres!$A$1:$I$89,5,0)</f>
        <v>-2.379465513513424E-13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213.18424462765137</v>
      </c>
      <c r="CZ161" s="59">
        <f t="shared" si="150"/>
        <v>158.77848520346532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30.351354476667431</v>
      </c>
      <c r="DG161" s="21">
        <f>EXP(-LN(2)/25)*DG160+(1-EXP(-LN(2)/25))/(LN(2)/25)*Calculateur!DB161*Calculateur!DD161*VLOOKUP('Données projet'!$B$13,Paramètres!$A$1:$I$89,3,0)*0.475*44/12</f>
        <v>3.9354531251772293</v>
      </c>
      <c r="DH161" s="21">
        <f>EXP(-LN(2)/2)*DH160+(1-EXP(-LN(2)/2))/(LN(2)/2)*DB161*DE161*VLOOKUP('Données projet'!$B$13,Paramètres!$A$1:$I$89,3,0)*0.475*44/12</f>
        <v>6.5777245357595747E-11</v>
      </c>
      <c r="DI161" s="22">
        <f t="shared" si="175"/>
        <v>34.286807601910432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1.1368683772161603E-12</v>
      </c>
      <c r="O162" s="13">
        <f>N162*VLOOKUP('Données projet'!$B$9,Paramètres!$A$1:$I$89,3,0)*VLOOKUP('Données projet'!$B$9,Paramètres!$A$1:$I$89,5,0)</f>
        <v>5.3205440053716299E-13</v>
      </c>
      <c r="P162" s="13">
        <f t="shared" si="141"/>
        <v>6.579711042921201E-12</v>
      </c>
      <c r="Q162" s="20">
        <f t="shared" si="162"/>
        <v>1.2386324814023317E-11</v>
      </c>
      <c r="R162" s="59">
        <f t="shared" si="109"/>
        <v>293.33333333334571</v>
      </c>
      <c r="S162" s="59">
        <f ca="1">AVERAGE(OFFSET($R$3,0,0,'Données projet'!$E$9+1,1))-AVERAGE(OFFSET($H$3,0,0,'Données projet'!$E$9+1,1))</f>
        <v>181.79645720099597</v>
      </c>
      <c r="T162" s="59">
        <f t="shared" si="142"/>
        <v>120.20040029102233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83.729777860807545</v>
      </c>
      <c r="AA162" s="21">
        <f>EXP(-LN(2)/25)*AA161+(1-EXP(-LN(2)/25))/(LN(2)/25)*Calculateur!V162*Calculateur!X162*VLOOKUP('Données projet'!$B$9,Paramètres!$A$1:$I$89,3,0)*0.475*44/12</f>
        <v>16.017662820469614</v>
      </c>
      <c r="AB162" s="21">
        <f>EXP(-LN(2)/2)*AB161+(1-EXP(-LN(2)/2))/(LN(2)/2)*V162*Y162*VLOOKUP('Données projet'!$B$9,Paramètres!$A$1:$I$89,3,0)*0.475*44/12</f>
        <v>1.136118336268938E-3</v>
      </c>
      <c r="AC162" s="22">
        <f t="shared" si="163"/>
        <v>99.748576799613417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253.62342381933348</v>
      </c>
      <c r="AO162" s="59">
        <f t="shared" si="144"/>
        <v>230.93438491775407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36.118322236866177</v>
      </c>
      <c r="AV162" s="21">
        <f>EXP(-LN(2)/25)*AV161+(1-EXP(-LN(2)/25))/(LN(2)/25)*Calculateur!AQ162*Calculateur!AS162*VLOOKUP('Données projet'!$B$10,Paramètres!$A$1:$I$89,3,0)*0.475*44/12</f>
        <v>4.7016194001520528</v>
      </c>
      <c r="AW162" s="21">
        <f>EXP(-LN(2)/2)*AW161+(1-EXP(-LN(2)/2))/(LN(2)/2)*AQ162*AT162*VLOOKUP('Données projet'!$B$10,Paramètres!$A$1:$I$89,3,0)*0.475*44/12</f>
        <v>1.6010364871636875E-12</v>
      </c>
      <c r="AX162" s="21">
        <f t="shared" si="166"/>
        <v>40.819941637019831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-5.6843418860808015E-14</v>
      </c>
      <c r="BE162" s="13">
        <f>BD162*VLOOKUP('Données projet'!$B$11,Paramètres!$A$1:$I$89,3,0)*VLOOKUP('Données projet'!$B$11,Paramètres!$A$1:$I$89,5,0)</f>
        <v>-3.3992364478763198E-14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199.27781324660782</v>
      </c>
      <c r="BJ162" s="59">
        <f t="shared" si="146"/>
        <v>199.82499536488524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18.26118175775164</v>
      </c>
      <c r="BQ162" s="21">
        <f>EXP(-LN(2)/25)*BQ161+(1-EXP(-LN(2)/25))/(LN(2)/25)*Calculateur!BL162*Calculateur!BN162*VLOOKUP('Données projet'!$B$11,Paramètres!$A$1:$I$89,3,0)*0.475*44/12</f>
        <v>2.3236517498014999</v>
      </c>
      <c r="BR162" s="21">
        <f>EXP(-LN(2)/2)*BR161+(1-EXP(-LN(2)/2))/(LN(2)/2)*BL162*BO162*VLOOKUP('Données projet'!$B$11,Paramètres!$A$1:$I$89,3,0)*0.475*44/12</f>
        <v>4.0147675090956066E-14</v>
      </c>
      <c r="BS162" s="22">
        <f t="shared" si="169"/>
        <v>20.584833507553178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-2.8421709430404007E-13</v>
      </c>
      <c r="BZ162" s="13">
        <f>BY162*VLOOKUP('Données projet'!$B$12,Paramètres!$A$1:$I$89,3,0)*VLOOKUP('Données projet'!$B$12,Paramètres!$A$1:$I$89,5,0)</f>
        <v>-1.69961822393816E-13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199.27781323742636</v>
      </c>
      <c r="CE162" s="59">
        <f t="shared" si="148"/>
        <v>199.82499536063892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18.261181757895493</v>
      </c>
      <c r="CL162" s="21">
        <f>EXP(-LN(2)/25)*CL161+(1-EXP(-LN(2)/25))/(LN(2)/25)*Calculateur!CG162*Calculateur!CI162*VLOOKUP('Données projet'!$B$12,Paramètres!$A$1:$I$89,3,0)*0.475*44/12</f>
        <v>2.3221353517006493</v>
      </c>
      <c r="CM162" s="21">
        <f>EXP(-LN(2)/2)*CM161+(1-EXP(-LN(2)/2))/(LN(2)/2)*CG162*CJ162*VLOOKUP('Données projet'!$B$12,Paramètres!$A$1:$I$89,3,0)*0.475*44/12</f>
        <v>4.0147701897733765E-14</v>
      </c>
      <c r="CN162" s="22">
        <f t="shared" si="172"/>
        <v>20.58331710959618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-3.979039320256561E-13</v>
      </c>
      <c r="CU162" s="17">
        <f>CT162*VLOOKUP('Données projet'!$B$13,Paramètres!$A$1:$I$89,3,0)*VLOOKUP('Données projet'!$B$13,Paramètres!$A$1:$I$89,5,0)</f>
        <v>-2.379465513513424E-13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213.18424462765137</v>
      </c>
      <c r="CZ162" s="59">
        <f t="shared" si="150"/>
        <v>158.77848520346532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29.756182927878257</v>
      </c>
      <c r="DG162" s="21">
        <f>EXP(-LN(2)/25)*DG161+(1-EXP(-LN(2)/25))/(LN(2)/25)*Calculateur!DB162*Calculateur!DD162*VLOOKUP('Données projet'!$B$13,Paramètres!$A$1:$I$89,3,0)*0.475*44/12</f>
        <v>3.8278379525127728</v>
      </c>
      <c r="DH162" s="21">
        <f>EXP(-LN(2)/2)*DH161+(1-EXP(-LN(2)/2))/(LN(2)/2)*DB162*DE162*VLOOKUP('Données projet'!$B$13,Paramètres!$A$1:$I$89,3,0)*0.475*44/12</f>
        <v>4.6511536240127305E-11</v>
      </c>
      <c r="DI162" s="22">
        <f t="shared" si="175"/>
        <v>33.584020880437542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1.1368683772161603E-12</v>
      </c>
      <c r="O163" s="13">
        <f>N163*VLOOKUP('Données projet'!$B$9,Paramètres!$A$1:$I$89,3,0)*VLOOKUP('Données projet'!$B$9,Paramètres!$A$1:$I$89,5,0)</f>
        <v>5.3205440053716299E-13</v>
      </c>
      <c r="P163" s="13">
        <f t="shared" si="141"/>
        <v>6.579711042921201E-12</v>
      </c>
      <c r="Q163" s="20">
        <f t="shared" si="162"/>
        <v>1.2386324814023317E-11</v>
      </c>
      <c r="R163" s="59">
        <f t="shared" si="109"/>
        <v>293.33333333334571</v>
      </c>
      <c r="S163" s="59">
        <f ca="1">AVERAGE(OFFSET($R$3,0,0,'Données projet'!$E$9+1,1))-AVERAGE(OFFSET($H$3,0,0,'Données projet'!$E$9+1,1))</f>
        <v>181.79645720099597</v>
      </c>
      <c r="T163" s="59">
        <f t="shared" si="142"/>
        <v>120.20040029102233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82.087887987078844</v>
      </c>
      <c r="AA163" s="21">
        <f>EXP(-LN(2)/25)*AA162+(1-EXP(-LN(2)/25))/(LN(2)/25)*Calculateur!V163*Calculateur!X163*VLOOKUP('Données projet'!$B$9,Paramètres!$A$1:$I$89,3,0)*0.475*44/12</f>
        <v>15.579658988311593</v>
      </c>
      <c r="AB163" s="21">
        <f>EXP(-LN(2)/2)*AB162+(1-EXP(-LN(2)/2))/(LN(2)/2)*V163*Y163*VLOOKUP('Données projet'!$B$9,Paramètres!$A$1:$I$89,3,0)*0.475*44/12</f>
        <v>8.0335697980614439E-4</v>
      </c>
      <c r="AC163" s="22">
        <f t="shared" si="163"/>
        <v>97.668350332370238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253.62342381933348</v>
      </c>
      <c r="AO163" s="59">
        <f t="shared" si="144"/>
        <v>230.93438491775407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35.410063967802515</v>
      </c>
      <c r="AV163" s="21">
        <f>EXP(-LN(2)/25)*AV162+(1-EXP(-LN(2)/25))/(LN(2)/25)*Calculateur!AQ163*Calculateur!AS163*VLOOKUP('Données projet'!$B$10,Paramètres!$A$1:$I$89,3,0)*0.475*44/12</f>
        <v>4.5730533704074761</v>
      </c>
      <c r="AW163" s="21">
        <f>EXP(-LN(2)/2)*AW162+(1-EXP(-LN(2)/2))/(LN(2)/2)*AQ163*AT163*VLOOKUP('Données projet'!$B$10,Paramètres!$A$1:$I$89,3,0)*0.475*44/12</f>
        <v>1.1321037570005323E-12</v>
      </c>
      <c r="AX163" s="21">
        <f t="shared" si="166"/>
        <v>39.983117338211123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-5.6843418860808015E-14</v>
      </c>
      <c r="BE163" s="13">
        <f>BD163*VLOOKUP('Données projet'!$B$11,Paramètres!$A$1:$I$89,3,0)*VLOOKUP('Données projet'!$B$11,Paramètres!$A$1:$I$89,5,0)</f>
        <v>-3.3992364478763198E-14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199.27781324660782</v>
      </c>
      <c r="BJ163" s="59">
        <f t="shared" si="146"/>
        <v>199.82499536488524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17.903091121703195</v>
      </c>
      <c r="BQ163" s="21">
        <f>EXP(-LN(2)/25)*BQ162+(1-EXP(-LN(2)/25))/(LN(2)/25)*Calculateur!BL163*Calculateur!BN163*VLOOKUP('Données projet'!$B$11,Paramètres!$A$1:$I$89,3,0)*0.475*44/12</f>
        <v>2.260111370507643</v>
      </c>
      <c r="BR163" s="21">
        <f>EXP(-LN(2)/2)*BR162+(1-EXP(-LN(2)/2))/(LN(2)/2)*BL163*BO163*VLOOKUP('Données projet'!$B$11,Paramètres!$A$1:$I$89,3,0)*0.475*44/12</f>
        <v>2.8388693305689279E-14</v>
      </c>
      <c r="BS163" s="22">
        <f t="shared" si="169"/>
        <v>20.163202492210868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-2.8421709430404007E-13</v>
      </c>
      <c r="BZ163" s="13">
        <f>BY163*VLOOKUP('Données projet'!$B$12,Paramètres!$A$1:$I$89,3,0)*VLOOKUP('Données projet'!$B$12,Paramètres!$A$1:$I$89,5,0)</f>
        <v>-1.69961822393816E-13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199.27781323742636</v>
      </c>
      <c r="CE163" s="59">
        <f t="shared" si="148"/>
        <v>199.82499536063892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17.903091121844227</v>
      </c>
      <c r="CL163" s="21">
        <f>EXP(-LN(2)/25)*CL162+(1-EXP(-LN(2)/25))/(LN(2)/25)*Calculateur!CG163*Calculateur!CI163*VLOOKUP('Données projet'!$B$12,Paramètres!$A$1:$I$89,3,0)*0.475*44/12</f>
        <v>2.2586364383926041</v>
      </c>
      <c r="CM163" s="21">
        <f>EXP(-LN(2)/2)*CM162+(1-EXP(-LN(2)/2))/(LN(2)/2)*CG163*CJ163*VLOOKUP('Données projet'!$B$12,Paramètres!$A$1:$I$89,3,0)*0.475*44/12</f>
        <v>2.838871226094357E-14</v>
      </c>
      <c r="CN163" s="22">
        <f t="shared" si="172"/>
        <v>20.161727560236859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-3.979039320256561E-13</v>
      </c>
      <c r="CU163" s="17">
        <f>CT163*VLOOKUP('Données projet'!$B$13,Paramètres!$A$1:$I$89,3,0)*VLOOKUP('Données projet'!$B$13,Paramètres!$A$1:$I$89,5,0)</f>
        <v>-2.379465513513424E-13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213.18424462765137</v>
      </c>
      <c r="CZ163" s="59">
        <f t="shared" si="150"/>
        <v>158.77848520346532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29.172682330142038</v>
      </c>
      <c r="DG163" s="21">
        <f>EXP(-LN(2)/25)*DG162+(1-EXP(-LN(2)/25))/(LN(2)/25)*Calculateur!DB163*Calculateur!DD163*VLOOKUP('Données projet'!$B$13,Paramètres!$A$1:$I$89,3,0)*0.475*44/12</f>
        <v>3.7231655224040616</v>
      </c>
      <c r="DH163" s="21">
        <f>EXP(-LN(2)/2)*DH162+(1-EXP(-LN(2)/2))/(LN(2)/2)*DB163*DE163*VLOOKUP('Données projet'!$B$13,Paramètres!$A$1:$I$89,3,0)*0.475*44/12</f>
        <v>3.2888622678797873E-11</v>
      </c>
      <c r="DI163" s="22">
        <f t="shared" si="175"/>
        <v>32.895847852578989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1.1368683772161603E-12</v>
      </c>
      <c r="O164" s="13">
        <f>N164*VLOOKUP('Données projet'!$B$9,Paramètres!$A$1:$I$89,3,0)*VLOOKUP('Données projet'!$B$9,Paramètres!$A$1:$I$89,5,0)</f>
        <v>5.3205440053716299E-13</v>
      </c>
      <c r="P164" s="13">
        <f t="shared" si="141"/>
        <v>6.579711042921201E-12</v>
      </c>
      <c r="Q164" s="20">
        <f t="shared" si="162"/>
        <v>1.2386324814023317E-11</v>
      </c>
      <c r="R164" s="59">
        <f t="shared" si="109"/>
        <v>293.33333333334571</v>
      </c>
      <c r="S164" s="59">
        <f ca="1">AVERAGE(OFFSET($R$3,0,0,'Données projet'!$E$9+1,1))-AVERAGE(OFFSET($H$3,0,0,'Données projet'!$E$9+1,1))</f>
        <v>181.79645720099597</v>
      </c>
      <c r="T164" s="59">
        <f t="shared" si="142"/>
        <v>120.20040029102233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80.478194572320035</v>
      </c>
      <c r="AA164" s="21">
        <f>EXP(-LN(2)/25)*AA163+(1-EXP(-LN(2)/25))/(LN(2)/25)*Calculateur!V164*Calculateur!X164*VLOOKUP('Données projet'!$B$9,Paramètres!$A$1:$I$89,3,0)*0.475*44/12</f>
        <v>15.153632393977555</v>
      </c>
      <c r="AB164" s="21">
        <f>EXP(-LN(2)/2)*AB163+(1-EXP(-LN(2)/2))/(LN(2)/2)*V164*Y164*VLOOKUP('Données projet'!$B$9,Paramètres!$A$1:$I$89,3,0)*0.475*44/12</f>
        <v>5.6805916813446901E-4</v>
      </c>
      <c r="AC164" s="22">
        <f t="shared" si="163"/>
        <v>95.632395025465726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253.62342381933348</v>
      </c>
      <c r="AO164" s="59">
        <f t="shared" si="144"/>
        <v>230.93438491775407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34.715694211400304</v>
      </c>
      <c r="AV164" s="21">
        <f>EXP(-LN(2)/25)*AV163+(1-EXP(-LN(2)/25))/(LN(2)/25)*Calculateur!AQ164*Calculateur!AS164*VLOOKUP('Données projet'!$B$10,Paramètres!$A$1:$I$89,3,0)*0.475*44/12</f>
        <v>4.4480029855072587</v>
      </c>
      <c r="AW164" s="21">
        <f>EXP(-LN(2)/2)*AW163+(1-EXP(-LN(2)/2))/(LN(2)/2)*AQ164*AT164*VLOOKUP('Données projet'!$B$10,Paramètres!$A$1:$I$89,3,0)*0.475*44/12</f>
        <v>8.0051824358184374E-13</v>
      </c>
      <c r="AX164" s="21">
        <f t="shared" si="166"/>
        <v>39.163697196908366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-5.6843418860808015E-14</v>
      </c>
      <c r="BE164" s="13">
        <f>BD164*VLOOKUP('Données projet'!$B$11,Paramètres!$A$1:$I$89,3,0)*VLOOKUP('Données projet'!$B$11,Paramètres!$A$1:$I$89,5,0)</f>
        <v>-3.3992364478763198E-14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199.27781324660782</v>
      </c>
      <c r="BJ164" s="59">
        <f t="shared" si="146"/>
        <v>199.82499536488524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17.552022424613938</v>
      </c>
      <c r="BQ164" s="21">
        <f>EXP(-LN(2)/25)*BQ163+(1-EXP(-LN(2)/25))/(LN(2)/25)*Calculateur!BL164*Calculateur!BN164*VLOOKUP('Données projet'!$B$11,Paramètres!$A$1:$I$89,3,0)*0.475*44/12</f>
        <v>2.1983085062270202</v>
      </c>
      <c r="BR164" s="21">
        <f>EXP(-LN(2)/2)*BR163+(1-EXP(-LN(2)/2))/(LN(2)/2)*BL164*BO164*VLOOKUP('Données projet'!$B$11,Paramètres!$A$1:$I$89,3,0)*0.475*44/12</f>
        <v>2.0073837545478036E-14</v>
      </c>
      <c r="BS164" s="22">
        <f t="shared" si="169"/>
        <v>19.750330930840981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-2.8421709430404007E-13</v>
      </c>
      <c r="BZ164" s="13">
        <f>BY164*VLOOKUP('Données projet'!$B$12,Paramètres!$A$1:$I$89,3,0)*VLOOKUP('Données projet'!$B$12,Paramètres!$A$1:$I$89,5,0)</f>
        <v>-1.69961822393816E-13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199.27781323742636</v>
      </c>
      <c r="CE164" s="59">
        <f t="shared" si="148"/>
        <v>199.82499536063892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17.552022424752206</v>
      </c>
      <c r="CL164" s="21">
        <f>EXP(-LN(2)/25)*CL163+(1-EXP(-LN(2)/25))/(LN(2)/25)*Calculateur!CG164*Calculateur!CI164*VLOOKUP('Données projet'!$B$12,Paramètres!$A$1:$I$89,3,0)*0.475*44/12</f>
        <v>2.1968739062082303</v>
      </c>
      <c r="CM164" s="21">
        <f>EXP(-LN(2)/2)*CM163+(1-EXP(-LN(2)/2))/(LN(2)/2)*CG164*CJ164*VLOOKUP('Données projet'!$B$12,Paramètres!$A$1:$I$89,3,0)*0.475*44/12</f>
        <v>2.0073850948866886E-14</v>
      </c>
      <c r="CN164" s="22">
        <f t="shared" si="172"/>
        <v>19.748896330960456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-3.979039320256561E-13</v>
      </c>
      <c r="CU164" s="17">
        <f>CT164*VLOOKUP('Données projet'!$B$13,Paramètres!$A$1:$I$89,3,0)*VLOOKUP('Données projet'!$B$13,Paramètres!$A$1:$I$89,5,0)</f>
        <v>-2.379465513513424E-13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213.18424462765137</v>
      </c>
      <c r="CZ164" s="59">
        <f t="shared" si="150"/>
        <v>158.77848520346532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28.600623823227203</v>
      </c>
      <c r="DG164" s="21">
        <f>EXP(-LN(2)/25)*DG163+(1-EXP(-LN(2)/25))/(LN(2)/25)*Calculateur!DB164*Calculateur!DD164*VLOOKUP('Données projet'!$B$13,Paramètres!$A$1:$I$89,3,0)*0.475*44/12</f>
        <v>3.6213553654011572</v>
      </c>
      <c r="DH164" s="21">
        <f>EXP(-LN(2)/2)*DH163+(1-EXP(-LN(2)/2))/(LN(2)/2)*DB164*DE164*VLOOKUP('Données projet'!$B$13,Paramètres!$A$1:$I$89,3,0)*0.475*44/12</f>
        <v>2.3255768120063652E-11</v>
      </c>
      <c r="DI164" s="22">
        <f t="shared" si="175"/>
        <v>32.221979188651616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1.1368683772161603E-12</v>
      </c>
      <c r="O165" s="13">
        <f>N165*VLOOKUP('Données projet'!$B$9,Paramètres!$A$1:$I$89,3,0)*VLOOKUP('Données projet'!$B$9,Paramètres!$A$1:$I$89,5,0)</f>
        <v>5.3205440053716299E-13</v>
      </c>
      <c r="P165" s="13">
        <f t="shared" si="141"/>
        <v>6.579711042921201E-12</v>
      </c>
      <c r="Q165" s="20">
        <f t="shared" si="162"/>
        <v>1.2386324814023317E-11</v>
      </c>
      <c r="R165" s="59">
        <f t="shared" si="109"/>
        <v>293.33333333334571</v>
      </c>
      <c r="S165" s="59">
        <f ca="1">AVERAGE(OFFSET($R$3,0,0,'Données projet'!$E$9+1,1))-AVERAGE(OFFSET($H$3,0,0,'Données projet'!$E$9+1,1))</f>
        <v>181.79645720099597</v>
      </c>
      <c r="T165" s="59">
        <f t="shared" si="142"/>
        <v>120.20040029102233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78.900066263608608</v>
      </c>
      <c r="AA165" s="21">
        <f>EXP(-LN(2)/25)*AA164+(1-EXP(-LN(2)/25))/(LN(2)/25)*Calculateur!V165*Calculateur!X165*VLOOKUP('Données projet'!$B$9,Paramètres!$A$1:$I$89,3,0)*0.475*44/12</f>
        <v>14.739255519269344</v>
      </c>
      <c r="AB165" s="21">
        <f>EXP(-LN(2)/2)*AB164+(1-EXP(-LN(2)/2))/(LN(2)/2)*V165*Y165*VLOOKUP('Données projet'!$B$9,Paramètres!$A$1:$I$89,3,0)*0.475*44/12</f>
        <v>4.016784899030722E-4</v>
      </c>
      <c r="AC165" s="22">
        <f t="shared" si="163"/>
        <v>93.639723461367865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253.62342381933348</v>
      </c>
      <c r="AO165" s="59">
        <f t="shared" si="144"/>
        <v>230.93438491775407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34.034940622397407</v>
      </c>
      <c r="AV165" s="21">
        <f>EXP(-LN(2)/25)*AV164+(1-EXP(-LN(2)/25))/(LN(2)/25)*Calculateur!AQ165*Calculateur!AS165*VLOOKUP('Données projet'!$B$10,Paramètres!$A$1:$I$89,3,0)*0.475*44/12</f>
        <v>4.3263721099582515</v>
      </c>
      <c r="AW165" s="21">
        <f>EXP(-LN(2)/2)*AW164+(1-EXP(-LN(2)/2))/(LN(2)/2)*AQ165*AT165*VLOOKUP('Données projet'!$B$10,Paramètres!$A$1:$I$89,3,0)*0.475*44/12</f>
        <v>5.6605187850026613E-13</v>
      </c>
      <c r="AX165" s="21">
        <f t="shared" si="166"/>
        <v>38.361312732356225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-5.6843418860808015E-14</v>
      </c>
      <c r="BE165" s="13">
        <f>BD165*VLOOKUP('Données projet'!$B$11,Paramètres!$A$1:$I$89,3,0)*VLOOKUP('Données projet'!$B$11,Paramètres!$A$1:$I$89,5,0)</f>
        <v>-3.3992364478763198E-14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199.27781324660782</v>
      </c>
      <c r="BJ165" s="59">
        <f t="shared" si="146"/>
        <v>199.82499536488524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17.207837970543839</v>
      </c>
      <c r="BQ165" s="21">
        <f>EXP(-LN(2)/25)*BQ164+(1-EXP(-LN(2)/25))/(LN(2)/25)*Calculateur!BL165*Calculateur!BN165*VLOOKUP('Données projet'!$B$11,Paramètres!$A$1:$I$89,3,0)*0.475*44/12</f>
        <v>2.1381956445202221</v>
      </c>
      <c r="BR165" s="21">
        <f>EXP(-LN(2)/2)*BR164+(1-EXP(-LN(2)/2))/(LN(2)/2)*BL165*BO165*VLOOKUP('Données projet'!$B$11,Paramètres!$A$1:$I$89,3,0)*0.475*44/12</f>
        <v>1.4194346652844641E-14</v>
      </c>
      <c r="BS165" s="22">
        <f t="shared" si="169"/>
        <v>19.346033615064076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-2.8421709430404007E-13</v>
      </c>
      <c r="BZ165" s="13">
        <f>BY165*VLOOKUP('Données projet'!$B$12,Paramètres!$A$1:$I$89,3,0)*VLOOKUP('Données projet'!$B$12,Paramètres!$A$1:$I$89,5,0)</f>
        <v>-1.69961822393816E-13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199.27781323742636</v>
      </c>
      <c r="CE165" s="59">
        <f t="shared" si="148"/>
        <v>199.82499536063892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17.207837970679396</v>
      </c>
      <c r="CL165" s="21">
        <f>EXP(-LN(2)/25)*CL164+(1-EXP(-LN(2)/25))/(LN(2)/25)*Calculateur!CG165*Calculateur!CI165*VLOOKUP('Données projet'!$B$12,Paramètres!$A$1:$I$89,3,0)*0.475*44/12</f>
        <v>2.1368002737143885</v>
      </c>
      <c r="CM165" s="21">
        <f>EXP(-LN(2)/2)*CM164+(1-EXP(-LN(2)/2))/(LN(2)/2)*CG165*CJ165*VLOOKUP('Données projet'!$B$12,Paramètres!$A$1:$I$89,3,0)*0.475*44/12</f>
        <v>1.4194356130471787E-14</v>
      </c>
      <c r="CN165" s="22">
        <f t="shared" si="172"/>
        <v>19.344638244393799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-3.979039320256561E-13</v>
      </c>
      <c r="CU165" s="17">
        <f>CT165*VLOOKUP('Données projet'!$B$13,Paramètres!$A$1:$I$89,3,0)*VLOOKUP('Données projet'!$B$13,Paramètres!$A$1:$I$89,5,0)</f>
        <v>-2.379465513513424E-13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213.18424462765137</v>
      </c>
      <c r="CZ165" s="59">
        <f t="shared" si="150"/>
        <v>158.77848520346532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28.039783034711732</v>
      </c>
      <c r="DG165" s="21">
        <f>EXP(-LN(2)/25)*DG164+(1-EXP(-LN(2)/25))/(LN(2)/25)*Calculateur!DB165*Calculateur!DD165*VLOOKUP('Données projet'!$B$13,Paramètres!$A$1:$I$89,3,0)*0.475*44/12</f>
        <v>3.5223292124954608</v>
      </c>
      <c r="DH165" s="21">
        <f>EXP(-LN(2)/2)*DH164+(1-EXP(-LN(2)/2))/(LN(2)/2)*DB165*DE165*VLOOKUP('Données projet'!$B$13,Paramètres!$A$1:$I$89,3,0)*0.475*44/12</f>
        <v>1.6444311339398937E-11</v>
      </c>
      <c r="DI165" s="22">
        <f t="shared" si="175"/>
        <v>31.562112247223638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1.1368683772161603E-12</v>
      </c>
      <c r="O166" s="13">
        <f>N166*VLOOKUP('Données projet'!$B$9,Paramètres!$A$1:$I$89,3,0)*VLOOKUP('Données projet'!$B$9,Paramètres!$A$1:$I$89,5,0)</f>
        <v>5.3205440053716299E-13</v>
      </c>
      <c r="P166" s="13">
        <f t="shared" si="141"/>
        <v>6.579711042921201E-12</v>
      </c>
      <c r="Q166" s="20">
        <f t="shared" si="162"/>
        <v>1.2386324814023317E-11</v>
      </c>
      <c r="R166" s="59">
        <f t="shared" si="109"/>
        <v>293.33333333334571</v>
      </c>
      <c r="S166" s="59">
        <f ca="1">AVERAGE(OFFSET($R$3,0,0,'Données projet'!$E$9+1,1))-AVERAGE(OFFSET($H$3,0,0,'Données projet'!$E$9+1,1))</f>
        <v>181.79645720099597</v>
      </c>
      <c r="T166" s="59">
        <f t="shared" si="142"/>
        <v>120.20040029102233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77.352884088467789</v>
      </c>
      <c r="AA166" s="21">
        <f>EXP(-LN(2)/25)*AA165+(1-EXP(-LN(2)/25))/(LN(2)/25)*Calculateur!V166*Calculateur!X166*VLOOKUP('Données projet'!$B$9,Paramètres!$A$1:$I$89,3,0)*0.475*44/12</f>
        <v>14.336209801991163</v>
      </c>
      <c r="AB166" s="21">
        <f>EXP(-LN(2)/2)*AB165+(1-EXP(-LN(2)/2))/(LN(2)/2)*V166*Y166*VLOOKUP('Données projet'!$B$9,Paramètres!$A$1:$I$89,3,0)*0.475*44/12</f>
        <v>2.8402958406723451E-4</v>
      </c>
      <c r="AC166" s="22">
        <f t="shared" si="163"/>
        <v>91.689377920043015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253.62342381933348</v>
      </c>
      <c r="AO166" s="59">
        <f t="shared" si="144"/>
        <v>230.93438491775407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33.367536196056164</v>
      </c>
      <c r="AV166" s="21">
        <f>EXP(-LN(2)/25)*AV165+(1-EXP(-LN(2)/25))/(LN(2)/25)*Calculateur!AQ166*Calculateur!AS166*VLOOKUP('Données projet'!$B$10,Paramètres!$A$1:$I$89,3,0)*0.475*44/12</f>
        <v>4.2080672370974215</v>
      </c>
      <c r="AW166" s="21">
        <f>EXP(-LN(2)/2)*AW165+(1-EXP(-LN(2)/2))/(LN(2)/2)*AQ166*AT166*VLOOKUP('Données projet'!$B$10,Paramètres!$A$1:$I$89,3,0)*0.475*44/12</f>
        <v>4.0025912179092187E-13</v>
      </c>
      <c r="AX166" s="21">
        <f t="shared" si="166"/>
        <v>37.575603433153987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-5.6843418860808015E-14</v>
      </c>
      <c r="BE166" s="13">
        <f>BD166*VLOOKUP('Données projet'!$B$11,Paramètres!$A$1:$I$89,3,0)*VLOOKUP('Données projet'!$B$11,Paramètres!$A$1:$I$89,5,0)</f>
        <v>-3.3992364478763198E-14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199.27781324660782</v>
      </c>
      <c r="BJ166" s="59">
        <f t="shared" si="146"/>
        <v>199.82499536488524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16.870402763686268</v>
      </c>
      <c r="BQ166" s="21">
        <f>EXP(-LN(2)/25)*BQ165+(1-EXP(-LN(2)/25))/(LN(2)/25)*Calculateur!BL166*Calculateur!BN166*VLOOKUP('Données projet'!$B$11,Paramètres!$A$1:$I$89,3,0)*0.475*44/12</f>
        <v>2.0797265721779947</v>
      </c>
      <c r="BR166" s="21">
        <f>EXP(-LN(2)/2)*BR165+(1-EXP(-LN(2)/2))/(LN(2)/2)*BL166*BO166*VLOOKUP('Données projet'!$B$11,Paramètres!$A$1:$I$89,3,0)*0.475*44/12</f>
        <v>1.003691877273902E-14</v>
      </c>
      <c r="BS166" s="22">
        <f t="shared" si="169"/>
        <v>18.950129335864272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-2.8421709430404007E-13</v>
      </c>
      <c r="BZ166" s="13">
        <f>BY166*VLOOKUP('Données projet'!$B$12,Paramètres!$A$1:$I$89,3,0)*VLOOKUP('Données projet'!$B$12,Paramètres!$A$1:$I$89,5,0)</f>
        <v>-1.69961822393816E-13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199.27781323742636</v>
      </c>
      <c r="CE166" s="59">
        <f t="shared" si="148"/>
        <v>199.82499536063892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16.870402763819165</v>
      </c>
      <c r="CL166" s="21">
        <f>EXP(-LN(2)/25)*CL165+(1-EXP(-LN(2)/25))/(LN(2)/25)*Calculateur!CG166*Calculateur!CI166*VLOOKUP('Données projet'!$B$12,Paramètres!$A$1:$I$89,3,0)*0.475*44/12</f>
        <v>2.0783693578602258</v>
      </c>
      <c r="CM166" s="21">
        <f>EXP(-LN(2)/2)*CM165+(1-EXP(-LN(2)/2))/(LN(2)/2)*CG166*CJ166*VLOOKUP('Données projet'!$B$12,Paramètres!$A$1:$I$89,3,0)*0.475*44/12</f>
        <v>1.0036925474433444E-14</v>
      </c>
      <c r="CN166" s="22">
        <f t="shared" si="172"/>
        <v>18.948772121679401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-3.979039320256561E-13</v>
      </c>
      <c r="CU166" s="17">
        <f>CT166*VLOOKUP('Données projet'!$B$13,Paramètres!$A$1:$I$89,3,0)*VLOOKUP('Données projet'!$B$13,Paramètres!$A$1:$I$89,5,0)</f>
        <v>-2.379465513513424E-13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213.18424462765137</v>
      </c>
      <c r="CZ166" s="59">
        <f t="shared" si="150"/>
        <v>158.77848520346532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27.489939991979949</v>
      </c>
      <c r="DG166" s="21">
        <f>EXP(-LN(2)/25)*DG165+(1-EXP(-LN(2)/25))/(LN(2)/25)*Calculateur!DB166*Calculateur!DD166*VLOOKUP('Données projet'!$B$13,Paramètres!$A$1:$I$89,3,0)*0.475*44/12</f>
        <v>3.4260109349485295</v>
      </c>
      <c r="DH166" s="21">
        <f>EXP(-LN(2)/2)*DH165+(1-EXP(-LN(2)/2))/(LN(2)/2)*DB166*DE166*VLOOKUP('Données projet'!$B$13,Paramètres!$A$1:$I$89,3,0)*0.475*44/12</f>
        <v>1.1627884060031826E-11</v>
      </c>
      <c r="DI166" s="22">
        <f t="shared" si="175"/>
        <v>30.915950926940106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1.1368683772161603E-12</v>
      </c>
      <c r="O167" s="13">
        <f>N167*VLOOKUP('Données projet'!$B$9,Paramètres!$A$1:$I$89,3,0)*VLOOKUP('Données projet'!$B$9,Paramètres!$A$1:$I$89,5,0)</f>
        <v>5.3205440053716299E-13</v>
      </c>
      <c r="P167" s="13">
        <f t="shared" si="141"/>
        <v>6.579711042921201E-12</v>
      </c>
      <c r="Q167" s="20">
        <f t="shared" si="162"/>
        <v>1.2386324814023317E-11</v>
      </c>
      <c r="R167" s="59">
        <f t="shared" si="109"/>
        <v>293.33333333334571</v>
      </c>
      <c r="S167" s="59">
        <f ca="1">AVERAGE(OFFSET($R$3,0,0,'Données projet'!$E$9+1,1))-AVERAGE(OFFSET($H$3,0,0,'Données projet'!$E$9+1,1))</f>
        <v>181.79645720099597</v>
      </c>
      <c r="T167" s="59">
        <f t="shared" si="142"/>
        <v>120.20040029102233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75.836041212093534</v>
      </c>
      <c r="AA167" s="21">
        <f>EXP(-LN(2)/25)*AA166+(1-EXP(-LN(2)/25))/(LN(2)/25)*Calculateur!V167*Calculateur!X167*VLOOKUP('Données projet'!$B$9,Paramètres!$A$1:$I$89,3,0)*0.475*44/12</f>
        <v>13.944185391047208</v>
      </c>
      <c r="AB167" s="21">
        <f>EXP(-LN(2)/2)*AB166+(1-EXP(-LN(2)/2))/(LN(2)/2)*V167*Y167*VLOOKUP('Données projet'!$B$9,Paramètres!$A$1:$I$89,3,0)*0.475*44/12</f>
        <v>2.008392449515361E-4</v>
      </c>
      <c r="AC167" s="22">
        <f t="shared" si="163"/>
        <v>89.780427442385701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253.62342381933348</v>
      </c>
      <c r="AO167" s="59">
        <f t="shared" si="144"/>
        <v>230.93438491775407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32.713219163438971</v>
      </c>
      <c r="AV167" s="21">
        <f>EXP(-LN(2)/25)*AV166+(1-EXP(-LN(2)/25))/(LN(2)/25)*Calculateur!AQ167*Calculateur!AS167*VLOOKUP('Données projet'!$B$10,Paramètres!$A$1:$I$89,3,0)*0.475*44/12</f>
        <v>4.0929974172063543</v>
      </c>
      <c r="AW167" s="21">
        <f>EXP(-LN(2)/2)*AW166+(1-EXP(-LN(2)/2))/(LN(2)/2)*AQ167*AT167*VLOOKUP('Données projet'!$B$10,Paramètres!$A$1:$I$89,3,0)*0.475*44/12</f>
        <v>2.8302593925013306E-13</v>
      </c>
      <c r="AX167" s="21">
        <f t="shared" si="166"/>
        <v>36.806216580645611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-5.6843418860808015E-14</v>
      </c>
      <c r="BE167" s="13">
        <f>BD167*VLOOKUP('Données projet'!$B$11,Paramètres!$A$1:$I$89,3,0)*VLOOKUP('Données projet'!$B$11,Paramètres!$A$1:$I$89,5,0)</f>
        <v>-3.3992364478763198E-14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199.27781324660782</v>
      </c>
      <c r="BJ167" s="59">
        <f t="shared" si="146"/>
        <v>199.82499536488524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16.53958445542002</v>
      </c>
      <c r="BQ167" s="21">
        <f>EXP(-LN(2)/25)*BQ166+(1-EXP(-LN(2)/25))/(LN(2)/25)*Calculateur!BL167*Calculateur!BN167*VLOOKUP('Données projet'!$B$11,Paramètres!$A$1:$I$89,3,0)*0.475*44/12</f>
        <v>2.0228563396937203</v>
      </c>
      <c r="BR167" s="21">
        <f>EXP(-LN(2)/2)*BR166+(1-EXP(-LN(2)/2))/(LN(2)/2)*BL167*BO167*VLOOKUP('Données projet'!$B$11,Paramètres!$A$1:$I$89,3,0)*0.475*44/12</f>
        <v>7.097173326422322E-15</v>
      </c>
      <c r="BS167" s="22">
        <f t="shared" si="169"/>
        <v>18.562440795113748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-2.8421709430404007E-13</v>
      </c>
      <c r="BZ167" s="13">
        <f>BY167*VLOOKUP('Données projet'!$B$12,Paramètres!$A$1:$I$89,3,0)*VLOOKUP('Données projet'!$B$12,Paramètres!$A$1:$I$89,5,0)</f>
        <v>-1.69961822393816E-13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199.27781323742636</v>
      </c>
      <c r="CE167" s="59">
        <f t="shared" si="148"/>
        <v>199.82499536063892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16.539584455550312</v>
      </c>
      <c r="CL167" s="21">
        <f>EXP(-LN(2)/25)*CL166+(1-EXP(-LN(2)/25))/(LN(2)/25)*Calculateur!CG167*Calculateur!CI167*VLOOKUP('Données projet'!$B$12,Paramètres!$A$1:$I$89,3,0)*0.475*44/12</f>
        <v>2.0215362384728435</v>
      </c>
      <c r="CM167" s="21">
        <f>EXP(-LN(2)/2)*CM166+(1-EXP(-LN(2)/2))/(LN(2)/2)*CG167*CJ167*VLOOKUP('Données projet'!$B$12,Paramètres!$A$1:$I$89,3,0)*0.475*44/12</f>
        <v>7.0971780652358949E-15</v>
      </c>
      <c r="CN167" s="22">
        <f t="shared" si="172"/>
        <v>18.561120694023163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-3.979039320256561E-13</v>
      </c>
      <c r="CU167" s="17">
        <f>CT167*VLOOKUP('Données projet'!$B$13,Paramètres!$A$1:$I$89,3,0)*VLOOKUP('Données projet'!$B$13,Paramètres!$A$1:$I$89,5,0)</f>
        <v>-2.379465513513424E-13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213.18424462765137</v>
      </c>
      <c r="CZ167" s="59">
        <f t="shared" si="150"/>
        <v>158.77848520346532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26.950879035944993</v>
      </c>
      <c r="DG167" s="21">
        <f>EXP(-LN(2)/25)*DG166+(1-EXP(-LN(2)/25))/(LN(2)/25)*Calculateur!DB167*Calculateur!DD167*VLOOKUP('Données projet'!$B$13,Paramètres!$A$1:$I$89,3,0)*0.475*44/12</f>
        <v>3.3323264857662771</v>
      </c>
      <c r="DH167" s="21">
        <f>EXP(-LN(2)/2)*DH166+(1-EXP(-LN(2)/2))/(LN(2)/2)*DB167*DE167*VLOOKUP('Données projet'!$B$13,Paramètres!$A$1:$I$89,3,0)*0.475*44/12</f>
        <v>8.2221556696994683E-12</v>
      </c>
      <c r="DI167" s="22">
        <f t="shared" si="175"/>
        <v>30.283205521719491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1.1368683772161603E-12</v>
      </c>
      <c r="O168" s="13">
        <f>N168*VLOOKUP('Données projet'!$B$9,Paramètres!$A$1:$I$89,3,0)*VLOOKUP('Données projet'!$B$9,Paramètres!$A$1:$I$89,5,0)</f>
        <v>5.3205440053716299E-13</v>
      </c>
      <c r="P168" s="13">
        <f t="shared" si="141"/>
        <v>6.579711042921201E-12</v>
      </c>
      <c r="Q168" s="20">
        <f t="shared" si="162"/>
        <v>1.2386324814023317E-11</v>
      </c>
      <c r="R168" s="59">
        <f t="shared" si="109"/>
        <v>293.33333333334571</v>
      </c>
      <c r="S168" s="59">
        <f ca="1">AVERAGE(OFFSET($R$3,0,0,'Données projet'!$E$9+1,1))-AVERAGE(OFFSET($H$3,0,0,'Données projet'!$E$9+1,1))</f>
        <v>181.79645720099597</v>
      </c>
      <c r="T168" s="59">
        <f t="shared" si="142"/>
        <v>120.20040029102233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74.348942699342174</v>
      </c>
      <c r="AA168" s="21">
        <f>EXP(-LN(2)/25)*AA167+(1-EXP(-LN(2)/25))/(LN(2)/25)*Calculateur!V168*Calculateur!X168*VLOOKUP('Données projet'!$B$9,Paramètres!$A$1:$I$89,3,0)*0.475*44/12</f>
        <v>13.562880908236183</v>
      </c>
      <c r="AB168" s="21">
        <f>EXP(-LN(2)/2)*AB167+(1-EXP(-LN(2)/2))/(LN(2)/2)*V168*Y168*VLOOKUP('Données projet'!$B$9,Paramètres!$A$1:$I$89,3,0)*0.475*44/12</f>
        <v>1.4201479203361725E-4</v>
      </c>
      <c r="AC168" s="22">
        <f t="shared" si="163"/>
        <v>87.911965622370388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253.62342381933348</v>
      </c>
      <c r="AO168" s="59">
        <f t="shared" si="144"/>
        <v>230.93438491775407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32.071732888737415</v>
      </c>
      <c r="AV168" s="21">
        <f>EXP(-LN(2)/25)*AV167+(1-EXP(-LN(2)/25))/(LN(2)/25)*Calculateur!AQ168*Calculateur!AS168*VLOOKUP('Données projet'!$B$10,Paramètres!$A$1:$I$89,3,0)*0.475*44/12</f>
        <v>3.9810741875914673</v>
      </c>
      <c r="AW168" s="21">
        <f>EXP(-LN(2)/2)*AW167+(1-EXP(-LN(2)/2))/(LN(2)/2)*AQ168*AT168*VLOOKUP('Données projet'!$B$10,Paramètres!$A$1:$I$89,3,0)*0.475*44/12</f>
        <v>2.0012956089546093E-13</v>
      </c>
      <c r="AX168" s="21">
        <f t="shared" si="166"/>
        <v>36.052807076329081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-5.6843418860808015E-14</v>
      </c>
      <c r="BE168" s="13">
        <f>BD168*VLOOKUP('Données projet'!$B$11,Paramètres!$A$1:$I$89,3,0)*VLOOKUP('Données projet'!$B$11,Paramètres!$A$1:$I$89,5,0)</f>
        <v>-3.3992364478763198E-14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199.27781324660782</v>
      </c>
      <c r="BJ168" s="59">
        <f t="shared" si="146"/>
        <v>199.82499536488524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16.215253292399627</v>
      </c>
      <c r="BQ168" s="21">
        <f>EXP(-LN(2)/25)*BQ167+(1-EXP(-LN(2)/25))/(LN(2)/25)*Calculateur!BL168*Calculateur!BN168*VLOOKUP('Données projet'!$B$11,Paramètres!$A$1:$I$89,3,0)*0.475*44/12</f>
        <v>1.9675412267074039</v>
      </c>
      <c r="BR168" s="21">
        <f>EXP(-LN(2)/2)*BR167+(1-EXP(-LN(2)/2))/(LN(2)/2)*BL168*BO168*VLOOKUP('Données projet'!$B$11,Paramètres!$A$1:$I$89,3,0)*0.475*44/12</f>
        <v>5.0184593863695107E-15</v>
      </c>
      <c r="BS168" s="22">
        <f t="shared" si="169"/>
        <v>18.182794519107034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-2.8421709430404007E-13</v>
      </c>
      <c r="BZ168" s="13">
        <f>BY168*VLOOKUP('Données projet'!$B$12,Paramètres!$A$1:$I$89,3,0)*VLOOKUP('Données projet'!$B$12,Paramètres!$A$1:$I$89,5,0)</f>
        <v>-1.69961822393816E-13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199.27781323742636</v>
      </c>
      <c r="CE168" s="59">
        <f t="shared" si="148"/>
        <v>199.82499536063892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16.215253292527365</v>
      </c>
      <c r="CL168" s="21">
        <f>EXP(-LN(2)/25)*CL167+(1-EXP(-LN(2)/25))/(LN(2)/25)*Calculateur!CG168*Calculateur!CI168*VLOOKUP('Données projet'!$B$12,Paramètres!$A$1:$I$89,3,0)*0.475*44/12</f>
        <v>1.9662572237238332</v>
      </c>
      <c r="CM168" s="21">
        <f>EXP(-LN(2)/2)*CM167+(1-EXP(-LN(2)/2))/(LN(2)/2)*CG168*CJ168*VLOOKUP('Données projet'!$B$12,Paramètres!$A$1:$I$89,3,0)*0.475*44/12</f>
        <v>5.018462737216723E-15</v>
      </c>
      <c r="CN168" s="22">
        <f t="shared" si="172"/>
        <v>18.181510516251201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-3.979039320256561E-13</v>
      </c>
      <c r="CU168" s="17">
        <f>CT168*VLOOKUP('Données projet'!$B$13,Paramètres!$A$1:$I$89,3,0)*VLOOKUP('Données projet'!$B$13,Paramètres!$A$1:$I$89,5,0)</f>
        <v>-2.379465513513424E-13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213.18424462765137</v>
      </c>
      <c r="CZ168" s="59">
        <f t="shared" si="150"/>
        <v>158.77848520346532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26.422388736463166</v>
      </c>
      <c r="DG168" s="21">
        <f>EXP(-LN(2)/25)*DG167+(1-EXP(-LN(2)/25))/(LN(2)/25)*Calculateur!DB168*Calculateur!DD168*VLOOKUP('Données projet'!$B$13,Paramètres!$A$1:$I$89,3,0)*0.475*44/12</f>
        <v>3.2412038427735643</v>
      </c>
      <c r="DH168" s="21">
        <f>EXP(-LN(2)/2)*DH167+(1-EXP(-LN(2)/2))/(LN(2)/2)*DB168*DE168*VLOOKUP('Données projet'!$B$13,Paramètres!$A$1:$I$89,3,0)*0.475*44/12</f>
        <v>5.8139420300159131E-12</v>
      </c>
      <c r="DI168" s="22">
        <f t="shared" si="175"/>
        <v>29.663592579242543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1.1368683772161603E-12</v>
      </c>
      <c r="O169" s="13">
        <f>N169*VLOOKUP('Données projet'!$B$9,Paramètres!$A$1:$I$89,3,0)*VLOOKUP('Données projet'!$B$9,Paramètres!$A$1:$I$89,5,0)</f>
        <v>5.3205440053716299E-13</v>
      </c>
      <c r="P169" s="13">
        <f t="shared" si="141"/>
        <v>6.579711042921201E-12</v>
      </c>
      <c r="Q169" s="20">
        <f t="shared" si="162"/>
        <v>1.2386324814023317E-11</v>
      </c>
      <c r="R169" s="59">
        <f t="shared" si="109"/>
        <v>293.33333333334571</v>
      </c>
      <c r="S169" s="59">
        <f ca="1">AVERAGE(OFFSET($R$3,0,0,'Données projet'!$E$9+1,1))-AVERAGE(OFFSET($H$3,0,0,'Données projet'!$E$9+1,1))</f>
        <v>181.79645720099597</v>
      </c>
      <c r="T169" s="59">
        <f t="shared" si="142"/>
        <v>120.20040029102233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72.891005281385347</v>
      </c>
      <c r="AA169" s="21">
        <f>EXP(-LN(2)/25)*AA168+(1-EXP(-LN(2)/25))/(LN(2)/25)*Calculateur!V169*Calculateur!X169*VLOOKUP('Données projet'!$B$9,Paramètres!$A$1:$I$89,3,0)*0.475*44/12</f>
        <v>13.192003216559556</v>
      </c>
      <c r="AB169" s="21">
        <f>EXP(-LN(2)/2)*AB168+(1-EXP(-LN(2)/2))/(LN(2)/2)*V169*Y169*VLOOKUP('Données projet'!$B$9,Paramètres!$A$1:$I$89,3,0)*0.475*44/12</f>
        <v>1.0041962247576805E-4</v>
      </c>
      <c r="AC169" s="22">
        <f t="shared" si="163"/>
        <v>86.083108917567372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253.62342381933348</v>
      </c>
      <c r="AO169" s="59">
        <f t="shared" si="144"/>
        <v>230.93438491775407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31.442825768614767</v>
      </c>
      <c r="AV169" s="21">
        <f>EXP(-LN(2)/25)*AV168+(1-EXP(-LN(2)/25))/(LN(2)/25)*Calculateur!AQ169*Calculateur!AS169*VLOOKUP('Données projet'!$B$10,Paramètres!$A$1:$I$89,3,0)*0.475*44/12</f>
        <v>3.8722115045761858</v>
      </c>
      <c r="AW169" s="21">
        <f>EXP(-LN(2)/2)*AW168+(1-EXP(-LN(2)/2))/(LN(2)/2)*AQ169*AT169*VLOOKUP('Données projet'!$B$10,Paramètres!$A$1:$I$89,3,0)*0.475*44/12</f>
        <v>1.4151296962506653E-13</v>
      </c>
      <c r="AX169" s="21">
        <f t="shared" si="166"/>
        <v>35.315037273191095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-5.6843418860808015E-14</v>
      </c>
      <c r="BE169" s="13">
        <f>BD169*VLOOKUP('Données projet'!$B$11,Paramètres!$A$1:$I$89,3,0)*VLOOKUP('Données projet'!$B$11,Paramètres!$A$1:$I$89,5,0)</f>
        <v>-3.3992364478763198E-14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199.27781324660782</v>
      </c>
      <c r="BJ169" s="59">
        <f t="shared" si="146"/>
        <v>199.82499536488524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15.897282065663589</v>
      </c>
      <c r="BQ169" s="21">
        <f>EXP(-LN(2)/25)*BQ168+(1-EXP(-LN(2)/25))/(LN(2)/25)*Calculateur!BL169*Calculateur!BN169*VLOOKUP('Données projet'!$B$11,Paramètres!$A$1:$I$89,3,0)*0.475*44/12</f>
        <v>1.9137387083945938</v>
      </c>
      <c r="BR169" s="21">
        <f>EXP(-LN(2)/2)*BR168+(1-EXP(-LN(2)/2))/(LN(2)/2)*BL169*BO169*VLOOKUP('Données projet'!$B$11,Paramètres!$A$1:$I$89,3,0)*0.475*44/12</f>
        <v>3.5485866632111614E-15</v>
      </c>
      <c r="BS169" s="22">
        <f t="shared" si="169"/>
        <v>17.811020774058186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-2.8421709430404007E-13</v>
      </c>
      <c r="BZ169" s="13">
        <f>BY169*VLOOKUP('Données projet'!$B$12,Paramètres!$A$1:$I$89,3,0)*VLOOKUP('Données projet'!$B$12,Paramètres!$A$1:$I$89,5,0)</f>
        <v>-1.69961822393816E-13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199.27781323742636</v>
      </c>
      <c r="CE169" s="59">
        <f t="shared" si="148"/>
        <v>199.82499536063892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15.897282065788822</v>
      </c>
      <c r="CL169" s="21">
        <f>EXP(-LN(2)/25)*CL168+(1-EXP(-LN(2)/25))/(LN(2)/25)*Calculateur!CG169*Calculateur!CI169*VLOOKUP('Données projet'!$B$12,Paramètres!$A$1:$I$89,3,0)*0.475*44/12</f>
        <v>1.9124898165401314</v>
      </c>
      <c r="CM169" s="21">
        <f>EXP(-LN(2)/2)*CM168+(1-EXP(-LN(2)/2))/(LN(2)/2)*CG169*CJ169*VLOOKUP('Données projet'!$B$12,Paramètres!$A$1:$I$89,3,0)*0.475*44/12</f>
        <v>3.5485890326179478E-15</v>
      </c>
      <c r="CN169" s="22">
        <f t="shared" si="172"/>
        <v>17.809771882328956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-3.979039320256561E-13</v>
      </c>
      <c r="CU169" s="17">
        <f>CT169*VLOOKUP('Données projet'!$B$13,Paramètres!$A$1:$I$89,3,0)*VLOOKUP('Données projet'!$B$13,Paramètres!$A$1:$I$89,5,0)</f>
        <v>-2.379465513513424E-13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213.18424462765137</v>
      </c>
      <c r="CZ169" s="59">
        <f t="shared" si="150"/>
        <v>158.77848520346532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25.904261809406922</v>
      </c>
      <c r="DG169" s="21">
        <f>EXP(-LN(2)/25)*DG168+(1-EXP(-LN(2)/25))/(LN(2)/25)*Calculateur!DB169*Calculateur!DD169*VLOOKUP('Données projet'!$B$13,Paramètres!$A$1:$I$89,3,0)*0.475*44/12</f>
        <v>3.1525729532454192</v>
      </c>
      <c r="DH169" s="21">
        <f>EXP(-LN(2)/2)*DH168+(1-EXP(-LN(2)/2))/(LN(2)/2)*DB169*DE169*VLOOKUP('Données projet'!$B$13,Paramètres!$A$1:$I$89,3,0)*0.475*44/12</f>
        <v>4.1110778348497342E-12</v>
      </c>
      <c r="DI169" s="22">
        <f t="shared" si="175"/>
        <v>29.05683476265645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1.1368683772161603E-12</v>
      </c>
      <c r="O170" s="13">
        <f>N170*VLOOKUP('Données projet'!$B$9,Paramètres!$A$1:$I$89,3,0)*VLOOKUP('Données projet'!$B$9,Paramètres!$A$1:$I$89,5,0)</f>
        <v>5.3205440053716299E-13</v>
      </c>
      <c r="P170" s="13">
        <f t="shared" si="141"/>
        <v>6.579711042921201E-12</v>
      </c>
      <c r="Q170" s="20">
        <f t="shared" si="162"/>
        <v>1.2386324814023317E-11</v>
      </c>
      <c r="R170" s="59">
        <f t="shared" si="109"/>
        <v>293.33333333334571</v>
      </c>
      <c r="S170" s="59">
        <f ca="1">AVERAGE(OFFSET($R$3,0,0,'Données projet'!$E$9+1,1))-AVERAGE(OFFSET($H$3,0,0,'Données projet'!$E$9+1,1))</f>
        <v>181.79645720099597</v>
      </c>
      <c r="T170" s="59">
        <f t="shared" si="142"/>
        <v>120.20040029102233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71.461657126940622</v>
      </c>
      <c r="AA170" s="21">
        <f>EXP(-LN(2)/25)*AA169+(1-EXP(-LN(2)/25))/(LN(2)/25)*Calculateur!V170*Calculateur!X170*VLOOKUP('Données projet'!$B$9,Paramètres!$A$1:$I$89,3,0)*0.475*44/12</f>
        <v>12.831267194865436</v>
      </c>
      <c r="AB170" s="21">
        <f>EXP(-LN(2)/2)*AB169+(1-EXP(-LN(2)/2))/(LN(2)/2)*V170*Y170*VLOOKUP('Données projet'!$B$9,Paramètres!$A$1:$I$89,3,0)*0.475*44/12</f>
        <v>7.1007396016808626E-5</v>
      </c>
      <c r="AC170" s="22">
        <f t="shared" si="163"/>
        <v>84.292995329202071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253.62342381933348</v>
      </c>
      <c r="AO170" s="59">
        <f t="shared" si="144"/>
        <v>230.93438491775407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30.826251133522259</v>
      </c>
      <c r="AV170" s="21">
        <f>EXP(-LN(2)/25)*AV169+(1-EXP(-LN(2)/25))/(LN(2)/25)*Calculateur!AQ170*Calculateur!AS170*VLOOKUP('Données projet'!$B$10,Paramètres!$A$1:$I$89,3,0)*0.475*44/12</f>
        <v>3.7663256773527971</v>
      </c>
      <c r="AW170" s="21">
        <f>EXP(-LN(2)/2)*AW169+(1-EXP(-LN(2)/2))/(LN(2)/2)*AQ170*AT170*VLOOKUP('Données projet'!$B$10,Paramètres!$A$1:$I$89,3,0)*0.475*44/12</f>
        <v>1.0006478044773047E-13</v>
      </c>
      <c r="AX170" s="21">
        <f t="shared" si="166"/>
        <v>34.592576810875158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-5.6843418860808015E-14</v>
      </c>
      <c r="BE170" s="13">
        <f>BD170*VLOOKUP('Données projet'!$B$11,Paramètres!$A$1:$I$89,3,0)*VLOOKUP('Données projet'!$B$11,Paramètres!$A$1:$I$89,5,0)</f>
        <v>-3.3992364478763198E-14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199.27781324660782</v>
      </c>
      <c r="BJ170" s="59">
        <f t="shared" si="146"/>
        <v>199.82499536488524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15.585546060740548</v>
      </c>
      <c r="BQ170" s="21">
        <f>EXP(-LN(2)/25)*BQ169+(1-EXP(-LN(2)/25))/(LN(2)/25)*Calculateur!BL170*Calculateur!BN170*VLOOKUP('Données projet'!$B$11,Paramètres!$A$1:$I$89,3,0)*0.475*44/12</f>
        <v>1.8614074227743989</v>
      </c>
      <c r="BR170" s="21">
        <f>EXP(-LN(2)/2)*BR169+(1-EXP(-LN(2)/2))/(LN(2)/2)*BL170*BO170*VLOOKUP('Données projet'!$B$11,Paramètres!$A$1:$I$89,3,0)*0.475*44/12</f>
        <v>2.5092296931847557E-15</v>
      </c>
      <c r="BS170" s="22">
        <f t="shared" si="169"/>
        <v>17.44695348351495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-2.8421709430404007E-13</v>
      </c>
      <c r="BZ170" s="13">
        <f>BY170*VLOOKUP('Données projet'!$B$12,Paramètres!$A$1:$I$89,3,0)*VLOOKUP('Données projet'!$B$12,Paramètres!$A$1:$I$89,5,0)</f>
        <v>-1.69961822393816E-13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199.27781323742636</v>
      </c>
      <c r="CE170" s="59">
        <f t="shared" si="148"/>
        <v>199.82499536063892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15.585546060863326</v>
      </c>
      <c r="CL170" s="21">
        <f>EXP(-LN(2)/25)*CL169+(1-EXP(-LN(2)/25))/(LN(2)/25)*Calculateur!CG170*Calculateur!CI170*VLOOKUP('Données projet'!$B$12,Paramètres!$A$1:$I$89,3,0)*0.475*44/12</f>
        <v>1.8601926819333732</v>
      </c>
      <c r="CM170" s="21">
        <f>EXP(-LN(2)/2)*CM169+(1-EXP(-LN(2)/2))/(LN(2)/2)*CG170*CJ170*VLOOKUP('Données projet'!$B$12,Paramètres!$A$1:$I$89,3,0)*0.475*44/12</f>
        <v>2.5092313686083619E-15</v>
      </c>
      <c r="CN170" s="22">
        <f t="shared" si="172"/>
        <v>17.445738742796703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-3.979039320256561E-13</v>
      </c>
      <c r="CU170" s="17">
        <f>CT170*VLOOKUP('Données projet'!$B$13,Paramètres!$A$1:$I$89,3,0)*VLOOKUP('Données projet'!$B$13,Paramètres!$A$1:$I$89,5,0)</f>
        <v>-2.379465513513424E-13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213.18424462765137</v>
      </c>
      <c r="CZ170" s="59">
        <f t="shared" si="150"/>
        <v>158.77848520346532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25.39629503536403</v>
      </c>
      <c r="DG170" s="21">
        <f>EXP(-LN(2)/25)*DG169+(1-EXP(-LN(2)/25))/(LN(2)/25)*Calculateur!DB170*Calculateur!DD170*VLOOKUP('Données projet'!$B$13,Paramètres!$A$1:$I$89,3,0)*0.475*44/12</f>
        <v>3.0663656800523169</v>
      </c>
      <c r="DH170" s="21">
        <f>EXP(-LN(2)/2)*DH169+(1-EXP(-LN(2)/2))/(LN(2)/2)*DB170*DE170*VLOOKUP('Données projet'!$B$13,Paramètres!$A$1:$I$89,3,0)*0.475*44/12</f>
        <v>2.9069710150079565E-12</v>
      </c>
      <c r="DI170" s="22">
        <f t="shared" si="175"/>
        <v>28.462660715419254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1.1368683772161603E-12</v>
      </c>
      <c r="O171" s="13">
        <f>N171*VLOOKUP('Données projet'!$B$9,Paramètres!$A$1:$I$89,3,0)*VLOOKUP('Données projet'!$B$9,Paramètres!$A$1:$I$89,5,0)</f>
        <v>5.3205440053716299E-13</v>
      </c>
      <c r="P171" s="13">
        <f t="shared" si="141"/>
        <v>6.579711042921201E-12</v>
      </c>
      <c r="Q171" s="20">
        <f t="shared" si="162"/>
        <v>1.2386324814023317E-11</v>
      </c>
      <c r="R171" s="59">
        <f t="shared" si="109"/>
        <v>293.33333333334571</v>
      </c>
      <c r="S171" s="59">
        <f ca="1">AVERAGE(OFFSET($R$3,0,0,'Données projet'!$E$9+1,1))-AVERAGE(OFFSET($H$3,0,0,'Données projet'!$E$9+1,1))</f>
        <v>181.79645720099597</v>
      </c>
      <c r="T171" s="59">
        <f t="shared" si="142"/>
        <v>120.20040029102233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70.060337617988282</v>
      </c>
      <c r="AA171" s="21">
        <f>EXP(-LN(2)/25)*AA170+(1-EXP(-LN(2)/25))/(LN(2)/25)*Calculateur!V171*Calculateur!X171*VLOOKUP('Données projet'!$B$9,Paramètres!$A$1:$I$89,3,0)*0.475*44/12</f>
        <v>12.480395518654825</v>
      </c>
      <c r="AB171" s="21">
        <f>EXP(-LN(2)/2)*AB170+(1-EXP(-LN(2)/2))/(LN(2)/2)*V171*Y171*VLOOKUP('Données projet'!$B$9,Paramètres!$A$1:$I$89,3,0)*0.475*44/12</f>
        <v>5.0209811237884025E-5</v>
      </c>
      <c r="AC171" s="22">
        <f t="shared" si="163"/>
        <v>82.540783346454347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253.62342381933348</v>
      </c>
      <c r="AO171" s="59">
        <f t="shared" si="144"/>
        <v>230.93438491775407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30.221767150950519</v>
      </c>
      <c r="AV171" s="21">
        <f>EXP(-LN(2)/25)*AV170+(1-EXP(-LN(2)/25))/(LN(2)/25)*Calculateur!AQ171*Calculateur!AS171*VLOOKUP('Données projet'!$B$10,Paramètres!$A$1:$I$89,3,0)*0.475*44/12</f>
        <v>3.6633353036431258</v>
      </c>
      <c r="AW171" s="21">
        <f>EXP(-LN(2)/2)*AW170+(1-EXP(-LN(2)/2))/(LN(2)/2)*AQ171*AT171*VLOOKUP('Données projet'!$B$10,Paramètres!$A$1:$I$89,3,0)*0.475*44/12</f>
        <v>7.0756484812533266E-14</v>
      </c>
      <c r="AX171" s="21">
        <f t="shared" si="166"/>
        <v>33.885102454593714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-5.6843418860808015E-14</v>
      </c>
      <c r="BE171" s="13">
        <f>BD171*VLOOKUP('Données projet'!$B$11,Paramètres!$A$1:$I$89,3,0)*VLOOKUP('Données projet'!$B$11,Paramètres!$A$1:$I$89,5,0)</f>
        <v>-3.3992364478763198E-14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199.27781324660782</v>
      </c>
      <c r="BJ171" s="59">
        <f t="shared" si="146"/>
        <v>199.82499536488524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15.279923008733858</v>
      </c>
      <c r="BQ171" s="21">
        <f>EXP(-LN(2)/25)*BQ170+(1-EXP(-LN(2)/25))/(LN(2)/25)*Calculateur!BL171*Calculateur!BN171*VLOOKUP('Données projet'!$B$11,Paramètres!$A$1:$I$89,3,0)*0.475*44/12</f>
        <v>1.8105071389114709</v>
      </c>
      <c r="BR171" s="21">
        <f>EXP(-LN(2)/2)*BR170+(1-EXP(-LN(2)/2))/(LN(2)/2)*BL171*BO171*VLOOKUP('Données projet'!$B$11,Paramètres!$A$1:$I$89,3,0)*0.475*44/12</f>
        <v>1.7742933316055809E-15</v>
      </c>
      <c r="BS171" s="22">
        <f t="shared" si="169"/>
        <v>17.090430147645328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-2.8421709430404007E-13</v>
      </c>
      <c r="BZ171" s="13">
        <f>BY171*VLOOKUP('Données projet'!$B$12,Paramètres!$A$1:$I$89,3,0)*VLOOKUP('Données projet'!$B$12,Paramètres!$A$1:$I$89,5,0)</f>
        <v>-1.69961822393816E-13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199.27781323742636</v>
      </c>
      <c r="CE171" s="59">
        <f t="shared" si="148"/>
        <v>199.82499536063892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15.279923008854229</v>
      </c>
      <c r="CL171" s="21">
        <f>EXP(-LN(2)/25)*CL170+(1-EXP(-LN(2)/25))/(LN(2)/25)*Calculateur!CG171*Calculateur!CI171*VLOOKUP('Données projet'!$B$12,Paramètres!$A$1:$I$89,3,0)*0.475*44/12</f>
        <v>1.8093256152226234</v>
      </c>
      <c r="CM171" s="21">
        <f>EXP(-LN(2)/2)*CM170+(1-EXP(-LN(2)/2))/(LN(2)/2)*CG171*CJ171*VLOOKUP('Données projet'!$B$12,Paramètres!$A$1:$I$89,3,0)*0.475*44/12</f>
        <v>1.7742945163089743E-15</v>
      </c>
      <c r="CN171" s="22">
        <f t="shared" si="172"/>
        <v>17.089248624076852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-3.979039320256561E-13</v>
      </c>
      <c r="CU171" s="17">
        <f>CT171*VLOOKUP('Données projet'!$B$13,Paramètres!$A$1:$I$89,3,0)*VLOOKUP('Données projet'!$B$13,Paramètres!$A$1:$I$89,5,0)</f>
        <v>-2.379465513513424E-13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213.18424462765137</v>
      </c>
      <c r="CZ171" s="59">
        <f t="shared" si="150"/>
        <v>158.77848520346532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24.89828917993098</v>
      </c>
      <c r="DG171" s="21">
        <f>EXP(-LN(2)/25)*DG170+(1-EXP(-LN(2)/25))/(LN(2)/25)*Calculateur!DB171*Calculateur!DD171*VLOOKUP('Données projet'!$B$13,Paramètres!$A$1:$I$89,3,0)*0.475*44/12</f>
        <v>2.9825157492781234</v>
      </c>
      <c r="DH171" s="21">
        <f>EXP(-LN(2)/2)*DH170+(1-EXP(-LN(2)/2))/(LN(2)/2)*DB171*DE171*VLOOKUP('Données projet'!$B$13,Paramètres!$A$1:$I$89,3,0)*0.475*44/12</f>
        <v>2.0555389174248671E-12</v>
      </c>
      <c r="DI171" s="22">
        <f t="shared" si="175"/>
        <v>27.880804929211163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1.1368683772161603E-12</v>
      </c>
      <c r="O172" s="13">
        <f>N172*VLOOKUP('Données projet'!$B$9,Paramètres!$A$1:$I$89,3,0)*VLOOKUP('Données projet'!$B$9,Paramètres!$A$1:$I$89,5,0)</f>
        <v>5.3205440053716299E-13</v>
      </c>
      <c r="P172" s="13">
        <f t="shared" si="141"/>
        <v>6.579711042921201E-12</v>
      </c>
      <c r="Q172" s="20">
        <f t="shared" si="162"/>
        <v>1.2386324814023317E-11</v>
      </c>
      <c r="R172" s="59">
        <f t="shared" si="109"/>
        <v>293.33333333334571</v>
      </c>
      <c r="S172" s="59">
        <f ca="1">AVERAGE(OFFSET($R$3,0,0,'Données projet'!$E$9+1,1))-AVERAGE(OFFSET($H$3,0,0,'Données projet'!$E$9+1,1))</f>
        <v>181.79645720099597</v>
      </c>
      <c r="T172" s="59">
        <f t="shared" si="142"/>
        <v>120.20040029102233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68.686497129885993</v>
      </c>
      <c r="AA172" s="21">
        <f>EXP(-LN(2)/25)*AA171+(1-EXP(-LN(2)/25))/(LN(2)/25)*Calculateur!V172*Calculateur!X172*VLOOKUP('Données projet'!$B$9,Paramètres!$A$1:$I$89,3,0)*0.475*44/12</f>
        <v>12.139118446881733</v>
      </c>
      <c r="AB172" s="21">
        <f>EXP(-LN(2)/2)*AB171+(1-EXP(-LN(2)/2))/(LN(2)/2)*V172*Y172*VLOOKUP('Données projet'!$B$9,Paramètres!$A$1:$I$89,3,0)*0.475*44/12</f>
        <v>3.5503698008404313E-5</v>
      </c>
      <c r="AC172" s="22">
        <f t="shared" si="163"/>
        <v>80.825651080465747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253.62342381933348</v>
      </c>
      <c r="AO172" s="59">
        <f t="shared" si="144"/>
        <v>230.93438491775407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29.629136730578189</v>
      </c>
      <c r="AV172" s="21">
        <f>EXP(-LN(2)/25)*AV171+(1-EXP(-LN(2)/25))/(LN(2)/25)*Calculateur!AQ172*Calculateur!AS172*VLOOKUP('Données projet'!$B$10,Paramètres!$A$1:$I$89,3,0)*0.475*44/12</f>
        <v>3.5631612071185734</v>
      </c>
      <c r="AW172" s="21">
        <f>EXP(-LN(2)/2)*AW171+(1-EXP(-LN(2)/2))/(LN(2)/2)*AQ172*AT172*VLOOKUP('Données projet'!$B$10,Paramètres!$A$1:$I$89,3,0)*0.475*44/12</f>
        <v>5.0032390223865233E-14</v>
      </c>
      <c r="AX172" s="21">
        <f t="shared" si="166"/>
        <v>33.192297937696814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-5.6843418860808015E-14</v>
      </c>
      <c r="BE172" s="13">
        <f>BD172*VLOOKUP('Données projet'!$B$11,Paramètres!$A$1:$I$89,3,0)*VLOOKUP('Données projet'!$B$11,Paramètres!$A$1:$I$89,5,0)</f>
        <v>-3.3992364478763198E-14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199.27781324660782</v>
      </c>
      <c r="BJ172" s="59">
        <f t="shared" si="146"/>
        <v>199.82499536488524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14.980293038365366</v>
      </c>
      <c r="BQ172" s="21">
        <f>EXP(-LN(2)/25)*BQ171+(1-EXP(-LN(2)/25))/(LN(2)/25)*Calculateur!BL172*Calculateur!BN172*VLOOKUP('Données projet'!$B$11,Paramètres!$A$1:$I$89,3,0)*0.475*44/12</f>
        <v>1.7609987259875042</v>
      </c>
      <c r="BR172" s="21">
        <f>EXP(-LN(2)/2)*BR171+(1-EXP(-LN(2)/2))/(LN(2)/2)*BL172*BO172*VLOOKUP('Données projet'!$B$11,Paramètres!$A$1:$I$89,3,0)*0.475*44/12</f>
        <v>1.2546148465923781E-15</v>
      </c>
      <c r="BS172" s="22">
        <f t="shared" si="169"/>
        <v>16.741291764352869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-2.8421709430404007E-13</v>
      </c>
      <c r="BZ172" s="13">
        <f>BY172*VLOOKUP('Données projet'!$B$12,Paramètres!$A$1:$I$89,3,0)*VLOOKUP('Données projet'!$B$12,Paramètres!$A$1:$I$89,5,0)</f>
        <v>-1.69961822393816E-13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199.27781323742636</v>
      </c>
      <c r="CE172" s="59">
        <f t="shared" si="148"/>
        <v>199.82499536063892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14.980293038483376</v>
      </c>
      <c r="CL172" s="21">
        <f>EXP(-LN(2)/25)*CL171+(1-EXP(-LN(2)/25))/(LN(2)/25)*Calculateur!CG172*Calculateur!CI172*VLOOKUP('Données projet'!$B$12,Paramètres!$A$1:$I$89,3,0)*0.475*44/12</f>
        <v>1.7598495111260619</v>
      </c>
      <c r="CM172" s="21">
        <f>EXP(-LN(2)/2)*CM171+(1-EXP(-LN(2)/2))/(LN(2)/2)*CG172*CJ172*VLOOKUP('Données projet'!$B$12,Paramètres!$A$1:$I$89,3,0)*0.475*44/12</f>
        <v>1.2546156843041811E-15</v>
      </c>
      <c r="CN172" s="22">
        <f t="shared" si="172"/>
        <v>16.740142549609438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-3.979039320256561E-13</v>
      </c>
      <c r="CU172" s="17">
        <f>CT172*VLOOKUP('Données projet'!$B$13,Paramètres!$A$1:$I$89,3,0)*VLOOKUP('Données projet'!$B$13,Paramètres!$A$1:$I$89,5,0)</f>
        <v>-2.379465513513424E-13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213.18424462765137</v>
      </c>
      <c r="CZ172" s="59">
        <f t="shared" si="150"/>
        <v>158.77848520346532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24.410048915569394</v>
      </c>
      <c r="DG172" s="21">
        <f>EXP(-LN(2)/25)*DG171+(1-EXP(-LN(2)/25))/(LN(2)/25)*Calculateur!DB172*Calculateur!DD172*VLOOKUP('Données projet'!$B$13,Paramètres!$A$1:$I$89,3,0)*0.475*44/12</f>
        <v>2.9009586992704266</v>
      </c>
      <c r="DH172" s="21">
        <f>EXP(-LN(2)/2)*DH171+(1-EXP(-LN(2)/2))/(LN(2)/2)*DB172*DE172*VLOOKUP('Données projet'!$B$13,Paramètres!$A$1:$I$89,3,0)*0.475*44/12</f>
        <v>1.4534855075039783E-12</v>
      </c>
      <c r="DI172" s="22">
        <f t="shared" si="175"/>
        <v>27.311007614841273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1.1368683772161603E-12</v>
      </c>
      <c r="O173" s="13">
        <f>N173*VLOOKUP('Données projet'!$B$9,Paramètres!$A$1:$I$89,3,0)*VLOOKUP('Données projet'!$B$9,Paramètres!$A$1:$I$89,5,0)</f>
        <v>5.3205440053716299E-13</v>
      </c>
      <c r="P173" s="13">
        <f t="shared" si="141"/>
        <v>6.579711042921201E-12</v>
      </c>
      <c r="Q173" s="20">
        <f t="shared" si="162"/>
        <v>1.2386324814023317E-11</v>
      </c>
      <c r="R173" s="59">
        <f t="shared" si="109"/>
        <v>293.33333333334571</v>
      </c>
      <c r="S173" s="59">
        <f ca="1">AVERAGE(OFFSET($R$3,0,0,'Données projet'!$E$9+1,1))-AVERAGE(OFFSET($H$3,0,0,'Données projet'!$E$9+1,1))</f>
        <v>181.79645720099597</v>
      </c>
      <c r="T173" s="59">
        <f t="shared" si="142"/>
        <v>120.20040029102233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67.339596815795431</v>
      </c>
      <c r="AA173" s="21">
        <f>EXP(-LN(2)/25)*AA172+(1-EXP(-LN(2)/25))/(LN(2)/25)*Calculateur!V173*Calculateur!X173*VLOOKUP('Données projet'!$B$9,Paramètres!$A$1:$I$89,3,0)*0.475*44/12</f>
        <v>11.807173614583258</v>
      </c>
      <c r="AB173" s="21">
        <f>EXP(-LN(2)/2)*AB172+(1-EXP(-LN(2)/2))/(LN(2)/2)*V173*Y173*VLOOKUP('Données projet'!$B$9,Paramètres!$A$1:$I$89,3,0)*0.475*44/12</f>
        <v>2.5104905618942012E-5</v>
      </c>
      <c r="AC173" s="22">
        <f t="shared" si="163"/>
        <v>79.146795535284312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253.62342381933348</v>
      </c>
      <c r="AO173" s="59">
        <f t="shared" si="144"/>
        <v>230.93438491775407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29.048127431280495</v>
      </c>
      <c r="AV173" s="21">
        <f>EXP(-LN(2)/25)*AV172+(1-EXP(-LN(2)/25))/(LN(2)/25)*Calculateur!AQ173*Calculateur!AS173*VLOOKUP('Données projet'!$B$10,Paramètres!$A$1:$I$89,3,0)*0.475*44/12</f>
        <v>3.4657263765314119</v>
      </c>
      <c r="AW173" s="21">
        <f>EXP(-LN(2)/2)*AW172+(1-EXP(-LN(2)/2))/(LN(2)/2)*AQ173*AT173*VLOOKUP('Données projet'!$B$10,Paramètres!$A$1:$I$89,3,0)*0.475*44/12</f>
        <v>3.5378242406266633E-14</v>
      </c>
      <c r="AX173" s="21">
        <f t="shared" si="166"/>
        <v>32.513853807811941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-5.6843418860808015E-14</v>
      </c>
      <c r="BE173" s="13">
        <f>BD173*VLOOKUP('Données projet'!$B$11,Paramètres!$A$1:$I$89,3,0)*VLOOKUP('Données projet'!$B$11,Paramètres!$A$1:$I$89,5,0)</f>
        <v>-3.3992364478763198E-14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199.27781324660782</v>
      </c>
      <c r="BJ173" s="59">
        <f t="shared" si="146"/>
        <v>199.82499536488524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14.686538628959562</v>
      </c>
      <c r="BQ173" s="21">
        <f>EXP(-LN(2)/25)*BQ172+(1-EXP(-LN(2)/25))/(LN(2)/25)*Calculateur!BL173*Calculateur!BN173*VLOOKUP('Données projet'!$B$11,Paramètres!$A$1:$I$89,3,0)*0.475*44/12</f>
        <v>1.7128441232184777</v>
      </c>
      <c r="BR173" s="21">
        <f>EXP(-LN(2)/2)*BR172+(1-EXP(-LN(2)/2))/(LN(2)/2)*BL173*BO173*VLOOKUP('Données projet'!$B$11,Paramètres!$A$1:$I$89,3,0)*0.475*44/12</f>
        <v>8.8714666580279065E-16</v>
      </c>
      <c r="BS173" s="22">
        <f t="shared" si="169"/>
        <v>16.399382752178042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-2.8421709430404007E-13</v>
      </c>
      <c r="BZ173" s="13">
        <f>BY173*VLOOKUP('Données projet'!$B$12,Paramètres!$A$1:$I$89,3,0)*VLOOKUP('Données projet'!$B$12,Paramètres!$A$1:$I$89,5,0)</f>
        <v>-1.69961822393816E-13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199.27781323742636</v>
      </c>
      <c r="CE173" s="59">
        <f t="shared" si="148"/>
        <v>199.82499536063892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14.68653862907526</v>
      </c>
      <c r="CL173" s="21">
        <f>EXP(-LN(2)/25)*CL172+(1-EXP(-LN(2)/25))/(LN(2)/25)*Calculateur!CG173*Calculateur!CI173*VLOOKUP('Données projet'!$B$12,Paramètres!$A$1:$I$89,3,0)*0.475*44/12</f>
        <v>1.7117263336978561</v>
      </c>
      <c r="CM173" s="21">
        <f>EXP(-LN(2)/2)*CM172+(1-EXP(-LN(2)/2))/(LN(2)/2)*CG173*CJ173*VLOOKUP('Données projet'!$B$12,Paramètres!$A$1:$I$89,3,0)*0.475*44/12</f>
        <v>8.8714725815448726E-16</v>
      </c>
      <c r="CN173" s="22">
        <f t="shared" si="172"/>
        <v>16.398264962773116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-3.979039320256561E-13</v>
      </c>
      <c r="CU173" s="17">
        <f>CT173*VLOOKUP('Données projet'!$B$13,Paramètres!$A$1:$I$89,3,0)*VLOOKUP('Données projet'!$B$13,Paramètres!$A$1:$I$89,5,0)</f>
        <v>-2.379465513513424E-13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213.18424462765137</v>
      </c>
      <c r="CZ173" s="59">
        <f t="shared" si="150"/>
        <v>158.77848520346532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23.931382744994785</v>
      </c>
      <c r="DG173" s="21">
        <f>EXP(-LN(2)/25)*DG172+(1-EXP(-LN(2)/25))/(LN(2)/25)*Calculateur!DB173*Calculateur!DD173*VLOOKUP('Données projet'!$B$13,Paramètres!$A$1:$I$89,3,0)*0.475*44/12</f>
        <v>2.8216318310840891</v>
      </c>
      <c r="DH173" s="21">
        <f>EXP(-LN(2)/2)*DH172+(1-EXP(-LN(2)/2))/(LN(2)/2)*DB173*DE173*VLOOKUP('Données projet'!$B$13,Paramètres!$A$1:$I$89,3,0)*0.475*44/12</f>
        <v>1.0277694587124335E-12</v>
      </c>
      <c r="DI173" s="22">
        <f t="shared" si="175"/>
        <v>26.753014576079902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1.1368683772161603E-12</v>
      </c>
      <c r="O174" s="13">
        <f>N174*VLOOKUP('Données projet'!$B$9,Paramètres!$A$1:$I$89,3,0)*VLOOKUP('Données projet'!$B$9,Paramètres!$A$1:$I$89,5,0)</f>
        <v>5.3205440053716299E-13</v>
      </c>
      <c r="P174" s="13">
        <f t="shared" si="141"/>
        <v>6.579711042921201E-12</v>
      </c>
      <c r="Q174" s="20">
        <f t="shared" si="162"/>
        <v>1.2386324814023317E-11</v>
      </c>
      <c r="R174" s="59">
        <f t="shared" si="109"/>
        <v>293.33333333334571</v>
      </c>
      <c r="S174" s="59">
        <f ca="1">AVERAGE(OFFSET($R$3,0,0,'Données projet'!$E$9+1,1))-AVERAGE(OFFSET($H$3,0,0,'Données projet'!$E$9+1,1))</f>
        <v>181.79645720099597</v>
      </c>
      <c r="T174" s="59">
        <f t="shared" si="142"/>
        <v>120.20040029102233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66.019108395336104</v>
      </c>
      <c r="AA174" s="21">
        <f>EXP(-LN(2)/25)*AA173+(1-EXP(-LN(2)/25))/(LN(2)/25)*Calculateur!V174*Calculateur!X174*VLOOKUP('Données projet'!$B$9,Paramètres!$A$1:$I$89,3,0)*0.475*44/12</f>
        <v>11.484305831180205</v>
      </c>
      <c r="AB174" s="21">
        <f>EXP(-LN(2)/2)*AB173+(1-EXP(-LN(2)/2))/(LN(2)/2)*V174*Y174*VLOOKUP('Données projet'!$B$9,Paramètres!$A$1:$I$89,3,0)*0.475*44/12</f>
        <v>1.7751849004202157E-5</v>
      </c>
      <c r="AC174" s="22">
        <f t="shared" si="163"/>
        <v>77.503431978365313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253.62342381933348</v>
      </c>
      <c r="AO174" s="59">
        <f t="shared" si="144"/>
        <v>230.93438491775407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28.47851136996135</v>
      </c>
      <c r="AV174" s="21">
        <f>EXP(-LN(2)/25)*AV173+(1-EXP(-LN(2)/25))/(LN(2)/25)*Calculateur!AQ174*Calculateur!AS174*VLOOKUP('Données projet'!$B$10,Paramètres!$A$1:$I$89,3,0)*0.475*44/12</f>
        <v>3.3709559065105315</v>
      </c>
      <c r="AW174" s="21">
        <f>EXP(-LN(2)/2)*AW173+(1-EXP(-LN(2)/2))/(LN(2)/2)*AQ174*AT174*VLOOKUP('Données projet'!$B$10,Paramètres!$A$1:$I$89,3,0)*0.475*44/12</f>
        <v>2.5016195111932617E-14</v>
      </c>
      <c r="AX174" s="21">
        <f t="shared" si="166"/>
        <v>31.849467276471906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-5.6843418860808015E-14</v>
      </c>
      <c r="BE174" s="13">
        <f>BD174*VLOOKUP('Données projet'!$B$11,Paramètres!$A$1:$I$89,3,0)*VLOOKUP('Données projet'!$B$11,Paramètres!$A$1:$I$89,5,0)</f>
        <v>-3.3992364478763198E-14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199.27781324660782</v>
      </c>
      <c r="BJ174" s="59">
        <f t="shared" si="146"/>
        <v>199.82499536488524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14.398544564349709</v>
      </c>
      <c r="BQ174" s="21">
        <f>EXP(-LN(2)/25)*BQ173+(1-EXP(-LN(2)/25))/(LN(2)/25)*Calculateur!BL174*Calculateur!BN174*VLOOKUP('Données projet'!$B$11,Paramètres!$A$1:$I$89,3,0)*0.475*44/12</f>
        <v>1.6660063105945107</v>
      </c>
      <c r="BR174" s="21">
        <f>EXP(-LN(2)/2)*BR173+(1-EXP(-LN(2)/2))/(LN(2)/2)*BL174*BO174*VLOOKUP('Données projet'!$B$11,Paramètres!$A$1:$I$89,3,0)*0.475*44/12</f>
        <v>6.2730742329618913E-16</v>
      </c>
      <c r="BS174" s="22">
        <f t="shared" si="169"/>
        <v>16.064550874944221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-2.8421709430404007E-13</v>
      </c>
      <c r="BZ174" s="13">
        <f>BY174*VLOOKUP('Données projet'!$B$12,Paramètres!$A$1:$I$89,3,0)*VLOOKUP('Données projet'!$B$12,Paramètres!$A$1:$I$89,5,0)</f>
        <v>-1.69961822393816E-13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199.27781323742636</v>
      </c>
      <c r="CE174" s="59">
        <f t="shared" si="148"/>
        <v>199.82499536063892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14.398544564463139</v>
      </c>
      <c r="CL174" s="21">
        <f>EXP(-LN(2)/25)*CL173+(1-EXP(-LN(2)/25))/(LN(2)/25)*Calculateur!CG174*Calculateur!CI174*VLOOKUP('Données projet'!$B$12,Paramètres!$A$1:$I$89,3,0)*0.475*44/12</f>
        <v>1.6649190870871124</v>
      </c>
      <c r="CM174" s="21">
        <f>EXP(-LN(2)/2)*CM173+(1-EXP(-LN(2)/2))/(LN(2)/2)*CG174*CJ174*VLOOKUP('Données projet'!$B$12,Paramètres!$A$1:$I$89,3,0)*0.475*44/12</f>
        <v>6.2730784215209067E-16</v>
      </c>
      <c r="CN174" s="22">
        <f t="shared" si="172"/>
        <v>16.063463651550251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-3.979039320256561E-13</v>
      </c>
      <c r="CU174" s="17">
        <f>CT174*VLOOKUP('Données projet'!$B$13,Paramètres!$A$1:$I$89,3,0)*VLOOKUP('Données projet'!$B$13,Paramètres!$A$1:$I$89,5,0)</f>
        <v>-2.379465513513424E-13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213.18424462765137</v>
      </c>
      <c r="CZ174" s="59">
        <f t="shared" si="150"/>
        <v>158.77848520346532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23.462102926067608</v>
      </c>
      <c r="DG174" s="21">
        <f>EXP(-LN(2)/25)*DG173+(1-EXP(-LN(2)/25))/(LN(2)/25)*Calculateur!DB174*Calculateur!DD174*VLOOKUP('Données projet'!$B$13,Paramètres!$A$1:$I$89,3,0)*0.475*44/12</f>
        <v>2.7444741602799256</v>
      </c>
      <c r="DH174" s="21">
        <f>EXP(-LN(2)/2)*DH173+(1-EXP(-LN(2)/2))/(LN(2)/2)*DB174*DE174*VLOOKUP('Données projet'!$B$13,Paramètres!$A$1:$I$89,3,0)*0.475*44/12</f>
        <v>7.2674275375198914E-13</v>
      </c>
      <c r="DI174" s="22">
        <f t="shared" si="175"/>
        <v>26.206577086348261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1.1368683772161603E-12</v>
      </c>
      <c r="O175" s="13">
        <f>N175*VLOOKUP('Données projet'!$B$9,Paramètres!$A$1:$I$89,3,0)*VLOOKUP('Données projet'!$B$9,Paramètres!$A$1:$I$89,5,0)</f>
        <v>5.3205440053716299E-13</v>
      </c>
      <c r="P175" s="13">
        <f t="shared" si="141"/>
        <v>6.579711042921201E-12</v>
      </c>
      <c r="Q175" s="20">
        <f t="shared" si="162"/>
        <v>1.2386324814023317E-11</v>
      </c>
      <c r="R175" s="59">
        <f t="shared" si="109"/>
        <v>293.33333333334571</v>
      </c>
      <c r="S175" s="59">
        <f ca="1">AVERAGE(OFFSET($R$3,0,0,'Données projet'!$E$9+1,1))-AVERAGE(OFFSET($H$3,0,0,'Données projet'!$E$9+1,1))</f>
        <v>181.79645720099597</v>
      </c>
      <c r="T175" s="59">
        <f t="shared" si="142"/>
        <v>120.20040029102233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64.724513947383585</v>
      </c>
      <c r="AA175" s="21">
        <f>EXP(-LN(2)/25)*AA174+(1-EXP(-LN(2)/25))/(LN(2)/25)*Calculateur!V175*Calculateur!X175*VLOOKUP('Données projet'!$B$9,Paramètres!$A$1:$I$89,3,0)*0.475*44/12</f>
        <v>11.170266884293186</v>
      </c>
      <c r="AB175" s="21">
        <f>EXP(-LN(2)/2)*AB174+(1-EXP(-LN(2)/2))/(LN(2)/2)*V175*Y175*VLOOKUP('Données projet'!$B$9,Paramètres!$A$1:$I$89,3,0)*0.475*44/12</f>
        <v>1.2552452809471006E-5</v>
      </c>
      <c r="AC175" s="22">
        <f t="shared" si="163"/>
        <v>75.894793384129585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253.62342381933348</v>
      </c>
      <c r="AO175" s="59">
        <f t="shared" si="144"/>
        <v>230.93438491775407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27.920065132173182</v>
      </c>
      <c r="AV175" s="21">
        <f>EXP(-LN(2)/25)*AV174+(1-EXP(-LN(2)/25))/(LN(2)/25)*Calculateur!AQ175*Calculateur!AS175*VLOOKUP('Données projet'!$B$10,Paramètres!$A$1:$I$89,3,0)*0.475*44/12</f>
        <v>3.2787769399761344</v>
      </c>
      <c r="AW175" s="21">
        <f>EXP(-LN(2)/2)*AW174+(1-EXP(-LN(2)/2))/(LN(2)/2)*AQ175*AT175*VLOOKUP('Données projet'!$B$10,Paramètres!$A$1:$I$89,3,0)*0.475*44/12</f>
        <v>1.7689121203133316E-14</v>
      </c>
      <c r="AX175" s="21">
        <f t="shared" si="166"/>
        <v>31.198842072149333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-5.6843418860808015E-14</v>
      </c>
      <c r="BE175" s="13">
        <f>BD175*VLOOKUP('Données projet'!$B$11,Paramètres!$A$1:$I$89,3,0)*VLOOKUP('Données projet'!$B$11,Paramètres!$A$1:$I$89,5,0)</f>
        <v>-3.3992364478763198E-14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199.27781324660782</v>
      </c>
      <c r="BJ175" s="59">
        <f t="shared" si="146"/>
        <v>199.82499536488524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14.116197887687822</v>
      </c>
      <c r="BQ175" s="21">
        <f>EXP(-LN(2)/25)*BQ174+(1-EXP(-LN(2)/25))/(LN(2)/25)*Calculateur!BL175*Calculateur!BN175*VLOOKUP('Données projet'!$B$11,Paramètres!$A$1:$I$89,3,0)*0.475*44/12</f>
        <v>1.6204492804198396</v>
      </c>
      <c r="BR175" s="21">
        <f>EXP(-LN(2)/2)*BR174+(1-EXP(-LN(2)/2))/(LN(2)/2)*BL175*BO175*VLOOKUP('Données projet'!$B$11,Paramètres!$A$1:$I$89,3,0)*0.475*44/12</f>
        <v>4.4357333290139537E-16</v>
      </c>
      <c r="BS175" s="22">
        <f t="shared" si="169"/>
        <v>15.736647168107661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-2.8421709430404007E-13</v>
      </c>
      <c r="BZ175" s="13">
        <f>BY175*VLOOKUP('Données projet'!$B$12,Paramètres!$A$1:$I$89,3,0)*VLOOKUP('Données projet'!$B$12,Paramètres!$A$1:$I$89,5,0)</f>
        <v>-1.69961822393816E-13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199.27781323742636</v>
      </c>
      <c r="CE175" s="59">
        <f t="shared" si="148"/>
        <v>199.82499536063892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14.116197887799027</v>
      </c>
      <c r="CL175" s="21">
        <f>EXP(-LN(2)/25)*CL174+(1-EXP(-LN(2)/25))/(LN(2)/25)*Calculateur!CG175*Calculateur!CI175*VLOOKUP('Données projet'!$B$12,Paramètres!$A$1:$I$89,3,0)*0.475*44/12</f>
        <v>1.6193917870964258</v>
      </c>
      <c r="CM175" s="21">
        <f>EXP(-LN(2)/2)*CM174+(1-EXP(-LN(2)/2))/(LN(2)/2)*CG175*CJ175*VLOOKUP('Données projet'!$B$12,Paramètres!$A$1:$I$89,3,0)*0.475*44/12</f>
        <v>4.4357362907724373E-16</v>
      </c>
      <c r="CN175" s="22">
        <f t="shared" si="172"/>
        <v>15.735589674895452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-3.979039320256561E-13</v>
      </c>
      <c r="CU175" s="17">
        <f>CT175*VLOOKUP('Données projet'!$B$13,Paramètres!$A$1:$I$89,3,0)*VLOOKUP('Données projet'!$B$13,Paramètres!$A$1:$I$89,5,0)</f>
        <v>-2.379465513513424E-13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213.18424462765137</v>
      </c>
      <c r="CZ175" s="59">
        <f t="shared" si="150"/>
        <v>158.77848520346532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23.002025398157166</v>
      </c>
      <c r="DG175" s="21">
        <f>EXP(-LN(2)/25)*DG174+(1-EXP(-LN(2)/25))/(LN(2)/25)*Calculateur!DB175*Calculateur!DD175*VLOOKUP('Données projet'!$B$13,Paramètres!$A$1:$I$89,3,0)*0.475*44/12</f>
        <v>2.6694263700414473</v>
      </c>
      <c r="DH175" s="21">
        <f>EXP(-LN(2)/2)*DH174+(1-EXP(-LN(2)/2))/(LN(2)/2)*DB175*DE175*VLOOKUP('Données projet'!$B$13,Paramètres!$A$1:$I$89,3,0)*0.475*44/12</f>
        <v>5.1388472935621677E-13</v>
      </c>
      <c r="DI175" s="22">
        <f t="shared" si="175"/>
        <v>25.671451768199127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1.1368683772161603E-12</v>
      </c>
      <c r="O176" s="13">
        <f>N176*VLOOKUP('Données projet'!$B$9,Paramètres!$A$1:$I$89,3,0)*VLOOKUP('Données projet'!$B$9,Paramètres!$A$1:$I$89,5,0)</f>
        <v>5.3205440053716299E-13</v>
      </c>
      <c r="P176" s="13">
        <f t="shared" si="141"/>
        <v>6.579711042921201E-12</v>
      </c>
      <c r="Q176" s="20">
        <f t="shared" si="162"/>
        <v>1.2386324814023317E-11</v>
      </c>
      <c r="R176" s="59">
        <f t="shared" si="109"/>
        <v>293.33333333334571</v>
      </c>
      <c r="S176" s="59">
        <f ca="1">AVERAGE(OFFSET($R$3,0,0,'Données projet'!$E$9+1,1))-AVERAGE(OFFSET($H$3,0,0,'Données projet'!$E$9+1,1))</f>
        <v>181.79645720099597</v>
      </c>
      <c r="T176" s="59">
        <f t="shared" si="142"/>
        <v>120.20040029102233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63.455305706930766</v>
      </c>
      <c r="AA176" s="21">
        <f>EXP(-LN(2)/25)*AA175+(1-EXP(-LN(2)/25))/(LN(2)/25)*Calculateur!V176*Calculateur!X176*VLOOKUP('Données projet'!$B$9,Paramètres!$A$1:$I$89,3,0)*0.475*44/12</f>
        <v>10.864815348923383</v>
      </c>
      <c r="AB176" s="21">
        <f>EXP(-LN(2)/2)*AB175+(1-EXP(-LN(2)/2))/(LN(2)/2)*V176*Y176*VLOOKUP('Données projet'!$B$9,Paramètres!$A$1:$I$89,3,0)*0.475*44/12</f>
        <v>8.8759245021010783E-6</v>
      </c>
      <c r="AC176" s="22">
        <f t="shared" si="163"/>
        <v>74.320129931778652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253.62342381933348</v>
      </c>
      <c r="AO176" s="59">
        <f t="shared" si="144"/>
        <v>230.93438491775407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27.372569684489466</v>
      </c>
      <c r="AV176" s="21">
        <f>EXP(-LN(2)/25)*AV175+(1-EXP(-LN(2)/25))/(LN(2)/25)*Calculateur!AQ176*Calculateur!AS176*VLOOKUP('Données projet'!$B$10,Paramètres!$A$1:$I$89,3,0)*0.475*44/12</f>
        <v>3.1891186121291013</v>
      </c>
      <c r="AW176" s="21">
        <f>EXP(-LN(2)/2)*AW175+(1-EXP(-LN(2)/2))/(LN(2)/2)*AQ176*AT176*VLOOKUP('Données projet'!$B$10,Paramètres!$A$1:$I$89,3,0)*0.475*44/12</f>
        <v>1.2508097555966308E-14</v>
      </c>
      <c r="AX176" s="21">
        <f t="shared" si="166"/>
        <v>30.561688296618581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-5.6843418860808015E-14</v>
      </c>
      <c r="BE176" s="13">
        <f>BD176*VLOOKUP('Données projet'!$B$11,Paramètres!$A$1:$I$89,3,0)*VLOOKUP('Données projet'!$B$11,Paramètres!$A$1:$I$89,5,0)</f>
        <v>-3.3992364478763198E-14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199.27781324660782</v>
      </c>
      <c r="BJ176" s="59">
        <f t="shared" si="146"/>
        <v>199.82499536488524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13.839387857140805</v>
      </c>
      <c r="BQ176" s="21">
        <f>EXP(-LN(2)/25)*BQ175+(1-EXP(-LN(2)/25))/(LN(2)/25)*Calculateur!BL176*Calculateur!BN176*VLOOKUP('Données projet'!$B$11,Paramètres!$A$1:$I$89,3,0)*0.475*44/12</f>
        <v>1.5761380096310351</v>
      </c>
      <c r="BR176" s="21">
        <f>EXP(-LN(2)/2)*BR175+(1-EXP(-LN(2)/2))/(LN(2)/2)*BL176*BO176*VLOOKUP('Données projet'!$B$11,Paramètres!$A$1:$I$89,3,0)*0.475*44/12</f>
        <v>3.1365371164809461E-16</v>
      </c>
      <c r="BS176" s="22">
        <f t="shared" si="169"/>
        <v>15.415525866771841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-2.8421709430404007E-13</v>
      </c>
      <c r="BZ176" s="13">
        <f>BY176*VLOOKUP('Données projet'!$B$12,Paramètres!$A$1:$I$89,3,0)*VLOOKUP('Données projet'!$B$12,Paramètres!$A$1:$I$89,5,0)</f>
        <v>-1.69961822393816E-13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199.27781323742636</v>
      </c>
      <c r="CE176" s="59">
        <f t="shared" si="148"/>
        <v>199.82499536063892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13.839387857249829</v>
      </c>
      <c r="CL176" s="21">
        <f>EXP(-LN(2)/25)*CL175+(1-EXP(-LN(2)/25))/(LN(2)/25)*Calculateur!CG176*Calculateur!CI176*VLOOKUP('Données projet'!$B$12,Paramètres!$A$1:$I$89,3,0)*0.475*44/12</f>
        <v>1.5751094335181612</v>
      </c>
      <c r="CM176" s="21">
        <f>EXP(-LN(2)/2)*CM175+(1-EXP(-LN(2)/2))/(LN(2)/2)*CG176*CJ176*VLOOKUP('Données projet'!$B$12,Paramètres!$A$1:$I$89,3,0)*0.475*44/12</f>
        <v>3.1365392107604539E-16</v>
      </c>
      <c r="CN176" s="22">
        <f t="shared" si="172"/>
        <v>15.41449729076799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-3.979039320256561E-13</v>
      </c>
      <c r="CU176" s="17">
        <f>CT176*VLOOKUP('Données projet'!$B$13,Paramètres!$A$1:$I$89,3,0)*VLOOKUP('Données projet'!$B$13,Paramètres!$A$1:$I$89,5,0)</f>
        <v>-2.379465513513424E-13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213.18424462765137</v>
      </c>
      <c r="CZ176" s="59">
        <f t="shared" si="150"/>
        <v>158.77848520346532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22.550969709949463</v>
      </c>
      <c r="DG176" s="21">
        <f>EXP(-LN(2)/25)*DG175+(1-EXP(-LN(2)/25))/(LN(2)/25)*Calculateur!DB176*Calculateur!DD176*VLOOKUP('Données projet'!$B$13,Paramètres!$A$1:$I$89,3,0)*0.475*44/12</f>
        <v>2.5964307655736323</v>
      </c>
      <c r="DH176" s="21">
        <f>EXP(-LN(2)/2)*DH175+(1-EXP(-LN(2)/2))/(LN(2)/2)*DB176*DE176*VLOOKUP('Données projet'!$B$13,Paramètres!$A$1:$I$89,3,0)*0.475*44/12</f>
        <v>3.6337137687599457E-13</v>
      </c>
      <c r="DI176" s="22">
        <f t="shared" si="175"/>
        <v>25.147400475523458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1.1368683772161603E-12</v>
      </c>
      <c r="O177" s="13">
        <f>N177*VLOOKUP('Données projet'!$B$9,Paramètres!$A$1:$I$89,3,0)*VLOOKUP('Données projet'!$B$9,Paramètres!$A$1:$I$89,5,0)</f>
        <v>5.3205440053716299E-13</v>
      </c>
      <c r="P177" s="13">
        <f t="shared" si="141"/>
        <v>6.579711042921201E-12</v>
      </c>
      <c r="Q177" s="20">
        <f t="shared" si="162"/>
        <v>1.2386324814023317E-11</v>
      </c>
      <c r="R177" s="59">
        <f t="shared" si="109"/>
        <v>293.33333333334571</v>
      </c>
      <c r="S177" s="59">
        <f ca="1">AVERAGE(OFFSET($R$3,0,0,'Données projet'!$E$9+1,1))-AVERAGE(OFFSET($H$3,0,0,'Données projet'!$E$9+1,1))</f>
        <v>181.79645720099597</v>
      </c>
      <c r="T177" s="59">
        <f t="shared" si="142"/>
        <v>120.20040029102233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62.210985865932642</v>
      </c>
      <c r="AA177" s="21">
        <f>EXP(-LN(2)/25)*AA176+(1-EXP(-LN(2)/25))/(LN(2)/25)*Calculateur!V177*Calculateur!X177*VLOOKUP('Données projet'!$B$9,Paramètres!$A$1:$I$89,3,0)*0.475*44/12</f>
        <v>10.567716401851266</v>
      </c>
      <c r="AB177" s="21">
        <f>EXP(-LN(2)/2)*AB176+(1-EXP(-LN(2)/2))/(LN(2)/2)*V177*Y177*VLOOKUP('Données projet'!$B$9,Paramètres!$A$1:$I$89,3,0)*0.475*44/12</f>
        <v>6.2762264047355031E-6</v>
      </c>
      <c r="AC177" s="22">
        <f t="shared" si="163"/>
        <v>72.778708544010314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253.62342381933348</v>
      </c>
      <c r="AO177" s="59">
        <f t="shared" si="144"/>
        <v>230.93438491775407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26.835810288595582</v>
      </c>
      <c r="AV177" s="21">
        <f>EXP(-LN(2)/25)*AV176+(1-EXP(-LN(2)/25))/(LN(2)/25)*Calculateur!AQ177*Calculateur!AS177*VLOOKUP('Données projet'!$B$10,Paramètres!$A$1:$I$89,3,0)*0.475*44/12</f>
        <v>3.1019119959719719</v>
      </c>
      <c r="AW177" s="21">
        <f>EXP(-LN(2)/2)*AW176+(1-EXP(-LN(2)/2))/(LN(2)/2)*AQ177*AT177*VLOOKUP('Données projet'!$B$10,Paramètres!$A$1:$I$89,3,0)*0.475*44/12</f>
        <v>8.8445606015666582E-15</v>
      </c>
      <c r="AX177" s="21">
        <f t="shared" si="166"/>
        <v>29.93772228456756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-5.6843418860808015E-14</v>
      </c>
      <c r="BE177" s="13">
        <f>BD177*VLOOKUP('Données projet'!$B$11,Paramètres!$A$1:$I$89,3,0)*VLOOKUP('Données projet'!$B$11,Paramètres!$A$1:$I$89,5,0)</f>
        <v>-3.3992364478763198E-14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199.27781324660782</v>
      </c>
      <c r="BJ177" s="59">
        <f t="shared" si="146"/>
        <v>199.82499536488524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13.568005902455369</v>
      </c>
      <c r="BQ177" s="21">
        <f>EXP(-LN(2)/25)*BQ176+(1-EXP(-LN(2)/25))/(LN(2)/25)*Calculateur!BL177*Calculateur!BN177*VLOOKUP('Données projet'!$B$11,Paramètres!$A$1:$I$89,3,0)*0.475*44/12</f>
        <v>1.5330384328721789</v>
      </c>
      <c r="BR177" s="21">
        <f>EXP(-LN(2)/2)*BR176+(1-EXP(-LN(2)/2))/(LN(2)/2)*BL177*BO177*VLOOKUP('Données projet'!$B$11,Paramètres!$A$1:$I$89,3,0)*0.475*44/12</f>
        <v>2.2178666645069774E-16</v>
      </c>
      <c r="BS177" s="22">
        <f t="shared" si="169"/>
        <v>15.101044335327547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-2.8421709430404007E-13</v>
      </c>
      <c r="BZ177" s="13">
        <f>BY177*VLOOKUP('Données projet'!$B$12,Paramètres!$A$1:$I$89,3,0)*VLOOKUP('Données projet'!$B$12,Paramètres!$A$1:$I$89,5,0)</f>
        <v>-1.69961822393816E-13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199.27781323742636</v>
      </c>
      <c r="CE177" s="59">
        <f t="shared" si="148"/>
        <v>199.82499536063892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13.568005902562254</v>
      </c>
      <c r="CL177" s="21">
        <f>EXP(-LN(2)/25)*CL176+(1-EXP(-LN(2)/25))/(LN(2)/25)*Calculateur!CG177*Calculateur!CI177*VLOOKUP('Données projet'!$B$12,Paramètres!$A$1:$I$89,3,0)*0.475*44/12</f>
        <v>1.532037983227202</v>
      </c>
      <c r="CM177" s="21">
        <f>EXP(-LN(2)/2)*CM176+(1-EXP(-LN(2)/2))/(LN(2)/2)*CG177*CJ177*VLOOKUP('Données projet'!$B$12,Paramètres!$A$1:$I$89,3,0)*0.475*44/12</f>
        <v>2.2178681453862189E-16</v>
      </c>
      <c r="CN177" s="22">
        <f t="shared" si="172"/>
        <v>15.100043885789455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-3.979039320256561E-13</v>
      </c>
      <c r="CU177" s="17">
        <f>CT177*VLOOKUP('Données projet'!$B$13,Paramètres!$A$1:$I$89,3,0)*VLOOKUP('Données projet'!$B$13,Paramètres!$A$1:$I$89,5,0)</f>
        <v>-2.379465513513424E-13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213.18424462765137</v>
      </c>
      <c r="CZ177" s="59">
        <f t="shared" si="150"/>
        <v>158.77848520346532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22.108758948670712</v>
      </c>
      <c r="DG177" s="21">
        <f>EXP(-LN(2)/25)*DG176+(1-EXP(-LN(2)/25))/(LN(2)/25)*Calculateur!DB177*Calculateur!DD177*VLOOKUP('Données projet'!$B$13,Paramètres!$A$1:$I$89,3,0)*0.475*44/12</f>
        <v>2.5254312297486616</v>
      </c>
      <c r="DH177" s="21">
        <f>EXP(-LN(2)/2)*DH176+(1-EXP(-LN(2)/2))/(LN(2)/2)*DB177*DE177*VLOOKUP('Données projet'!$B$13,Paramètres!$A$1:$I$89,3,0)*0.475*44/12</f>
        <v>2.5694236467810839E-13</v>
      </c>
      <c r="DI177" s="22">
        <f t="shared" si="175"/>
        <v>24.63419017841963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1.1368683772161603E-12</v>
      </c>
      <c r="O178" s="13">
        <f>N178*VLOOKUP('Données projet'!$B$9,Paramètres!$A$1:$I$89,3,0)*VLOOKUP('Données projet'!$B$9,Paramètres!$A$1:$I$89,5,0)</f>
        <v>5.3205440053716299E-13</v>
      </c>
      <c r="P178" s="13">
        <f t="shared" si="141"/>
        <v>6.579711042921201E-12</v>
      </c>
      <c r="Q178" s="20">
        <f t="shared" si="162"/>
        <v>1.2386324814023317E-11</v>
      </c>
      <c r="R178" s="59">
        <f t="shared" si="109"/>
        <v>293.33333333334571</v>
      </c>
      <c r="S178" s="59">
        <f ca="1">AVERAGE(OFFSET($R$3,0,0,'Données projet'!$E$9+1,1))-AVERAGE(OFFSET($H$3,0,0,'Données projet'!$E$9+1,1))</f>
        <v>181.79645720099597</v>
      </c>
      <c r="T178" s="59">
        <f t="shared" si="142"/>
        <v>120.20040029102233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60.991066378056331</v>
      </c>
      <c r="AA178" s="21">
        <f>EXP(-LN(2)/25)*AA177+(1-EXP(-LN(2)/25))/(LN(2)/25)*Calculateur!V178*Calculateur!X178*VLOOKUP('Données projet'!$B$9,Paramètres!$A$1:$I$89,3,0)*0.475*44/12</f>
        <v>10.278741641110591</v>
      </c>
      <c r="AB178" s="21">
        <f>EXP(-LN(2)/2)*AB177+(1-EXP(-LN(2)/2))/(LN(2)/2)*V178*Y178*VLOOKUP('Données projet'!$B$9,Paramètres!$A$1:$I$89,3,0)*0.475*44/12</f>
        <v>4.4379622510505391E-6</v>
      </c>
      <c r="AC178" s="22">
        <f t="shared" si="163"/>
        <v>71.269812457129163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253.62342381933348</v>
      </c>
      <c r="AO178" s="59">
        <f t="shared" si="144"/>
        <v>230.93438491775407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26.309576417064271</v>
      </c>
      <c r="AV178" s="21">
        <f>EXP(-LN(2)/25)*AV177+(1-EXP(-LN(2)/25))/(LN(2)/25)*Calculateur!AQ178*Calculateur!AS178*VLOOKUP('Données projet'!$B$10,Paramètres!$A$1:$I$89,3,0)*0.475*44/12</f>
        <v>3.017090049319656</v>
      </c>
      <c r="AW178" s="21">
        <f>EXP(-LN(2)/2)*AW177+(1-EXP(-LN(2)/2))/(LN(2)/2)*AQ178*AT178*VLOOKUP('Données projet'!$B$10,Paramètres!$A$1:$I$89,3,0)*0.475*44/12</f>
        <v>6.2540487779831542E-15</v>
      </c>
      <c r="AX178" s="21">
        <f t="shared" si="166"/>
        <v>29.326666466383934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-5.6843418860808015E-14</v>
      </c>
      <c r="BE178" s="13">
        <f>BD178*VLOOKUP('Données projet'!$B$11,Paramètres!$A$1:$I$89,3,0)*VLOOKUP('Données projet'!$B$11,Paramètres!$A$1:$I$89,5,0)</f>
        <v>-3.3992364478763198E-14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199.27781324660782</v>
      </c>
      <c r="BJ178" s="59">
        <f t="shared" si="146"/>
        <v>199.82499536488524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13.301945582374666</v>
      </c>
      <c r="BQ178" s="21">
        <f>EXP(-LN(2)/25)*BQ177+(1-EXP(-LN(2)/25))/(LN(2)/25)*Calculateur!BL178*Calculateur!BN178*VLOOKUP('Données projet'!$B$11,Paramètres!$A$1:$I$89,3,0)*0.475*44/12</f>
        <v>1.4911174163063017</v>
      </c>
      <c r="BR178" s="21">
        <f>EXP(-LN(2)/2)*BR177+(1-EXP(-LN(2)/2))/(LN(2)/2)*BL178*BO178*VLOOKUP('Données projet'!$B$11,Paramètres!$A$1:$I$89,3,0)*0.475*44/12</f>
        <v>1.5682685582404733E-16</v>
      </c>
      <c r="BS178" s="22">
        <f t="shared" si="169"/>
        <v>14.793062998680968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-2.8421709430404007E-13</v>
      </c>
      <c r="BZ178" s="13">
        <f>BY178*VLOOKUP('Données projet'!$B$12,Paramètres!$A$1:$I$89,3,0)*VLOOKUP('Données projet'!$B$12,Paramètres!$A$1:$I$89,5,0)</f>
        <v>-1.69961822393816E-13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199.27781323742636</v>
      </c>
      <c r="CE178" s="59">
        <f t="shared" si="148"/>
        <v>199.82499536063892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13.301945582479455</v>
      </c>
      <c r="CL178" s="21">
        <f>EXP(-LN(2)/25)*CL177+(1-EXP(-LN(2)/25))/(LN(2)/25)*Calculateur!CG178*Calculateur!CI178*VLOOKUP('Données projet'!$B$12,Paramètres!$A$1:$I$89,3,0)*0.475*44/12</f>
        <v>1.490144324009478</v>
      </c>
      <c r="CM178" s="21">
        <f>EXP(-LN(2)/2)*CM177+(1-EXP(-LN(2)/2))/(LN(2)/2)*CG178*CJ178*VLOOKUP('Données projet'!$B$12,Paramètres!$A$1:$I$89,3,0)*0.475*44/12</f>
        <v>1.5682696053802272E-16</v>
      </c>
      <c r="CN178" s="22">
        <f t="shared" si="172"/>
        <v>14.792089906488933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-3.979039320256561E-13</v>
      </c>
      <c r="CU178" s="17">
        <f>CT178*VLOOKUP('Données projet'!$B$13,Paramètres!$A$1:$I$89,3,0)*VLOOKUP('Données projet'!$B$13,Paramètres!$A$1:$I$89,5,0)</f>
        <v>-2.379465513513424E-13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213.18424462765137</v>
      </c>
      <c r="CZ178" s="59">
        <f t="shared" si="150"/>
        <v>158.77848520346532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21.675219670698702</v>
      </c>
      <c r="DG178" s="21">
        <f>EXP(-LN(2)/25)*DG177+(1-EXP(-LN(2)/25))/(LN(2)/25)*Calculateur!DB178*Calculateur!DD178*VLOOKUP('Données projet'!$B$13,Paramètres!$A$1:$I$89,3,0)*0.475*44/12</f>
        <v>2.4563731799645279</v>
      </c>
      <c r="DH178" s="21">
        <f>EXP(-LN(2)/2)*DH177+(1-EXP(-LN(2)/2))/(LN(2)/2)*DB178*DE178*VLOOKUP('Données projet'!$B$13,Paramètres!$A$1:$I$89,3,0)*0.475*44/12</f>
        <v>1.8168568843799728E-13</v>
      </c>
      <c r="DI178" s="22">
        <f t="shared" si="175"/>
        <v>24.131592850663413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1.1368683772161603E-12</v>
      </c>
      <c r="O179" s="13">
        <f>N179*VLOOKUP('Données projet'!$B$9,Paramètres!$A$1:$I$89,3,0)*VLOOKUP('Données projet'!$B$9,Paramètres!$A$1:$I$89,5,0)</f>
        <v>5.3205440053716299E-13</v>
      </c>
      <c r="P179" s="13">
        <f t="shared" si="141"/>
        <v>6.579711042921201E-12</v>
      </c>
      <c r="Q179" s="20">
        <f t="shared" si="162"/>
        <v>1.2386324814023317E-11</v>
      </c>
      <c r="R179" s="59">
        <f t="shared" si="109"/>
        <v>293.33333333334571</v>
      </c>
      <c r="S179" s="59">
        <f ca="1">AVERAGE(OFFSET($R$3,0,0,'Données projet'!$E$9+1,1))-AVERAGE(OFFSET($H$3,0,0,'Données projet'!$E$9+1,1))</f>
        <v>181.79645720099597</v>
      </c>
      <c r="T179" s="59">
        <f t="shared" si="142"/>
        <v>120.20040029102233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59.795068767259856</v>
      </c>
      <c r="AA179" s="21">
        <f>EXP(-LN(2)/25)*AA178+(1-EXP(-LN(2)/25))/(LN(2)/25)*Calculateur!V179*Calculateur!X179*VLOOKUP('Données projet'!$B$9,Paramètres!$A$1:$I$89,3,0)*0.475*44/12</f>
        <v>9.9976689103988914</v>
      </c>
      <c r="AB179" s="21">
        <f>EXP(-LN(2)/2)*AB178+(1-EXP(-LN(2)/2))/(LN(2)/2)*V179*Y179*VLOOKUP('Données projet'!$B$9,Paramètres!$A$1:$I$89,3,0)*0.475*44/12</f>
        <v>3.1381132023677515E-6</v>
      </c>
      <c r="AC179" s="22">
        <f t="shared" si="163"/>
        <v>69.79274081577195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253.62342381933348</v>
      </c>
      <c r="AO179" s="59">
        <f t="shared" si="144"/>
        <v>230.93438491775407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25.793661670782718</v>
      </c>
      <c r="AV179" s="21">
        <f>EXP(-LN(2)/25)*AV178+(1-EXP(-LN(2)/25))/(LN(2)/25)*Calculateur!AQ179*Calculateur!AS179*VLOOKUP('Données projet'!$B$10,Paramètres!$A$1:$I$89,3,0)*0.475*44/12</f>
        <v>2.9345875632591398</v>
      </c>
      <c r="AW179" s="21">
        <f>EXP(-LN(2)/2)*AW178+(1-EXP(-LN(2)/2))/(LN(2)/2)*AQ179*AT179*VLOOKUP('Données projet'!$B$10,Paramètres!$A$1:$I$89,3,0)*0.475*44/12</f>
        <v>4.4222803007833291E-15</v>
      </c>
      <c r="AX179" s="21">
        <f t="shared" si="166"/>
        <v>28.728249234041861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-5.6843418860808015E-14</v>
      </c>
      <c r="BE179" s="13">
        <f>BD179*VLOOKUP('Données projet'!$B$11,Paramètres!$A$1:$I$89,3,0)*VLOOKUP('Données projet'!$B$11,Paramètres!$A$1:$I$89,5,0)</f>
        <v>-3.3992364478763198E-14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199.27781324660782</v>
      </c>
      <c r="BJ179" s="59">
        <f t="shared" si="146"/>
        <v>199.82499536488524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13.041102542889973</v>
      </c>
      <c r="BQ179" s="21">
        <f>EXP(-LN(2)/25)*BQ178+(1-EXP(-LN(2)/25))/(LN(2)/25)*Calculateur!BL179*Calculateur!BN179*VLOOKUP('Données projet'!$B$11,Paramètres!$A$1:$I$89,3,0)*0.475*44/12</f>
        <v>1.450342732142949</v>
      </c>
      <c r="BR179" s="21">
        <f>EXP(-LN(2)/2)*BR178+(1-EXP(-LN(2)/2))/(LN(2)/2)*BL179*BO179*VLOOKUP('Données projet'!$B$11,Paramètres!$A$1:$I$89,3,0)*0.475*44/12</f>
        <v>1.1089333322534888E-16</v>
      </c>
      <c r="BS179" s="22">
        <f t="shared" si="169"/>
        <v>14.491445275032923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-2.8421709430404007E-13</v>
      </c>
      <c r="BZ179" s="13">
        <f>BY179*VLOOKUP('Données projet'!$B$12,Paramètres!$A$1:$I$89,3,0)*VLOOKUP('Données projet'!$B$12,Paramètres!$A$1:$I$89,5,0)</f>
        <v>-1.69961822393816E-13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199.27781323742636</v>
      </c>
      <c r="CE179" s="59">
        <f t="shared" si="148"/>
        <v>199.82499536063892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13.041102542992707</v>
      </c>
      <c r="CL179" s="21">
        <f>EXP(-LN(2)/25)*CL178+(1-EXP(-LN(2)/25))/(LN(2)/25)*Calculateur!CG179*Calculateur!CI179*VLOOKUP('Données projet'!$B$12,Paramètres!$A$1:$I$89,3,0)*0.475*44/12</f>
        <v>1.4493962491061547</v>
      </c>
      <c r="CM179" s="21">
        <f>EXP(-LN(2)/2)*CM178+(1-EXP(-LN(2)/2))/(LN(2)/2)*CG179*CJ179*VLOOKUP('Données projet'!$B$12,Paramètres!$A$1:$I$89,3,0)*0.475*44/12</f>
        <v>1.1089340726931096E-16</v>
      </c>
      <c r="CN179" s="22">
        <f t="shared" si="172"/>
        <v>14.490498792098862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-3.979039320256561E-13</v>
      </c>
      <c r="CU179" s="17">
        <f>CT179*VLOOKUP('Données projet'!$B$13,Paramètres!$A$1:$I$89,3,0)*VLOOKUP('Données projet'!$B$13,Paramètres!$A$1:$I$89,5,0)</f>
        <v>-2.379465513513424E-13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213.18424462765137</v>
      </c>
      <c r="CZ179" s="59">
        <f t="shared" si="150"/>
        <v>158.77848520346532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21.250181833534874</v>
      </c>
      <c r="DG179" s="21">
        <f>EXP(-LN(2)/25)*DG178+(1-EXP(-LN(2)/25))/(LN(2)/25)*Calculateur!DB179*Calculateur!DD179*VLOOKUP('Données projet'!$B$13,Paramètres!$A$1:$I$89,3,0)*0.475*44/12</f>
        <v>2.3892035261833464</v>
      </c>
      <c r="DH179" s="21">
        <f>EXP(-LN(2)/2)*DH178+(1-EXP(-LN(2)/2))/(LN(2)/2)*DB179*DE179*VLOOKUP('Données projet'!$B$13,Paramètres!$A$1:$I$89,3,0)*0.475*44/12</f>
        <v>1.2847118233905419E-13</v>
      </c>
      <c r="DI179" s="22">
        <f t="shared" si="175"/>
        <v>23.63938535971835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1.1368683772161603E-12</v>
      </c>
      <c r="O180" s="13">
        <f>N180*VLOOKUP('Données projet'!$B$9,Paramètres!$A$1:$I$89,3,0)*VLOOKUP('Données projet'!$B$9,Paramètres!$A$1:$I$89,5,0)</f>
        <v>5.3205440053716299E-13</v>
      </c>
      <c r="P180" s="13">
        <f t="shared" si="141"/>
        <v>6.579711042921201E-12</v>
      </c>
      <c r="Q180" s="20">
        <f t="shared" si="162"/>
        <v>1.2386324814023317E-11</v>
      </c>
      <c r="R180" s="59">
        <f t="shared" si="109"/>
        <v>293.33333333334571</v>
      </c>
      <c r="S180" s="59">
        <f ca="1">AVERAGE(OFFSET($R$3,0,0,'Données projet'!$E$9+1,1))-AVERAGE(OFFSET($H$3,0,0,'Données projet'!$E$9+1,1))</f>
        <v>181.79645720099597</v>
      </c>
      <c r="T180" s="59">
        <f t="shared" si="142"/>
        <v>120.20040029102233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58.622523940124587</v>
      </c>
      <c r="AA180" s="21">
        <f>EXP(-LN(2)/25)*AA179+(1-EXP(-LN(2)/25))/(LN(2)/25)*Calculateur!V180*Calculateur!X180*VLOOKUP('Données projet'!$B$9,Paramètres!$A$1:$I$89,3,0)*0.475*44/12</f>
        <v>9.7242821282894756</v>
      </c>
      <c r="AB180" s="21">
        <f>EXP(-LN(2)/2)*AB179+(1-EXP(-LN(2)/2))/(LN(2)/2)*V180*Y180*VLOOKUP('Données projet'!$B$9,Paramètres!$A$1:$I$89,3,0)*0.475*44/12</f>
        <v>2.2189811255252696E-6</v>
      </c>
      <c r="AC180" s="22">
        <f t="shared" si="163"/>
        <v>68.346808287395191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253.62342381933348</v>
      </c>
      <c r="AO180" s="59">
        <f t="shared" si="144"/>
        <v>230.93438491775407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25.287863697998826</v>
      </c>
      <c r="AV180" s="21">
        <f>EXP(-LN(2)/25)*AV179+(1-EXP(-LN(2)/25))/(LN(2)/25)*Calculateur!AQ180*Calculateur!AS180*VLOOKUP('Données projet'!$B$10,Paramètres!$A$1:$I$89,3,0)*0.475*44/12</f>
        <v>2.8543411120185658</v>
      </c>
      <c r="AW180" s="21">
        <f>EXP(-LN(2)/2)*AW179+(1-EXP(-LN(2)/2))/(LN(2)/2)*AQ180*AT180*VLOOKUP('Données projet'!$B$10,Paramètres!$A$1:$I$89,3,0)*0.475*44/12</f>
        <v>3.1270243889915771E-15</v>
      </c>
      <c r="AX180" s="21">
        <f t="shared" si="166"/>
        <v>28.142204810017397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-5.6843418860808015E-14</v>
      </c>
      <c r="BE180" s="13">
        <f>BD180*VLOOKUP('Données projet'!$B$11,Paramètres!$A$1:$I$89,3,0)*VLOOKUP('Données projet'!$B$11,Paramètres!$A$1:$I$89,5,0)</f>
        <v>-3.3992364478763198E-14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199.27781324660782</v>
      </c>
      <c r="BJ180" s="59">
        <f t="shared" si="146"/>
        <v>199.82499536488524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12.785374476311032</v>
      </c>
      <c r="BQ180" s="21">
        <f>EXP(-LN(2)/25)*BQ179+(1-EXP(-LN(2)/25))/(LN(2)/25)*Calculateur!BL180*Calculateur!BN180*VLOOKUP('Données projet'!$B$11,Paramètres!$A$1:$I$89,3,0)*0.475*44/12</f>
        <v>1.4106830338622904</v>
      </c>
      <c r="BR180" s="21">
        <f>EXP(-LN(2)/2)*BR179+(1-EXP(-LN(2)/2))/(LN(2)/2)*BL180*BO180*VLOOKUP('Données projet'!$B$11,Paramètres!$A$1:$I$89,3,0)*0.475*44/12</f>
        <v>7.8413427912023678E-17</v>
      </c>
      <c r="BS180" s="22">
        <f t="shared" si="169"/>
        <v>14.196057510173322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-2.8421709430404007E-13</v>
      </c>
      <c r="BZ180" s="13">
        <f>BY180*VLOOKUP('Données projet'!$B$12,Paramètres!$A$1:$I$89,3,0)*VLOOKUP('Données projet'!$B$12,Paramètres!$A$1:$I$89,5,0)</f>
        <v>-1.69961822393816E-13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199.27781323742636</v>
      </c>
      <c r="CE180" s="59">
        <f t="shared" si="148"/>
        <v>199.82499536063892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12.78537447641175</v>
      </c>
      <c r="CL180" s="21">
        <f>EXP(-LN(2)/25)*CL179+(1-EXP(-LN(2)/25))/(LN(2)/25)*Calculateur!CG180*Calculateur!CI180*VLOOKUP('Données projet'!$B$12,Paramètres!$A$1:$I$89,3,0)*0.475*44/12</f>
        <v>1.4097624324539109</v>
      </c>
      <c r="CM180" s="21">
        <f>EXP(-LN(2)/2)*CM179+(1-EXP(-LN(2)/2))/(LN(2)/2)*CG180*CJ180*VLOOKUP('Données projet'!$B$12,Paramètres!$A$1:$I$89,3,0)*0.475*44/12</f>
        <v>7.8413480269011371E-17</v>
      </c>
      <c r="CN180" s="22">
        <f t="shared" si="172"/>
        <v>14.195136908865662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-3.979039320256561E-13</v>
      </c>
      <c r="CU180" s="17">
        <f>CT180*VLOOKUP('Données projet'!$B$13,Paramètres!$A$1:$I$89,3,0)*VLOOKUP('Données projet'!$B$13,Paramètres!$A$1:$I$89,5,0)</f>
        <v>-2.379465513513424E-13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213.18424462765137</v>
      </c>
      <c r="CZ180" s="59">
        <f t="shared" si="150"/>
        <v>158.77848520346532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20.83347872911035</v>
      </c>
      <c r="DG180" s="21">
        <f>EXP(-LN(2)/25)*DG179+(1-EXP(-LN(2)/25))/(LN(2)/25)*Calculateur!DB180*Calculateur!DD180*VLOOKUP('Données projet'!$B$13,Paramètres!$A$1:$I$89,3,0)*0.475*44/12</f>
        <v>2.3238706301171099</v>
      </c>
      <c r="DH180" s="21">
        <f>EXP(-LN(2)/2)*DH179+(1-EXP(-LN(2)/2))/(LN(2)/2)*DB180*DE180*VLOOKUP('Données projet'!$B$13,Paramètres!$A$1:$I$89,3,0)*0.475*44/12</f>
        <v>9.0842844218998642E-14</v>
      </c>
      <c r="DI180" s="22">
        <f t="shared" si="175"/>
        <v>23.157349359227553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1.1368683772161603E-12</v>
      </c>
      <c r="O181" s="13">
        <f>N181*VLOOKUP('Données projet'!$B$9,Paramètres!$A$1:$I$89,3,0)*VLOOKUP('Données projet'!$B$9,Paramètres!$A$1:$I$89,5,0)</f>
        <v>5.3205440053716299E-13</v>
      </c>
      <c r="P181" s="13">
        <f t="shared" si="141"/>
        <v>6.579711042921201E-12</v>
      </c>
      <c r="Q181" s="20">
        <f t="shared" si="162"/>
        <v>1.2386324814023317E-11</v>
      </c>
      <c r="R181" s="59">
        <f t="shared" si="109"/>
        <v>293.33333333334571</v>
      </c>
      <c r="S181" s="59">
        <f ca="1">AVERAGE(OFFSET($R$3,0,0,'Données projet'!$E$9+1,1))-AVERAGE(OFFSET($H$3,0,0,'Données projet'!$E$9+1,1))</f>
        <v>181.79645720099597</v>
      </c>
      <c r="T181" s="59">
        <f t="shared" si="142"/>
        <v>120.20040029102233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57.472972001867717</v>
      </c>
      <c r="AA181" s="21">
        <f>EXP(-LN(2)/25)*AA180+(1-EXP(-LN(2)/25))/(LN(2)/25)*Calculateur!V181*Calculateur!X181*VLOOKUP('Données projet'!$B$9,Paramètres!$A$1:$I$89,3,0)*0.475*44/12</f>
        <v>9.4583711221136273</v>
      </c>
      <c r="AB181" s="21">
        <f>EXP(-LN(2)/2)*AB180+(1-EXP(-LN(2)/2))/(LN(2)/2)*V181*Y181*VLOOKUP('Données projet'!$B$9,Paramètres!$A$1:$I$89,3,0)*0.475*44/12</f>
        <v>1.5690566011838758E-6</v>
      </c>
      <c r="AC181" s="22">
        <f t="shared" si="163"/>
        <v>66.931344693037957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253.62342381933348</v>
      </c>
      <c r="AO181" s="59">
        <f t="shared" si="144"/>
        <v>230.93438491775407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24.791984114954925</v>
      </c>
      <c r="AV181" s="21">
        <f>EXP(-LN(2)/25)*AV180+(1-EXP(-LN(2)/25))/(LN(2)/25)*Calculateur!AQ181*Calculateur!AS181*VLOOKUP('Données projet'!$B$10,Paramètres!$A$1:$I$89,3,0)*0.475*44/12</f>
        <v>2.7762890042071429</v>
      </c>
      <c r="AW181" s="21">
        <f>EXP(-LN(2)/2)*AW180+(1-EXP(-LN(2)/2))/(LN(2)/2)*AQ181*AT181*VLOOKUP('Données projet'!$B$10,Paramètres!$A$1:$I$89,3,0)*0.475*44/12</f>
        <v>2.2111401503916646E-15</v>
      </c>
      <c r="AX181" s="21">
        <f t="shared" si="166"/>
        <v>27.568273119162072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-5.6843418860808015E-14</v>
      </c>
      <c r="BE181" s="13">
        <f>BD181*VLOOKUP('Données projet'!$B$11,Paramètres!$A$1:$I$89,3,0)*VLOOKUP('Données projet'!$B$11,Paramètres!$A$1:$I$89,5,0)</f>
        <v>-3.3992364478763198E-14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199.27781324660782</v>
      </c>
      <c r="BJ181" s="59">
        <f t="shared" si="146"/>
        <v>199.82499536488524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12.534661081138985</v>
      </c>
      <c r="BQ181" s="21">
        <f>EXP(-LN(2)/25)*BQ180+(1-EXP(-LN(2)/25))/(LN(2)/25)*Calculateur!BL181*Calculateur!BN181*VLOOKUP('Données projet'!$B$11,Paramètres!$A$1:$I$89,3,0)*0.475*44/12</f>
        <v>1.3721078321167295</v>
      </c>
      <c r="BR181" s="21">
        <f>EXP(-LN(2)/2)*BR180+(1-EXP(-LN(2)/2))/(LN(2)/2)*BL181*BO181*VLOOKUP('Données projet'!$B$11,Paramètres!$A$1:$I$89,3,0)*0.475*44/12</f>
        <v>5.5446666612674446E-17</v>
      </c>
      <c r="BS181" s="22">
        <f t="shared" si="169"/>
        <v>13.906768913255714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-2.8421709430404007E-13</v>
      </c>
      <c r="BZ181" s="13">
        <f>BY181*VLOOKUP('Données projet'!$B$12,Paramètres!$A$1:$I$89,3,0)*VLOOKUP('Données projet'!$B$12,Paramètres!$A$1:$I$89,5,0)</f>
        <v>-1.69961822393816E-13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199.27781323742636</v>
      </c>
      <c r="CE181" s="59">
        <f t="shared" si="148"/>
        <v>199.82499536063892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12.534661081237727</v>
      </c>
      <c r="CL181" s="21">
        <f>EXP(-LN(2)/25)*CL180+(1-EXP(-LN(2)/25))/(LN(2)/25)*Calculateur!CG181*Calculateur!CI181*VLOOKUP('Données projet'!$B$12,Paramètres!$A$1:$I$89,3,0)*0.475*44/12</f>
        <v>1.3712124046022744</v>
      </c>
      <c r="CM181" s="21">
        <f>EXP(-LN(2)/2)*CM180+(1-EXP(-LN(2)/2))/(LN(2)/2)*CG181*CJ181*VLOOKUP('Données projet'!$B$12,Paramètres!$A$1:$I$89,3,0)*0.475*44/12</f>
        <v>5.544670363465549E-17</v>
      </c>
      <c r="CN181" s="22">
        <f t="shared" si="172"/>
        <v>13.905873485840003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-3.979039320256561E-13</v>
      </c>
      <c r="CU181" s="17">
        <f>CT181*VLOOKUP('Données projet'!$B$13,Paramètres!$A$1:$I$89,3,0)*VLOOKUP('Données projet'!$B$13,Paramètres!$A$1:$I$89,5,0)</f>
        <v>-2.379465513513424E-13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213.18424462765137</v>
      </c>
      <c r="CZ181" s="59">
        <f t="shared" si="150"/>
        <v>158.77848520346532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20.424946918399794</v>
      </c>
      <c r="DG181" s="21">
        <f>EXP(-LN(2)/25)*DG180+(1-EXP(-LN(2)/25))/(LN(2)/25)*Calculateur!DB181*Calculateur!DD181*VLOOKUP('Données projet'!$B$13,Paramètres!$A$1:$I$89,3,0)*0.475*44/12</f>
        <v>2.2603242655295124</v>
      </c>
      <c r="DH181" s="21">
        <f>EXP(-LN(2)/2)*DH180+(1-EXP(-LN(2)/2))/(LN(2)/2)*DB181*DE181*VLOOKUP('Données projet'!$B$13,Paramètres!$A$1:$I$89,3,0)*0.475*44/12</f>
        <v>6.4235591169527096E-14</v>
      </c>
      <c r="DI181" s="22">
        <f t="shared" si="175"/>
        <v>22.68527118392937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1.1368683772161603E-12</v>
      </c>
      <c r="O182" s="13">
        <f>N182*VLOOKUP('Données projet'!$B$9,Paramètres!$A$1:$I$89,3,0)*VLOOKUP('Données projet'!$B$9,Paramètres!$A$1:$I$89,5,0)</f>
        <v>5.3205440053716299E-13</v>
      </c>
      <c r="P182" s="13">
        <f t="shared" si="141"/>
        <v>6.579711042921201E-12</v>
      </c>
      <c r="Q182" s="20">
        <f t="shared" si="162"/>
        <v>1.2386324814023317E-11</v>
      </c>
      <c r="R182" s="59">
        <f t="shared" si="109"/>
        <v>293.33333333334571</v>
      </c>
      <c r="S182" s="59">
        <f ca="1">AVERAGE(OFFSET($R$3,0,0,'Données projet'!$E$9+1,1))-AVERAGE(OFFSET($H$3,0,0,'Données projet'!$E$9+1,1))</f>
        <v>181.79645720099597</v>
      </c>
      <c r="T182" s="59">
        <f t="shared" si="142"/>
        <v>120.20040029102233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56.345962075962611</v>
      </c>
      <c r="AA182" s="21">
        <f>EXP(-LN(2)/25)*AA181+(1-EXP(-LN(2)/25))/(LN(2)/25)*Calculateur!V182*Calculateur!X182*VLOOKUP('Données projet'!$B$9,Paramètres!$A$1:$I$89,3,0)*0.475*44/12</f>
        <v>9.1997314663853107</v>
      </c>
      <c r="AB182" s="21">
        <f>EXP(-LN(2)/2)*AB181+(1-EXP(-LN(2)/2))/(LN(2)/2)*V182*Y182*VLOOKUP('Données projet'!$B$9,Paramètres!$A$1:$I$89,3,0)*0.475*44/12</f>
        <v>1.1094905627626348E-6</v>
      </c>
      <c r="AC182" s="22">
        <f t="shared" si="163"/>
        <v>65.545694651838488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253.62342381933348</v>
      </c>
      <c r="AO182" s="59">
        <f t="shared" si="144"/>
        <v>230.93438491775407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24.305828428077835</v>
      </c>
      <c r="AV182" s="21">
        <f>EXP(-LN(2)/25)*AV181+(1-EXP(-LN(2)/25))/(LN(2)/25)*Calculateur!AQ182*Calculateur!AS182*VLOOKUP('Données projet'!$B$10,Paramètres!$A$1:$I$89,3,0)*0.475*44/12</f>
        <v>2.7003712353884053</v>
      </c>
      <c r="AW182" s="21">
        <f>EXP(-LN(2)/2)*AW181+(1-EXP(-LN(2)/2))/(LN(2)/2)*AQ182*AT182*VLOOKUP('Données projet'!$B$10,Paramètres!$A$1:$I$89,3,0)*0.475*44/12</f>
        <v>1.5635121944957885E-15</v>
      </c>
      <c r="AX182" s="21">
        <f t="shared" si="166"/>
        <v>27.006199663466241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-5.6843418860808015E-14</v>
      </c>
      <c r="BE182" s="13">
        <f>BD182*VLOOKUP('Données projet'!$B$11,Paramètres!$A$1:$I$89,3,0)*VLOOKUP('Données projet'!$B$11,Paramètres!$A$1:$I$89,5,0)</f>
        <v>-3.3992364478763198E-14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199.27781324660782</v>
      </c>
      <c r="BJ182" s="59">
        <f t="shared" si="146"/>
        <v>199.82499536488524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12.288864022726189</v>
      </c>
      <c r="BQ182" s="21">
        <f>EXP(-LN(2)/25)*BQ181+(1-EXP(-LN(2)/25))/(LN(2)/25)*Calculateur!BL182*Calculateur!BN182*VLOOKUP('Données projet'!$B$11,Paramètres!$A$1:$I$89,3,0)*0.475*44/12</f>
        <v>1.3345874712914827</v>
      </c>
      <c r="BR182" s="21">
        <f>EXP(-LN(2)/2)*BR181+(1-EXP(-LN(2)/2))/(LN(2)/2)*BL182*BO182*VLOOKUP('Données projet'!$B$11,Paramètres!$A$1:$I$89,3,0)*0.475*44/12</f>
        <v>3.9206713956011845E-17</v>
      </c>
      <c r="BS182" s="22">
        <f t="shared" si="169"/>
        <v>13.623451494017672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-2.8421709430404007E-13</v>
      </c>
      <c r="BZ182" s="13">
        <f>BY182*VLOOKUP('Données projet'!$B$12,Paramètres!$A$1:$I$89,3,0)*VLOOKUP('Données projet'!$B$12,Paramètres!$A$1:$I$89,5,0)</f>
        <v>-1.69961822393816E-13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199.27781323742636</v>
      </c>
      <c r="CE182" s="59">
        <f t="shared" si="148"/>
        <v>199.82499536063892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12.288864022822995</v>
      </c>
      <c r="CL182" s="21">
        <f>EXP(-LN(2)/25)*CL181+(1-EXP(-LN(2)/25))/(LN(2)/25)*Calculateur!CG182*Calculateur!CI182*VLOOKUP('Données projet'!$B$12,Paramètres!$A$1:$I$89,3,0)*0.475*44/12</f>
        <v>1.3337165292894988</v>
      </c>
      <c r="CM182" s="21">
        <f>EXP(-LN(2)/2)*CM181+(1-EXP(-LN(2)/2))/(LN(2)/2)*CG182*CJ182*VLOOKUP('Données projet'!$B$12,Paramètres!$A$1:$I$89,3,0)*0.475*44/12</f>
        <v>3.9206740134505692E-17</v>
      </c>
      <c r="CN182" s="22">
        <f t="shared" si="172"/>
        <v>13.622580552112494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-3.979039320256561E-13</v>
      </c>
      <c r="CU182" s="17">
        <f>CT182*VLOOKUP('Données projet'!$B$13,Paramètres!$A$1:$I$89,3,0)*VLOOKUP('Données projet'!$B$13,Paramètres!$A$1:$I$89,5,0)</f>
        <v>-2.379465513513424E-13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213.18424462765137</v>
      </c>
      <c r="CZ182" s="59">
        <f t="shared" si="150"/>
        <v>158.77848520346532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20.024426167317468</v>
      </c>
      <c r="DG182" s="21">
        <f>EXP(-LN(2)/25)*DG181+(1-EXP(-LN(2)/25))/(LN(2)/25)*Calculateur!DB182*Calculateur!DD182*VLOOKUP('Données projet'!$B$13,Paramètres!$A$1:$I$89,3,0)*0.475*44/12</f>
        <v>2.1985155796233209</v>
      </c>
      <c r="DH182" s="21">
        <f>EXP(-LN(2)/2)*DH181+(1-EXP(-LN(2)/2))/(LN(2)/2)*DB182*DE182*VLOOKUP('Données projet'!$B$13,Paramètres!$A$1:$I$89,3,0)*0.475*44/12</f>
        <v>4.5421422109499321E-14</v>
      </c>
      <c r="DI182" s="22">
        <f t="shared" si="175"/>
        <v>22.222941746940837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1.1368683772161603E-12</v>
      </c>
      <c r="O183" s="13">
        <f>N183*VLOOKUP('Données projet'!$B$9,Paramètres!$A$1:$I$89,3,0)*VLOOKUP('Données projet'!$B$9,Paramètres!$A$1:$I$89,5,0)</f>
        <v>5.3205440053716299E-13</v>
      </c>
      <c r="P183" s="13">
        <f t="shared" si="141"/>
        <v>6.579711042921201E-12</v>
      </c>
      <c r="Q183" s="20">
        <f t="shared" si="162"/>
        <v>1.2386324814023317E-11</v>
      </c>
      <c r="R183" s="59">
        <f t="shared" si="109"/>
        <v>293.33333333334571</v>
      </c>
      <c r="S183" s="59">
        <f ca="1">AVERAGE(OFFSET($R$3,0,0,'Données projet'!$E$9+1,1))-AVERAGE(OFFSET($H$3,0,0,'Données projet'!$E$9+1,1))</f>
        <v>181.79645720099597</v>
      </c>
      <c r="T183" s="59">
        <f t="shared" si="142"/>
        <v>120.20040029102233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55.241052127296328</v>
      </c>
      <c r="AA183" s="21">
        <f>EXP(-LN(2)/25)*AA182+(1-EXP(-LN(2)/25))/(LN(2)/25)*Calculateur!V183*Calculateur!X183*VLOOKUP('Données projet'!$B$9,Paramètres!$A$1:$I$89,3,0)*0.475*44/12</f>
        <v>8.9481643256441536</v>
      </c>
      <c r="AB183" s="21">
        <f>EXP(-LN(2)/2)*AB182+(1-EXP(-LN(2)/2))/(LN(2)/2)*V183*Y183*VLOOKUP('Données projet'!$B$9,Paramètres!$A$1:$I$89,3,0)*0.475*44/12</f>
        <v>7.8452830059193788E-7</v>
      </c>
      <c r="AC183" s="22">
        <f t="shared" si="163"/>
        <v>64.189217237468782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253.62342381933348</v>
      </c>
      <c r="AO183" s="59">
        <f t="shared" si="144"/>
        <v>230.93438491775407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23.829205957694715</v>
      </c>
      <c r="AV183" s="21">
        <f>EXP(-LN(2)/25)*AV182+(1-EXP(-LN(2)/25))/(LN(2)/25)*Calculateur!AQ183*Calculateur!AS183*VLOOKUP('Données projet'!$B$10,Paramètres!$A$1:$I$89,3,0)*0.475*44/12</f>
        <v>2.6265294419503578</v>
      </c>
      <c r="AW183" s="21">
        <f>EXP(-LN(2)/2)*AW182+(1-EXP(-LN(2)/2))/(LN(2)/2)*AQ183*AT183*VLOOKUP('Données projet'!$B$10,Paramètres!$A$1:$I$89,3,0)*0.475*44/12</f>
        <v>1.1055700751958323E-15</v>
      </c>
      <c r="AX183" s="21">
        <f t="shared" si="166"/>
        <v>26.455735399645071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-5.6843418860808015E-14</v>
      </c>
      <c r="BE183" s="13">
        <f>BD183*VLOOKUP('Données projet'!$B$11,Paramètres!$A$1:$I$89,3,0)*VLOOKUP('Données projet'!$B$11,Paramètres!$A$1:$I$89,5,0)</f>
        <v>-3.3992364478763198E-14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199.27781324660782</v>
      </c>
      <c r="BJ183" s="59">
        <f t="shared" si="146"/>
        <v>199.82499536488524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12.047886894707467</v>
      </c>
      <c r="BQ183" s="21">
        <f>EXP(-LN(2)/25)*BQ182+(1-EXP(-LN(2)/25))/(LN(2)/25)*Calculateur!BL183*Calculateur!BN183*VLOOKUP('Données projet'!$B$11,Paramètres!$A$1:$I$89,3,0)*0.475*44/12</f>
        <v>1.2980931067061123</v>
      </c>
      <c r="BR183" s="21">
        <f>EXP(-LN(2)/2)*BR182+(1-EXP(-LN(2)/2))/(LN(2)/2)*BL183*BO183*VLOOKUP('Données projet'!$B$11,Paramètres!$A$1:$I$89,3,0)*0.475*44/12</f>
        <v>2.7723333306337229E-17</v>
      </c>
      <c r="BS183" s="22">
        <f t="shared" si="169"/>
        <v>13.345980001413579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-2.8421709430404007E-13</v>
      </c>
      <c r="BZ183" s="13">
        <f>BY183*VLOOKUP('Données projet'!$B$12,Paramètres!$A$1:$I$89,3,0)*VLOOKUP('Données projet'!$B$12,Paramètres!$A$1:$I$89,5,0)</f>
        <v>-1.69961822393816E-13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199.27781323742636</v>
      </c>
      <c r="CE183" s="59">
        <f t="shared" si="148"/>
        <v>199.82499536063892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12.047886894802375</v>
      </c>
      <c r="CL183" s="21">
        <f>EXP(-LN(2)/25)*CL182+(1-EXP(-LN(2)/25))/(LN(2)/25)*Calculateur!CG183*Calculateur!CI183*VLOOKUP('Données projet'!$B$12,Paramètres!$A$1:$I$89,3,0)*0.475*44/12</f>
        <v>1.2972459806589733</v>
      </c>
      <c r="CM183" s="21">
        <f>EXP(-LN(2)/2)*CM182+(1-EXP(-LN(2)/2))/(LN(2)/2)*CG183*CJ183*VLOOKUP('Données projet'!$B$12,Paramètres!$A$1:$I$89,3,0)*0.475*44/12</f>
        <v>2.7723351817327748E-17</v>
      </c>
      <c r="CN183" s="22">
        <f t="shared" si="172"/>
        <v>13.345132875461347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-3.979039320256561E-13</v>
      </c>
      <c r="CU183" s="17">
        <f>CT183*VLOOKUP('Données projet'!$B$13,Paramètres!$A$1:$I$89,3,0)*VLOOKUP('Données projet'!$B$13,Paramètres!$A$1:$I$89,5,0)</f>
        <v>-2.379465513513424E-13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213.18424462765137</v>
      </c>
      <c r="CZ183" s="59">
        <f t="shared" si="150"/>
        <v>158.77848520346532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19.631759383870332</v>
      </c>
      <c r="DG183" s="21">
        <f>EXP(-LN(2)/25)*DG182+(1-EXP(-LN(2)/25))/(LN(2)/25)*Calculateur!DB183*Calculateur!DD183*VLOOKUP('Données projet'!$B$13,Paramètres!$A$1:$I$89,3,0)*0.475*44/12</f>
        <v>2.1383970554836118</v>
      </c>
      <c r="DH183" s="21">
        <f>EXP(-LN(2)/2)*DH182+(1-EXP(-LN(2)/2))/(LN(2)/2)*DB183*DE183*VLOOKUP('Données projet'!$B$13,Paramètres!$A$1:$I$89,3,0)*0.475*44/12</f>
        <v>3.2117795584763548E-14</v>
      </c>
      <c r="DI183" s="22">
        <f t="shared" si="175"/>
        <v>21.770156439353975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1.1368683772161603E-12</v>
      </c>
      <c r="O184" s="13">
        <f>N184*VLOOKUP('Données projet'!$B$9,Paramètres!$A$1:$I$89,3,0)*VLOOKUP('Données projet'!$B$9,Paramètres!$A$1:$I$89,5,0)</f>
        <v>5.3205440053716299E-13</v>
      </c>
      <c r="P184" s="13">
        <f t="shared" si="141"/>
        <v>6.579711042921201E-12</v>
      </c>
      <c r="Q184" s="20">
        <f t="shared" si="162"/>
        <v>1.2386324814023317E-11</v>
      </c>
      <c r="R184" s="59">
        <f t="shared" si="109"/>
        <v>293.33333333334571</v>
      </c>
      <c r="S184" s="59">
        <f ca="1">AVERAGE(OFFSET($R$3,0,0,'Données projet'!$E$9+1,1))-AVERAGE(OFFSET($H$3,0,0,'Données projet'!$E$9+1,1))</f>
        <v>181.79645720099597</v>
      </c>
      <c r="T184" s="59">
        <f t="shared" si="142"/>
        <v>120.20040029102233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54.157808788794867</v>
      </c>
      <c r="AA184" s="21">
        <f>EXP(-LN(2)/25)*AA183+(1-EXP(-LN(2)/25))/(LN(2)/25)*Calculateur!V184*Calculateur!X184*VLOOKUP('Données projet'!$B$9,Paramètres!$A$1:$I$89,3,0)*0.475*44/12</f>
        <v>8.703476301595904</v>
      </c>
      <c r="AB184" s="21">
        <f>EXP(-LN(2)/2)*AB183+(1-EXP(-LN(2)/2))/(LN(2)/2)*V184*Y184*VLOOKUP('Données projet'!$B$9,Paramètres!$A$1:$I$89,3,0)*0.475*44/12</f>
        <v>5.5474528138131739E-7</v>
      </c>
      <c r="AC184" s="22">
        <f t="shared" si="163"/>
        <v>62.861285645136057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253.62342381933348</v>
      </c>
      <c r="AO184" s="59">
        <f t="shared" si="144"/>
        <v>230.93438491775407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23.361929763244806</v>
      </c>
      <c r="AV184" s="21">
        <f>EXP(-LN(2)/25)*AV183+(1-EXP(-LN(2)/25))/(LN(2)/25)*Calculateur!AQ184*Calculateur!AS184*VLOOKUP('Données projet'!$B$10,Paramètres!$A$1:$I$89,3,0)*0.475*44/12</f>
        <v>2.5547068562370447</v>
      </c>
      <c r="AW184" s="21">
        <f>EXP(-LN(2)/2)*AW183+(1-EXP(-LN(2)/2))/(LN(2)/2)*AQ184*AT184*VLOOKUP('Données projet'!$B$10,Paramètres!$A$1:$I$89,3,0)*0.475*44/12</f>
        <v>7.8175609724789427E-16</v>
      </c>
      <c r="AX184" s="21">
        <f t="shared" si="166"/>
        <v>25.916636619481849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-5.6843418860808015E-14</v>
      </c>
      <c r="BE184" s="13">
        <f>BD184*VLOOKUP('Données projet'!$B$11,Paramètres!$A$1:$I$89,3,0)*VLOOKUP('Données projet'!$B$11,Paramètres!$A$1:$I$89,5,0)</f>
        <v>-3.3992364478763198E-14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199.27781324660782</v>
      </c>
      <c r="BJ184" s="59">
        <f t="shared" si="146"/>
        <v>199.82499536488524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11.811635181187658</v>
      </c>
      <c r="BQ184" s="21">
        <f>EXP(-LN(2)/25)*BQ183+(1-EXP(-LN(2)/25))/(LN(2)/25)*Calculateur!BL184*Calculateur!BN184*VLOOKUP('Données projet'!$B$11,Paramètres!$A$1:$I$89,3,0)*0.475*44/12</f>
        <v>1.2625966824394841</v>
      </c>
      <c r="BR184" s="21">
        <f>EXP(-LN(2)/2)*BR183+(1-EXP(-LN(2)/2))/(LN(2)/2)*BL184*BO184*VLOOKUP('Données projet'!$B$11,Paramètres!$A$1:$I$89,3,0)*0.475*44/12</f>
        <v>1.9603356978005926E-17</v>
      </c>
      <c r="BS184" s="22">
        <f t="shared" si="169"/>
        <v>13.074231863627142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-2.8421709430404007E-13</v>
      </c>
      <c r="BZ184" s="13">
        <f>BY184*VLOOKUP('Données projet'!$B$12,Paramètres!$A$1:$I$89,3,0)*VLOOKUP('Données projet'!$B$12,Paramètres!$A$1:$I$89,5,0)</f>
        <v>-1.69961822393816E-13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199.27781323742636</v>
      </c>
      <c r="CE184" s="59">
        <f t="shared" si="148"/>
        <v>199.82499536063892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11.811635181280703</v>
      </c>
      <c r="CL184" s="21">
        <f>EXP(-LN(2)/25)*CL183+(1-EXP(-LN(2)/25))/(LN(2)/25)*Calculateur!CG184*Calculateur!CI184*VLOOKUP('Données projet'!$B$12,Paramètres!$A$1:$I$89,3,0)*0.475*44/12</f>
        <v>1.2617727210986525</v>
      </c>
      <c r="CM184" s="21">
        <f>EXP(-LN(2)/2)*CM183+(1-EXP(-LN(2)/2))/(LN(2)/2)*CG184*CJ184*VLOOKUP('Données projet'!$B$12,Paramètres!$A$1:$I$89,3,0)*0.475*44/12</f>
        <v>1.9603370067252849E-17</v>
      </c>
      <c r="CN184" s="22">
        <f t="shared" si="172"/>
        <v>13.073407902379355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-3.979039320256561E-13</v>
      </c>
      <c r="CU184" s="17">
        <f>CT184*VLOOKUP('Données projet'!$B$13,Paramètres!$A$1:$I$89,3,0)*VLOOKUP('Données projet'!$B$13,Paramètres!$A$1:$I$89,5,0)</f>
        <v>-2.379465513513424E-13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213.18424462765137</v>
      </c>
      <c r="CZ184" s="59">
        <f t="shared" si="150"/>
        <v>158.77848520346532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19.246792556543504</v>
      </c>
      <c r="DG184" s="21">
        <f>EXP(-LN(2)/25)*DG183+(1-EXP(-LN(2)/25))/(LN(2)/25)*Calculateur!DB184*Calculateur!DD184*VLOOKUP('Données projet'!$B$13,Paramètres!$A$1:$I$89,3,0)*0.475*44/12</f>
        <v>2.0799224755479986</v>
      </c>
      <c r="DH184" s="21">
        <f>EXP(-LN(2)/2)*DH183+(1-EXP(-LN(2)/2))/(LN(2)/2)*DB184*DE184*VLOOKUP('Données projet'!$B$13,Paramètres!$A$1:$I$89,3,0)*0.475*44/12</f>
        <v>2.2710711054749661E-14</v>
      </c>
      <c r="DI184" s="22">
        <f t="shared" si="175"/>
        <v>21.326715032091524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1.1368683772161603E-12</v>
      </c>
      <c r="O185" s="13">
        <f>N185*VLOOKUP('Données projet'!$B$9,Paramètres!$A$1:$I$89,3,0)*VLOOKUP('Données projet'!$B$9,Paramètres!$A$1:$I$89,5,0)</f>
        <v>5.3205440053716299E-13</v>
      </c>
      <c r="P185" s="13">
        <f t="shared" si="141"/>
        <v>6.579711042921201E-12</v>
      </c>
      <c r="Q185" s="20">
        <f t="shared" si="162"/>
        <v>1.2386324814023317E-11</v>
      </c>
      <c r="R185" s="59">
        <f t="shared" si="109"/>
        <v>293.33333333334571</v>
      </c>
      <c r="S185" s="59">
        <f ca="1">AVERAGE(OFFSET($R$3,0,0,'Données projet'!$E$9+1,1))-AVERAGE(OFFSET($H$3,0,0,'Données projet'!$E$9+1,1))</f>
        <v>181.79645720099597</v>
      </c>
      <c r="T185" s="59">
        <f t="shared" si="142"/>
        <v>120.20040029102233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53.095807191448223</v>
      </c>
      <c r="AA185" s="21">
        <f>EXP(-LN(2)/25)*AA184+(1-EXP(-LN(2)/25))/(LN(2)/25)*Calculateur!V185*Calculateur!X185*VLOOKUP('Données projet'!$B$9,Paramètres!$A$1:$I$89,3,0)*0.475*44/12</f>
        <v>8.4654792844328366</v>
      </c>
      <c r="AB185" s="21">
        <f>EXP(-LN(2)/2)*AB184+(1-EXP(-LN(2)/2))/(LN(2)/2)*V185*Y185*VLOOKUP('Données projet'!$B$9,Paramètres!$A$1:$I$89,3,0)*0.475*44/12</f>
        <v>3.9226415029596894E-7</v>
      </c>
      <c r="AC185" s="22">
        <f t="shared" si="163"/>
        <v>61.56128686814521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253.62342381933348</v>
      </c>
      <c r="AO185" s="59">
        <f t="shared" si="144"/>
        <v>230.93438491775407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22.903816569957723</v>
      </c>
      <c r="AV185" s="21">
        <f>EXP(-LN(2)/25)*AV184+(1-EXP(-LN(2)/25))/(LN(2)/25)*Calculateur!AQ185*Calculateur!AS185*VLOOKUP('Données projet'!$B$10,Paramètres!$A$1:$I$89,3,0)*0.475*44/12</f>
        <v>2.4848482629070481</v>
      </c>
      <c r="AW185" s="21">
        <f>EXP(-LN(2)/2)*AW184+(1-EXP(-LN(2)/2))/(LN(2)/2)*AQ185*AT185*VLOOKUP('Données projet'!$B$10,Paramètres!$A$1:$I$89,3,0)*0.475*44/12</f>
        <v>5.5278503759791614E-16</v>
      </c>
      <c r="AX185" s="21">
        <f t="shared" si="166"/>
        <v>25.388664832864769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-5.6843418860808015E-14</v>
      </c>
      <c r="BE185" s="13">
        <f>BD185*VLOOKUP('Données projet'!$B$11,Paramètres!$A$1:$I$89,3,0)*VLOOKUP('Données projet'!$B$11,Paramètres!$A$1:$I$89,5,0)</f>
        <v>-3.3992364478763198E-14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199.27781324660782</v>
      </c>
      <c r="BJ185" s="59">
        <f t="shared" si="146"/>
        <v>199.82499536488524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11.580016219670654</v>
      </c>
      <c r="BQ185" s="21">
        <f>EXP(-LN(2)/25)*BQ184+(1-EXP(-LN(2)/25))/(LN(2)/25)*Calculateur!BL185*Calculateur!BN185*VLOOKUP('Données projet'!$B$11,Paramètres!$A$1:$I$89,3,0)*0.475*44/12</f>
        <v>1.2280709097611027</v>
      </c>
      <c r="BR185" s="21">
        <f>EXP(-LN(2)/2)*BR184+(1-EXP(-LN(2)/2))/(LN(2)/2)*BL185*BO185*VLOOKUP('Données projet'!$B$11,Paramètres!$A$1:$I$89,3,0)*0.475*44/12</f>
        <v>1.3861666653168616E-17</v>
      </c>
      <c r="BS185" s="22">
        <f t="shared" si="169"/>
        <v>12.808087129431756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-2.8421709430404007E-13</v>
      </c>
      <c r="BZ185" s="13">
        <f>BY185*VLOOKUP('Données projet'!$B$12,Paramètres!$A$1:$I$89,3,0)*VLOOKUP('Données projet'!$B$12,Paramètres!$A$1:$I$89,5,0)</f>
        <v>-1.69961822393816E-13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199.27781323742636</v>
      </c>
      <c r="CE185" s="59">
        <f t="shared" si="148"/>
        <v>199.82499536063892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11.580016219761875</v>
      </c>
      <c r="CL185" s="21">
        <f>EXP(-LN(2)/25)*CL184+(1-EXP(-LN(2)/25))/(LN(2)/25)*Calculateur!CG185*Calculateur!CI185*VLOOKUP('Données projet'!$B$12,Paramètres!$A$1:$I$89,3,0)*0.475*44/12</f>
        <v>1.2272694796864663</v>
      </c>
      <c r="CM185" s="21">
        <f>EXP(-LN(2)/2)*CM184+(1-EXP(-LN(2)/2))/(LN(2)/2)*CG185*CJ185*VLOOKUP('Données projet'!$B$12,Paramètres!$A$1:$I$89,3,0)*0.475*44/12</f>
        <v>1.3861675908663877E-17</v>
      </c>
      <c r="CN185" s="22">
        <f t="shared" si="172"/>
        <v>12.807285699448341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-3.979039320256561E-13</v>
      </c>
      <c r="CU185" s="17">
        <f>CT185*VLOOKUP('Données projet'!$B$13,Paramètres!$A$1:$I$89,3,0)*VLOOKUP('Données projet'!$B$13,Paramètres!$A$1:$I$89,5,0)</f>
        <v>-2.379465513513424E-13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213.18424462765137</v>
      </c>
      <c r="CZ185" s="59">
        <f t="shared" si="150"/>
        <v>158.77848520346532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18.869374693893977</v>
      </c>
      <c r="DG185" s="21">
        <f>EXP(-LN(2)/25)*DG184+(1-EXP(-LN(2)/25))/(LN(2)/25)*Calculateur!DB185*Calculateur!DD185*VLOOKUP('Données projet'!$B$13,Paramètres!$A$1:$I$89,3,0)*0.475*44/12</f>
        <v>2.0230468860757691</v>
      </c>
      <c r="DH185" s="21">
        <f>EXP(-LN(2)/2)*DH184+(1-EXP(-LN(2)/2))/(LN(2)/2)*DB185*DE185*VLOOKUP('Données projet'!$B$13,Paramètres!$A$1:$I$89,3,0)*0.475*44/12</f>
        <v>1.6058897792381774E-14</v>
      </c>
      <c r="DI185" s="22">
        <f t="shared" si="175"/>
        <v>20.892421579969763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1.1368683772161603E-12</v>
      </c>
      <c r="O186" s="13">
        <f>N186*VLOOKUP('Données projet'!$B$9,Paramètres!$A$1:$I$89,3,0)*VLOOKUP('Données projet'!$B$9,Paramètres!$A$1:$I$89,5,0)</f>
        <v>5.3205440053716299E-13</v>
      </c>
      <c r="P186" s="13">
        <f t="shared" si="141"/>
        <v>6.579711042921201E-12</v>
      </c>
      <c r="Q186" s="20">
        <f t="shared" si="162"/>
        <v>1.2386324814023317E-11</v>
      </c>
      <c r="R186" s="59">
        <f t="shared" si="109"/>
        <v>293.33333333334571</v>
      </c>
      <c r="S186" s="59">
        <f ca="1">AVERAGE(OFFSET($R$3,0,0,'Données projet'!$E$9+1,1))-AVERAGE(OFFSET($H$3,0,0,'Données projet'!$E$9+1,1))</f>
        <v>181.79645720099597</v>
      </c>
      <c r="T186" s="59">
        <f t="shared" si="142"/>
        <v>120.20040029102233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52.05463079766853</v>
      </c>
      <c r="AA186" s="21">
        <f>EXP(-LN(2)/25)*AA185+(1-EXP(-LN(2)/25))/(LN(2)/25)*Calculateur!V186*Calculateur!X186*VLOOKUP('Données projet'!$B$9,Paramètres!$A$1:$I$89,3,0)*0.475*44/12</f>
        <v>8.2339903082198127</v>
      </c>
      <c r="AB186" s="21">
        <f>EXP(-LN(2)/2)*AB185+(1-EXP(-LN(2)/2))/(LN(2)/2)*V186*Y186*VLOOKUP('Données projet'!$B$9,Paramètres!$A$1:$I$89,3,0)*0.475*44/12</f>
        <v>2.773726406906587E-7</v>
      </c>
      <c r="AC186" s="22">
        <f t="shared" si="163"/>
        <v>60.288621383260981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253.62342381933348</v>
      </c>
      <c r="AO186" s="59">
        <f t="shared" si="144"/>
        <v>230.93438491775407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22.454686696969542</v>
      </c>
      <c r="AV186" s="21">
        <f>EXP(-LN(2)/25)*AV185+(1-EXP(-LN(2)/25))/(LN(2)/25)*Calculateur!AQ186*Calculateur!AS186*VLOOKUP('Données projet'!$B$10,Paramètres!$A$1:$I$89,3,0)*0.475*44/12</f>
        <v>2.4168999564853637</v>
      </c>
      <c r="AW186" s="21">
        <f>EXP(-LN(2)/2)*AW185+(1-EXP(-LN(2)/2))/(LN(2)/2)*AQ186*AT186*VLOOKUP('Données projet'!$B$10,Paramètres!$A$1:$I$89,3,0)*0.475*44/12</f>
        <v>3.9087804862394714E-16</v>
      </c>
      <c r="AX186" s="21">
        <f t="shared" si="166"/>
        <v>24.871586653454905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-5.6843418860808015E-14</v>
      </c>
      <c r="BE186" s="13">
        <f>BD186*VLOOKUP('Données projet'!$B$11,Paramètres!$A$1:$I$89,3,0)*VLOOKUP('Données projet'!$B$11,Paramètres!$A$1:$I$89,5,0)</f>
        <v>-3.3992364478763198E-14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199.27781324660782</v>
      </c>
      <c r="BJ186" s="59">
        <f t="shared" si="146"/>
        <v>199.82499536488524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11.352939164715382</v>
      </c>
      <c r="BQ186" s="21">
        <f>EXP(-LN(2)/25)*BQ185+(1-EXP(-LN(2)/25))/(LN(2)/25)*Calculateur!BL186*Calculateur!BN186*VLOOKUP('Données projet'!$B$11,Paramètres!$A$1:$I$89,3,0)*0.475*44/12</f>
        <v>1.1944892461522429</v>
      </c>
      <c r="BR186" s="21">
        <f>EXP(-LN(2)/2)*BR185+(1-EXP(-LN(2)/2))/(LN(2)/2)*BL186*BO186*VLOOKUP('Données projet'!$B$11,Paramètres!$A$1:$I$89,3,0)*0.475*44/12</f>
        <v>9.8016784890029644E-18</v>
      </c>
      <c r="BS186" s="22">
        <f t="shared" si="169"/>
        <v>12.547428410867624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-2.8421709430404007E-13</v>
      </c>
      <c r="BZ186" s="13">
        <f>BY186*VLOOKUP('Données projet'!$B$12,Paramètres!$A$1:$I$89,3,0)*VLOOKUP('Données projet'!$B$12,Paramètres!$A$1:$I$89,5,0)</f>
        <v>-1.69961822393816E-13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199.27781323742636</v>
      </c>
      <c r="CE186" s="59">
        <f t="shared" si="148"/>
        <v>199.82499536063892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11.352939164804814</v>
      </c>
      <c r="CL186" s="21">
        <f>EXP(-LN(2)/25)*CL185+(1-EXP(-LN(2)/25))/(LN(2)/25)*Calculateur!CG186*Calculateur!CI186*VLOOKUP('Données projet'!$B$12,Paramètres!$A$1:$I$89,3,0)*0.475*44/12</f>
        <v>1.1937097312251428</v>
      </c>
      <c r="CM186" s="21">
        <f>EXP(-LN(2)/2)*CM185+(1-EXP(-LN(2)/2))/(LN(2)/2)*CG186*CJ186*VLOOKUP('Données projet'!$B$12,Paramètres!$A$1:$I$89,3,0)*0.475*44/12</f>
        <v>9.801685033626426E-18</v>
      </c>
      <c r="CN186" s="22">
        <f t="shared" si="172"/>
        <v>12.546648896029957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-3.979039320256561E-13</v>
      </c>
      <c r="CU186" s="17">
        <f>CT186*VLOOKUP('Données projet'!$B$13,Paramètres!$A$1:$I$89,3,0)*VLOOKUP('Données projet'!$B$13,Paramètres!$A$1:$I$89,5,0)</f>
        <v>-2.379465513513424E-13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213.18424462765137</v>
      </c>
      <c r="CZ186" s="59">
        <f t="shared" si="150"/>
        <v>158.77848520346532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18.499357765328842</v>
      </c>
      <c r="DG186" s="21">
        <f>EXP(-LN(2)/25)*DG185+(1-EXP(-LN(2)/25))/(LN(2)/25)*Calculateur!DB186*Calculateur!DD186*VLOOKUP('Données projet'!$B$13,Paramètres!$A$1:$I$89,3,0)*0.475*44/12</f>
        <v>1.9677265625886151</v>
      </c>
      <c r="DH186" s="21">
        <f>EXP(-LN(2)/2)*DH185+(1-EXP(-LN(2)/2))/(LN(2)/2)*DB186*DE186*VLOOKUP('Données projet'!$B$13,Paramètres!$A$1:$I$89,3,0)*0.475*44/12</f>
        <v>1.135535552737483E-14</v>
      </c>
      <c r="DI186" s="22">
        <f t="shared" si="175"/>
        <v>20.467084327917469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1.1368683772161603E-12</v>
      </c>
      <c r="O187" s="13">
        <f>N187*VLOOKUP('Données projet'!$B$9,Paramètres!$A$1:$I$89,3,0)*VLOOKUP('Données projet'!$B$9,Paramètres!$A$1:$I$89,5,0)</f>
        <v>5.3205440053716299E-13</v>
      </c>
      <c r="P187" s="13">
        <f t="shared" si="141"/>
        <v>6.579711042921201E-12</v>
      </c>
      <c r="Q187" s="20">
        <f t="shared" si="162"/>
        <v>1.2386324814023317E-11</v>
      </c>
      <c r="R187" s="59">
        <f t="shared" si="109"/>
        <v>293.33333333334571</v>
      </c>
      <c r="S187" s="59">
        <f ca="1">AVERAGE(OFFSET($R$3,0,0,'Données projet'!$E$9+1,1))-AVERAGE(OFFSET($H$3,0,0,'Données projet'!$E$9+1,1))</f>
        <v>181.79645720099597</v>
      </c>
      <c r="T187" s="59">
        <f t="shared" si="142"/>
        <v>120.20040029102233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51.033871237915967</v>
      </c>
      <c r="AA187" s="21">
        <f>EXP(-LN(2)/25)*AA186+(1-EXP(-LN(2)/25))/(LN(2)/25)*Calculateur!V187*Calculateur!X187*VLOOKUP('Données projet'!$B$9,Paramètres!$A$1:$I$89,3,0)*0.475*44/12</f>
        <v>8.0088314102348104</v>
      </c>
      <c r="AB187" s="21">
        <f>EXP(-LN(2)/2)*AB186+(1-EXP(-LN(2)/2))/(LN(2)/2)*V187*Y187*VLOOKUP('Données projet'!$B$9,Paramètres!$A$1:$I$89,3,0)*0.475*44/12</f>
        <v>1.9613207514798447E-7</v>
      </c>
      <c r="AC187" s="22">
        <f t="shared" si="163"/>
        <v>59.042702844282857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253.62342381933348</v>
      </c>
      <c r="AO187" s="59">
        <f t="shared" si="144"/>
        <v>230.93438491775407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22.014363986848487</v>
      </c>
      <c r="AV187" s="21">
        <f>EXP(-LN(2)/25)*AV186+(1-EXP(-LN(2)/25))/(LN(2)/25)*Calculateur!AQ187*Calculateur!AS187*VLOOKUP('Données projet'!$B$10,Paramètres!$A$1:$I$89,3,0)*0.475*44/12</f>
        <v>2.3508097000760264</v>
      </c>
      <c r="AW187" s="21">
        <f>EXP(-LN(2)/2)*AW186+(1-EXP(-LN(2)/2))/(LN(2)/2)*AQ187*AT187*VLOOKUP('Données projet'!$B$10,Paramètres!$A$1:$I$89,3,0)*0.475*44/12</f>
        <v>2.7639251879895807E-16</v>
      </c>
      <c r="AX187" s="21">
        <f t="shared" si="166"/>
        <v>24.365173686924514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-5.6843418860808015E-14</v>
      </c>
      <c r="BE187" s="13">
        <f>BD187*VLOOKUP('Données projet'!$B$11,Paramètres!$A$1:$I$89,3,0)*VLOOKUP('Données projet'!$B$11,Paramètres!$A$1:$I$89,5,0)</f>
        <v>-3.3992364478763198E-14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199.27781324660782</v>
      </c>
      <c r="BJ187" s="59">
        <f t="shared" si="146"/>
        <v>199.82499536488524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11.130314952304456</v>
      </c>
      <c r="BQ187" s="21">
        <f>EXP(-LN(2)/25)*BQ186+(1-EXP(-LN(2)/25))/(LN(2)/25)*Calculateur!BL187*Calculateur!BN187*VLOOKUP('Données projet'!$B$11,Paramètres!$A$1:$I$89,3,0)*0.475*44/12</f>
        <v>1.1618258749007504</v>
      </c>
      <c r="BR187" s="21">
        <f>EXP(-LN(2)/2)*BR186+(1-EXP(-LN(2)/2))/(LN(2)/2)*BL187*BO187*VLOOKUP('Données projet'!$B$11,Paramètres!$A$1:$I$89,3,0)*0.475*44/12</f>
        <v>6.9308333265843096E-18</v>
      </c>
      <c r="BS187" s="22">
        <f t="shared" si="169"/>
        <v>12.292140827205206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-2.8421709430404007E-13</v>
      </c>
      <c r="BZ187" s="13">
        <f>BY187*VLOOKUP('Données projet'!$B$12,Paramètres!$A$1:$I$89,3,0)*VLOOKUP('Données projet'!$B$12,Paramètres!$A$1:$I$89,5,0)</f>
        <v>-1.69961822393816E-13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199.27781323742636</v>
      </c>
      <c r="CE187" s="59">
        <f t="shared" si="148"/>
        <v>199.82499536063892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11.130314952392133</v>
      </c>
      <c r="CL187" s="21">
        <f>EXP(-LN(2)/25)*CL186+(1-EXP(-LN(2)/25))/(LN(2)/25)*Calculateur!CG187*Calculateur!CI187*VLOOKUP('Données projet'!$B$12,Paramètres!$A$1:$I$89,3,0)*0.475*44/12</f>
        <v>1.1610676758503247</v>
      </c>
      <c r="CM187" s="21">
        <f>EXP(-LN(2)/2)*CM186+(1-EXP(-LN(2)/2))/(LN(2)/2)*CG187*CJ187*VLOOKUP('Données projet'!$B$12,Paramètres!$A$1:$I$89,3,0)*0.475*44/12</f>
        <v>6.9308379543319394E-18</v>
      </c>
      <c r="CN187" s="22">
        <f t="shared" si="172"/>
        <v>12.291382628242458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-3.979039320256561E-13</v>
      </c>
      <c r="CU187" s="17">
        <f>CT187*VLOOKUP('Données projet'!$B$13,Paramètres!$A$1:$I$89,3,0)*VLOOKUP('Données projet'!$B$13,Paramètres!$A$1:$I$89,5,0)</f>
        <v>-2.379465513513424E-13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213.18424462765137</v>
      </c>
      <c r="CZ187" s="59">
        <f t="shared" si="150"/>
        <v>158.77848520346532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18.136596643044829</v>
      </c>
      <c r="DG187" s="21">
        <f>EXP(-LN(2)/25)*DG186+(1-EXP(-LN(2)/25))/(LN(2)/25)*Calculateur!DB187*Calculateur!DD187*VLOOKUP('Données projet'!$B$13,Paramètres!$A$1:$I$89,3,0)*0.475*44/12</f>
        <v>1.9139189762563869</v>
      </c>
      <c r="DH187" s="21">
        <f>EXP(-LN(2)/2)*DH186+(1-EXP(-LN(2)/2))/(LN(2)/2)*DB187*DE187*VLOOKUP('Données projet'!$B$13,Paramètres!$A$1:$I$89,3,0)*0.475*44/12</f>
        <v>8.0294488961908871E-15</v>
      </c>
      <c r="DI187" s="22">
        <f t="shared" si="175"/>
        <v>20.050515619301223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1.1368683772161603E-12</v>
      </c>
      <c r="O188" s="13">
        <f>N188*VLOOKUP('Données projet'!$B$9,Paramètres!$A$1:$I$89,3,0)*VLOOKUP('Données projet'!$B$9,Paramètres!$A$1:$I$89,5,0)</f>
        <v>5.3205440053716299E-13</v>
      </c>
      <c r="P188" s="13">
        <f t="shared" si="141"/>
        <v>6.579711042921201E-12</v>
      </c>
      <c r="Q188" s="20">
        <f t="shared" si="162"/>
        <v>1.2386324814023317E-11</v>
      </c>
      <c r="R188" s="59">
        <f t="shared" si="109"/>
        <v>293.33333333334571</v>
      </c>
      <c r="S188" s="59">
        <f ca="1">AVERAGE(OFFSET($R$3,0,0,'Données projet'!$E$9+1,1))-AVERAGE(OFFSET($H$3,0,0,'Données projet'!$E$9+1,1))</f>
        <v>181.79645720099597</v>
      </c>
      <c r="T188" s="59">
        <f t="shared" si="142"/>
        <v>120.20040029102233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50.033128150528299</v>
      </c>
      <c r="AA188" s="21">
        <f>EXP(-LN(2)/25)*AA187+(1-EXP(-LN(2)/25))/(LN(2)/25)*Calculateur!V188*Calculateur!X188*VLOOKUP('Données projet'!$B$9,Paramètres!$A$1:$I$89,3,0)*0.475*44/12</f>
        <v>7.7898294941557999</v>
      </c>
      <c r="AB188" s="21">
        <f>EXP(-LN(2)/2)*AB187+(1-EXP(-LN(2)/2))/(LN(2)/2)*V188*Y188*VLOOKUP('Données projet'!$B$9,Paramètres!$A$1:$I$89,3,0)*0.475*44/12</f>
        <v>1.3868632034532935E-7</v>
      </c>
      <c r="AC188" s="22">
        <f t="shared" si="163"/>
        <v>57.822957783370413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253.62342381933348</v>
      </c>
      <c r="AO188" s="59">
        <f t="shared" si="144"/>
        <v>230.93438491775407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21.582675736502569</v>
      </c>
      <c r="AV188" s="21">
        <f>EXP(-LN(2)/25)*AV187+(1-EXP(-LN(2)/25))/(LN(2)/25)*Calculateur!AQ188*Calculateur!AS188*VLOOKUP('Données projet'!$B$10,Paramètres!$A$1:$I$89,3,0)*0.475*44/12</f>
        <v>2.286526685203738</v>
      </c>
      <c r="AW188" s="21">
        <f>EXP(-LN(2)/2)*AW187+(1-EXP(-LN(2)/2))/(LN(2)/2)*AQ188*AT188*VLOOKUP('Données projet'!$B$10,Paramètres!$A$1:$I$89,3,0)*0.475*44/12</f>
        <v>1.9543902431197357E-16</v>
      </c>
      <c r="AX188" s="21">
        <f t="shared" si="166"/>
        <v>23.869202421706309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-5.6843418860808015E-14</v>
      </c>
      <c r="BE188" s="13">
        <f>BD188*VLOOKUP('Données projet'!$B$11,Paramètres!$A$1:$I$89,3,0)*VLOOKUP('Données projet'!$B$11,Paramètres!$A$1:$I$89,5,0)</f>
        <v>-3.3992364478763198E-14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199.27781324660782</v>
      </c>
      <c r="BJ188" s="59">
        <f t="shared" si="146"/>
        <v>199.82499536488524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10.912056264911547</v>
      </c>
      <c r="BQ188" s="21">
        <f>EXP(-LN(2)/25)*BQ187+(1-EXP(-LN(2)/25))/(LN(2)/25)*Calculateur!BL188*Calculateur!BN188*VLOOKUP('Données projet'!$B$11,Paramètres!$A$1:$I$89,3,0)*0.475*44/12</f>
        <v>1.1300556852538219</v>
      </c>
      <c r="BR188" s="21">
        <f>EXP(-LN(2)/2)*BR187+(1-EXP(-LN(2)/2))/(LN(2)/2)*BL188*BO188*VLOOKUP('Données projet'!$B$11,Paramètres!$A$1:$I$89,3,0)*0.475*44/12</f>
        <v>4.900839244501483E-18</v>
      </c>
      <c r="BS188" s="22">
        <f t="shared" si="169"/>
        <v>12.042111950165369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-2.8421709430404007E-13</v>
      </c>
      <c r="BZ188" s="13">
        <f>BY188*VLOOKUP('Données projet'!$B$12,Paramètres!$A$1:$I$89,3,0)*VLOOKUP('Données projet'!$B$12,Paramètres!$A$1:$I$89,5,0)</f>
        <v>-1.69961822393816E-13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199.27781323742636</v>
      </c>
      <c r="CE188" s="59">
        <f t="shared" si="148"/>
        <v>199.82499536063892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10.912056264997505</v>
      </c>
      <c r="CL188" s="21">
        <f>EXP(-LN(2)/25)*CL187+(1-EXP(-LN(2)/25))/(LN(2)/25)*Calculateur!CG188*Calculateur!CI188*VLOOKUP('Données projet'!$B$12,Paramètres!$A$1:$I$89,3,0)*0.475*44/12</f>
        <v>1.129318219196302</v>
      </c>
      <c r="CM188" s="21">
        <f>EXP(-LN(2)/2)*CM187+(1-EXP(-LN(2)/2))/(LN(2)/2)*CG188*CJ188*VLOOKUP('Données projet'!$B$12,Paramètres!$A$1:$I$89,3,0)*0.475*44/12</f>
        <v>4.9008425168132138E-18</v>
      </c>
      <c r="CN188" s="22">
        <f t="shared" si="172"/>
        <v>12.041374484193806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-3.979039320256561E-13</v>
      </c>
      <c r="CU188" s="17">
        <f>CT188*VLOOKUP('Données projet'!$B$13,Paramètres!$A$1:$I$89,3,0)*VLOOKUP('Données projet'!$B$13,Paramètres!$A$1:$I$89,5,0)</f>
        <v>-2.379465513513424E-13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213.18424462765137</v>
      </c>
      <c r="CZ188" s="59">
        <f t="shared" si="150"/>
        <v>158.77848520346532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17.780949045106368</v>
      </c>
      <c r="DG188" s="21">
        <f>EXP(-LN(2)/25)*DG187+(1-EXP(-LN(2)/25))/(LN(2)/25)*Calculateur!DB188*Calculateur!DD188*VLOOKUP('Données projet'!$B$13,Paramètres!$A$1:$I$89,3,0)*0.475*44/12</f>
        <v>1.8615827612020313</v>
      </c>
      <c r="DH188" s="21">
        <f>EXP(-LN(2)/2)*DH187+(1-EXP(-LN(2)/2))/(LN(2)/2)*DB188*DE188*VLOOKUP('Données projet'!$B$13,Paramètres!$A$1:$I$89,3,0)*0.475*44/12</f>
        <v>5.6776777636874151E-15</v>
      </c>
      <c r="DI188" s="22">
        <f t="shared" si="175"/>
        <v>19.642531806308405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1.1368683772161603E-12</v>
      </c>
      <c r="O189" s="13">
        <f>N189*VLOOKUP('Données projet'!$B$9,Paramètres!$A$1:$I$89,3,0)*VLOOKUP('Données projet'!$B$9,Paramètres!$A$1:$I$89,5,0)</f>
        <v>5.3205440053716299E-13</v>
      </c>
      <c r="P189" s="13">
        <f t="shared" si="141"/>
        <v>6.579711042921201E-12</v>
      </c>
      <c r="Q189" s="20">
        <f t="shared" si="162"/>
        <v>1.2386324814023317E-11</v>
      </c>
      <c r="R189" s="59">
        <f t="shared" si="109"/>
        <v>293.33333333334571</v>
      </c>
      <c r="S189" s="59">
        <f ca="1">AVERAGE(OFFSET($R$3,0,0,'Données projet'!$E$9+1,1))-AVERAGE(OFFSET($H$3,0,0,'Données projet'!$E$9+1,1))</f>
        <v>181.79645720099597</v>
      </c>
      <c r="T189" s="59">
        <f t="shared" si="142"/>
        <v>120.20040029102233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49.052009024691287</v>
      </c>
      <c r="AA189" s="21">
        <f>EXP(-LN(2)/25)*AA188+(1-EXP(-LN(2)/25))/(LN(2)/25)*Calculateur!V189*Calculateur!X189*VLOOKUP('Données projet'!$B$9,Paramètres!$A$1:$I$89,3,0)*0.475*44/12</f>
        <v>7.5768161969887808</v>
      </c>
      <c r="AB189" s="21">
        <f>EXP(-LN(2)/2)*AB188+(1-EXP(-LN(2)/2))/(LN(2)/2)*V189*Y189*VLOOKUP('Données projet'!$B$9,Paramètres!$A$1:$I$89,3,0)*0.475*44/12</f>
        <v>9.8066037573992235E-8</v>
      </c>
      <c r="AC189" s="22">
        <f t="shared" si="163"/>
        <v>56.628825319746106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253.62342381933348</v>
      </c>
      <c r="AO189" s="59">
        <f t="shared" si="144"/>
        <v>230.93438491775407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21.159452629442104</v>
      </c>
      <c r="AV189" s="21">
        <f>EXP(-LN(2)/25)*AV188+(1-EXP(-LN(2)/25))/(LN(2)/25)*Calculateur!AQ189*Calculateur!AS189*VLOOKUP('Données projet'!$B$10,Paramètres!$A$1:$I$89,3,0)*0.475*44/12</f>
        <v>2.2240014927536293</v>
      </c>
      <c r="AW189" s="21">
        <f>EXP(-LN(2)/2)*AW188+(1-EXP(-LN(2)/2))/(LN(2)/2)*AQ189*AT189*VLOOKUP('Données projet'!$B$10,Paramètres!$A$1:$I$89,3,0)*0.475*44/12</f>
        <v>1.3819625939947903E-16</v>
      </c>
      <c r="AX189" s="21">
        <f t="shared" si="166"/>
        <v>23.383454122195733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-5.6843418860808015E-14</v>
      </c>
      <c r="BE189" s="13">
        <f>BD189*VLOOKUP('Données projet'!$B$11,Paramètres!$A$1:$I$89,3,0)*VLOOKUP('Données projet'!$B$11,Paramètres!$A$1:$I$89,5,0)</f>
        <v>-3.3992364478763198E-14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199.27781324660782</v>
      </c>
      <c r="BJ189" s="59">
        <f t="shared" si="146"/>
        <v>199.82499536488524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10.698077497253758</v>
      </c>
      <c r="BQ189" s="21">
        <f>EXP(-LN(2)/25)*BQ188+(1-EXP(-LN(2)/25))/(LN(2)/25)*Calculateur!BL189*Calculateur!BN189*VLOOKUP('Données projet'!$B$11,Paramètres!$A$1:$I$89,3,0)*0.475*44/12</f>
        <v>1.0991542531135106</v>
      </c>
      <c r="BR189" s="21">
        <f>EXP(-LN(2)/2)*BR188+(1-EXP(-LN(2)/2))/(LN(2)/2)*BL189*BO189*VLOOKUP('Données projet'!$B$11,Paramètres!$A$1:$I$89,3,0)*0.475*44/12</f>
        <v>3.4654166632921552E-18</v>
      </c>
      <c r="BS189" s="22">
        <f t="shared" si="169"/>
        <v>11.797231750367269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-2.8421709430404007E-13</v>
      </c>
      <c r="BZ189" s="13">
        <f>BY189*VLOOKUP('Données projet'!$B$12,Paramètres!$A$1:$I$89,3,0)*VLOOKUP('Données projet'!$B$12,Paramètres!$A$1:$I$89,5,0)</f>
        <v>-1.69961822393816E-13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199.27781323742636</v>
      </c>
      <c r="CE189" s="59">
        <f t="shared" si="148"/>
        <v>199.82499536063892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10.69807749733803</v>
      </c>
      <c r="CL189" s="21">
        <f>EXP(-LN(2)/25)*CL188+(1-EXP(-LN(2)/25))/(LN(2)/25)*Calculateur!CG189*Calculateur!CI189*VLOOKUP('Données projet'!$B$12,Paramètres!$A$1:$I$89,3,0)*0.475*44/12</f>
        <v>1.0984369531041152</v>
      </c>
      <c r="CM189" s="21">
        <f>EXP(-LN(2)/2)*CM188+(1-EXP(-LN(2)/2))/(LN(2)/2)*CG189*CJ189*VLOOKUP('Données projet'!$B$12,Paramètres!$A$1:$I$89,3,0)*0.475*44/12</f>
        <v>3.4654189771659701E-18</v>
      </c>
      <c r="CN189" s="22">
        <f t="shared" si="172"/>
        <v>11.796514450442146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-3.979039320256561E-13</v>
      </c>
      <c r="CU189" s="17">
        <f>CT189*VLOOKUP('Données projet'!$B$13,Paramètres!$A$1:$I$89,3,0)*VLOOKUP('Données projet'!$B$13,Paramètres!$A$1:$I$89,5,0)</f>
        <v>-2.379465513513424E-13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213.18424462765137</v>
      </c>
      <c r="CZ189" s="59">
        <f t="shared" si="150"/>
        <v>158.77848520346532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17.432275479639866</v>
      </c>
      <c r="DG189" s="21">
        <f>EXP(-LN(2)/25)*DG188+(1-EXP(-LN(2)/25))/(LN(2)/25)*Calculateur!DB189*Calculateur!DD189*VLOOKUP('Données projet'!$B$13,Paramètres!$A$1:$I$89,3,0)*0.475*44/12</f>
        <v>1.810677682700579</v>
      </c>
      <c r="DH189" s="21">
        <f>EXP(-LN(2)/2)*DH188+(1-EXP(-LN(2)/2))/(LN(2)/2)*DB189*DE189*VLOOKUP('Données projet'!$B$13,Paramètres!$A$1:$I$89,3,0)*0.475*44/12</f>
        <v>4.0147244480954435E-15</v>
      </c>
      <c r="DI189" s="22">
        <f t="shared" si="175"/>
        <v>19.242953162340449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1.1368683772161603E-12</v>
      </c>
      <c r="O190" s="13">
        <f>N190*VLOOKUP('Données projet'!$B$9,Paramètres!$A$1:$I$89,3,0)*VLOOKUP('Données projet'!$B$9,Paramètres!$A$1:$I$89,5,0)</f>
        <v>5.3205440053716299E-13</v>
      </c>
      <c r="P190" s="13">
        <f t="shared" si="141"/>
        <v>6.579711042921201E-12</v>
      </c>
      <c r="Q190" s="20">
        <f t="shared" si="162"/>
        <v>1.2386324814023317E-11</v>
      </c>
      <c r="R190" s="59">
        <f t="shared" si="109"/>
        <v>293.33333333334571</v>
      </c>
      <c r="S190" s="59">
        <f ca="1">AVERAGE(OFFSET($R$3,0,0,'Données projet'!$E$9+1,1))-AVERAGE(OFFSET($H$3,0,0,'Données projet'!$E$9+1,1))</f>
        <v>181.79645720099597</v>
      </c>
      <c r="T190" s="59">
        <f t="shared" si="142"/>
        <v>120.20040029102233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48.090129046488364</v>
      </c>
      <c r="AA190" s="21">
        <f>EXP(-LN(2)/25)*AA189+(1-EXP(-LN(2)/25))/(LN(2)/25)*Calculateur!V190*Calculateur!X190*VLOOKUP('Données projet'!$B$9,Paramètres!$A$1:$I$89,3,0)*0.475*44/12</f>
        <v>7.3696277596346755</v>
      </c>
      <c r="AB190" s="21">
        <f>EXP(-LN(2)/2)*AB189+(1-EXP(-LN(2)/2))/(LN(2)/2)*V190*Y190*VLOOKUP('Données projet'!$B$9,Paramètres!$A$1:$I$89,3,0)*0.475*44/12</f>
        <v>6.9343160172664674E-8</v>
      </c>
      <c r="AC190" s="22">
        <f t="shared" si="163"/>
        <v>55.459756875466198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253.62342381933348</v>
      </c>
      <c r="AO190" s="59">
        <f t="shared" si="144"/>
        <v>230.93438491775407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20.744528669370489</v>
      </c>
      <c r="AV190" s="21">
        <f>EXP(-LN(2)/25)*AV189+(1-EXP(-LN(2)/25))/(LN(2)/25)*Calculateur!AQ190*Calculateur!AS190*VLOOKUP('Données projet'!$B$10,Paramètres!$A$1:$I$89,3,0)*0.475*44/12</f>
        <v>2.1631860549791257</v>
      </c>
      <c r="AW190" s="21">
        <f>EXP(-LN(2)/2)*AW189+(1-EXP(-LN(2)/2))/(LN(2)/2)*AQ190*AT190*VLOOKUP('Données projet'!$B$10,Paramètres!$A$1:$I$89,3,0)*0.475*44/12</f>
        <v>9.7719512155986784E-17</v>
      </c>
      <c r="AX190" s="21">
        <f t="shared" si="166"/>
        <v>22.907714724349614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-5.6843418860808015E-14</v>
      </c>
      <c r="BE190" s="13">
        <f>BD190*VLOOKUP('Données projet'!$B$11,Paramètres!$A$1:$I$89,3,0)*VLOOKUP('Données projet'!$B$11,Paramètres!$A$1:$I$89,5,0)</f>
        <v>-3.3992364478763198E-14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199.27781324660782</v>
      </c>
      <c r="BJ190" s="59">
        <f t="shared" si="146"/>
        <v>199.82499536488524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10.488294722715576</v>
      </c>
      <c r="BQ190" s="21">
        <f>EXP(-LN(2)/25)*BQ189+(1-EXP(-LN(2)/25))/(LN(2)/25)*Calculateur!BL190*Calculateur!BN190*VLOOKUP('Données projet'!$B$11,Paramètres!$A$1:$I$89,3,0)*0.475*44/12</f>
        <v>1.0690978222601115</v>
      </c>
      <c r="BR190" s="21">
        <f>EXP(-LN(2)/2)*BR189+(1-EXP(-LN(2)/2))/(LN(2)/2)*BL190*BO190*VLOOKUP('Données projet'!$B$11,Paramètres!$A$1:$I$89,3,0)*0.475*44/12</f>
        <v>2.4504196222507419E-18</v>
      </c>
      <c r="BS190" s="22">
        <f t="shared" si="169"/>
        <v>11.557392544975688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-2.8421709430404007E-13</v>
      </c>
      <c r="BZ190" s="13">
        <f>BY190*VLOOKUP('Données projet'!$B$12,Paramètres!$A$1:$I$89,3,0)*VLOOKUP('Données projet'!$B$12,Paramètres!$A$1:$I$89,5,0)</f>
        <v>-1.69961822393816E-13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199.27781323742636</v>
      </c>
      <c r="CE190" s="59">
        <f t="shared" si="148"/>
        <v>199.82499536063892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10.488294722798196</v>
      </c>
      <c r="CL190" s="21">
        <f>EXP(-LN(2)/25)*CL189+(1-EXP(-LN(2)/25))/(LN(2)/25)*Calculateur!CG190*Calculateur!CI190*VLOOKUP('Données projet'!$B$12,Paramètres!$A$1:$I$89,3,0)*0.475*44/12</f>
        <v>1.0684001368571943</v>
      </c>
      <c r="CM190" s="21">
        <f>EXP(-LN(2)/2)*CM189+(1-EXP(-LN(2)/2))/(LN(2)/2)*CG190*CJ190*VLOOKUP('Données projet'!$B$12,Paramètres!$A$1:$I$89,3,0)*0.475*44/12</f>
        <v>2.4504212584066073E-18</v>
      </c>
      <c r="CN190" s="22">
        <f t="shared" si="172"/>
        <v>11.556694859655391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-3.979039320256561E-13</v>
      </c>
      <c r="CU190" s="17">
        <f>CT190*VLOOKUP('Données projet'!$B$13,Paramètres!$A$1:$I$89,3,0)*VLOOKUP('Données projet'!$B$13,Paramètres!$A$1:$I$89,5,0)</f>
        <v>-2.379465513513424E-13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213.18424462765137</v>
      </c>
      <c r="CZ190" s="59">
        <f t="shared" si="150"/>
        <v>158.77848520346532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17.090439190122286</v>
      </c>
      <c r="DG190" s="21">
        <f>EXP(-LN(2)/25)*DG189+(1-EXP(-LN(2)/25))/(LN(2)/25)*Calculateur!DB190*Calculateur!DD190*VLOOKUP('Données projet'!$B$13,Paramètres!$A$1:$I$89,3,0)*0.475*44/12</f>
        <v>1.7611646062477306</v>
      </c>
      <c r="DH190" s="21">
        <f>EXP(-LN(2)/2)*DH189+(1-EXP(-LN(2)/2))/(LN(2)/2)*DB190*DE190*VLOOKUP('Données projet'!$B$13,Paramètres!$A$1:$I$89,3,0)*0.475*44/12</f>
        <v>2.8388388818437076E-15</v>
      </c>
      <c r="DI190" s="22">
        <f t="shared" si="175"/>
        <v>18.851603796370021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1.1368683772161603E-12</v>
      </c>
      <c r="O191" s="13">
        <f>N191*VLOOKUP('Données projet'!$B$9,Paramètres!$A$1:$I$89,3,0)*VLOOKUP('Données projet'!$B$9,Paramètres!$A$1:$I$89,5,0)</f>
        <v>5.3205440053716299E-13</v>
      </c>
      <c r="P191" s="13">
        <f t="shared" si="141"/>
        <v>6.579711042921201E-12</v>
      </c>
      <c r="Q191" s="20">
        <f t="shared" si="162"/>
        <v>1.2386324814023317E-11</v>
      </c>
      <c r="R191" s="59">
        <f t="shared" si="109"/>
        <v>293.33333333334571</v>
      </c>
      <c r="S191" s="59">
        <f ca="1">AVERAGE(OFFSET($R$3,0,0,'Données projet'!$E$9+1,1))-AVERAGE(OFFSET($H$3,0,0,'Données projet'!$E$9+1,1))</f>
        <v>181.79645720099597</v>
      </c>
      <c r="T191" s="59">
        <f t="shared" si="142"/>
        <v>120.20040029102233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47.147110947969146</v>
      </c>
      <c r="AA191" s="21">
        <f>EXP(-LN(2)/25)*AA190+(1-EXP(-LN(2)/25))/(LN(2)/25)*Calculateur!V191*Calculateur!X191*VLOOKUP('Données projet'!$B$9,Paramètres!$A$1:$I$89,3,0)*0.475*44/12</f>
        <v>7.1681049009955853</v>
      </c>
      <c r="AB191" s="21">
        <f>EXP(-LN(2)/2)*AB190+(1-EXP(-LN(2)/2))/(LN(2)/2)*V191*Y191*VLOOKUP('Données projet'!$B$9,Paramètres!$A$1:$I$89,3,0)*0.475*44/12</f>
        <v>4.9033018786996118E-8</v>
      </c>
      <c r="AC191" s="22">
        <f t="shared" si="163"/>
        <v>54.315215897997753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253.62342381933348</v>
      </c>
      <c r="AO191" s="59">
        <f t="shared" si="144"/>
        <v>230.93438491775407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20.33774111507725</v>
      </c>
      <c r="AV191" s="21">
        <f>EXP(-LN(2)/25)*AV190+(1-EXP(-LN(2)/25))/(LN(2)/25)*Calculateur!AQ191*Calculateur!AS191*VLOOKUP('Données projet'!$B$10,Paramètres!$A$1:$I$89,3,0)*0.475*44/12</f>
        <v>2.1040336185487107</v>
      </c>
      <c r="AW191" s="21">
        <f>EXP(-LN(2)/2)*AW190+(1-EXP(-LN(2)/2))/(LN(2)/2)*AQ191*AT191*VLOOKUP('Données projet'!$B$10,Paramètres!$A$1:$I$89,3,0)*0.475*44/12</f>
        <v>6.9098129699739517E-17</v>
      </c>
      <c r="AX191" s="21">
        <f t="shared" si="166"/>
        <v>22.441774733625962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-5.6843418860808015E-14</v>
      </c>
      <c r="BE191" s="13">
        <f>BD191*VLOOKUP('Données projet'!$B$11,Paramètres!$A$1:$I$89,3,0)*VLOOKUP('Données projet'!$B$11,Paramètres!$A$1:$I$89,5,0)</f>
        <v>-3.3992364478763198E-14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199.27781324660782</v>
      </c>
      <c r="BJ191" s="59">
        <f t="shared" si="146"/>
        <v>199.82499536488524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10.282625660431231</v>
      </c>
      <c r="BQ191" s="21">
        <f>EXP(-LN(2)/25)*BQ190+(1-EXP(-LN(2)/25))/(LN(2)/25)*Calculateur!BL191*Calculateur!BN191*VLOOKUP('Données projet'!$B$11,Paramètres!$A$1:$I$89,3,0)*0.475*44/12</f>
        <v>1.0398632860889978</v>
      </c>
      <c r="BR191" s="21">
        <f>EXP(-LN(2)/2)*BR190+(1-EXP(-LN(2)/2))/(LN(2)/2)*BL191*BO191*VLOOKUP('Données projet'!$B$11,Paramètres!$A$1:$I$89,3,0)*0.475*44/12</f>
        <v>1.7327083316460778E-18</v>
      </c>
      <c r="BS191" s="22">
        <f t="shared" si="169"/>
        <v>11.322488946520229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-2.8421709430404007E-13</v>
      </c>
      <c r="BZ191" s="13">
        <f>BY191*VLOOKUP('Données projet'!$B$12,Paramètres!$A$1:$I$89,3,0)*VLOOKUP('Données projet'!$B$12,Paramètres!$A$1:$I$89,5,0)</f>
        <v>-1.69961822393816E-13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199.27781323742636</v>
      </c>
      <c r="CE191" s="59">
        <f t="shared" si="148"/>
        <v>199.82499536063892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10.282625660512231</v>
      </c>
      <c r="CL191" s="21">
        <f>EXP(-LN(2)/25)*CL190+(1-EXP(-LN(2)/25))/(LN(2)/25)*Calculateur!CG191*Calculateur!CI191*VLOOKUP('Données projet'!$B$12,Paramètres!$A$1:$I$89,3,0)*0.475*44/12</f>
        <v>1.0391846789301129</v>
      </c>
      <c r="CM191" s="21">
        <f>EXP(-LN(2)/2)*CM190+(1-EXP(-LN(2)/2))/(LN(2)/2)*CG191*CJ191*VLOOKUP('Données projet'!$B$12,Paramètres!$A$1:$I$89,3,0)*0.475*44/12</f>
        <v>1.7327094885829854E-18</v>
      </c>
      <c r="CN191" s="22">
        <f t="shared" si="172"/>
        <v>11.321810339442344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-3.979039320256561E-13</v>
      </c>
      <c r="CU191" s="17">
        <f>CT191*VLOOKUP('Données projet'!$B$13,Paramètres!$A$1:$I$89,3,0)*VLOOKUP('Données projet'!$B$13,Paramètres!$A$1:$I$89,5,0)</f>
        <v>-2.379465513513424E-13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213.18424462765137</v>
      </c>
      <c r="CZ191" s="59">
        <f t="shared" si="150"/>
        <v>158.77848520346532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16.755306101742594</v>
      </c>
      <c r="DG191" s="21">
        <f>EXP(-LN(2)/25)*DG190+(1-EXP(-LN(2)/25))/(LN(2)/25)*Calculateur!DB191*Calculateur!DD191*VLOOKUP('Données projet'!$B$13,Paramètres!$A$1:$I$89,3,0)*0.475*44/12</f>
        <v>1.713005467474265</v>
      </c>
      <c r="DH191" s="21">
        <f>EXP(-LN(2)/2)*DH190+(1-EXP(-LN(2)/2))/(LN(2)/2)*DB191*DE191*VLOOKUP('Données projet'!$B$13,Paramètres!$A$1:$I$89,3,0)*0.475*44/12</f>
        <v>2.0073622240477218E-15</v>
      </c>
      <c r="DI191" s="22">
        <f t="shared" si="175"/>
        <v>18.468311569216862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1.1368683772161603E-12</v>
      </c>
      <c r="O192" s="13">
        <f>N192*VLOOKUP('Données projet'!$B$9,Paramètres!$A$1:$I$89,3,0)*VLOOKUP('Données projet'!$B$9,Paramètres!$A$1:$I$89,5,0)</f>
        <v>5.3205440053716299E-13</v>
      </c>
      <c r="P192" s="13">
        <f t="shared" si="141"/>
        <v>6.579711042921201E-12</v>
      </c>
      <c r="Q192" s="20">
        <f t="shared" si="162"/>
        <v>1.2386324814023317E-11</v>
      </c>
      <c r="R192" s="59">
        <f t="shared" si="109"/>
        <v>293.33333333334571</v>
      </c>
      <c r="S192" s="59">
        <f ca="1">AVERAGE(OFFSET($R$3,0,0,'Données projet'!$E$9+1,1))-AVERAGE(OFFSET($H$3,0,0,'Données projet'!$E$9+1,1))</f>
        <v>181.79645720099597</v>
      </c>
      <c r="T192" s="59">
        <f t="shared" si="142"/>
        <v>120.20040029102233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46.222584859177644</v>
      </c>
      <c r="AA192" s="21">
        <f>EXP(-LN(2)/25)*AA191+(1-EXP(-LN(2)/25))/(LN(2)/25)*Calculateur!V192*Calculateur!X192*VLOOKUP('Données projet'!$B$9,Paramètres!$A$1:$I$89,3,0)*0.475*44/12</f>
        <v>6.9720926955236076</v>
      </c>
      <c r="AB192" s="21">
        <f>EXP(-LN(2)/2)*AB191+(1-EXP(-LN(2)/2))/(LN(2)/2)*V192*Y192*VLOOKUP('Données projet'!$B$9,Paramètres!$A$1:$I$89,3,0)*0.475*44/12</f>
        <v>3.4671580086332337E-8</v>
      </c>
      <c r="AC192" s="22">
        <f t="shared" si="163"/>
        <v>53.19467758937283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253.62342381933348</v>
      </c>
      <c r="AO192" s="59">
        <f t="shared" si="144"/>
        <v>230.93438491775407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19.938930416607793</v>
      </c>
      <c r="AV192" s="21">
        <f>EXP(-LN(2)/25)*AV191+(1-EXP(-LN(2)/25))/(LN(2)/25)*Calculateur!AQ192*Calculateur!AS192*VLOOKUP('Données projet'!$B$10,Paramètres!$A$1:$I$89,3,0)*0.475*44/12</f>
        <v>2.0464987086031772</v>
      </c>
      <c r="AW192" s="21">
        <f>EXP(-LN(2)/2)*AW191+(1-EXP(-LN(2)/2))/(LN(2)/2)*AQ192*AT192*VLOOKUP('Données projet'!$B$10,Paramètres!$A$1:$I$89,3,0)*0.475*44/12</f>
        <v>4.8859756077993392E-17</v>
      </c>
      <c r="AX192" s="21">
        <f t="shared" si="166"/>
        <v>21.98542912521097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-5.6843418860808015E-14</v>
      </c>
      <c r="BE192" s="13">
        <f>BD192*VLOOKUP('Données projet'!$B$11,Paramètres!$A$1:$I$89,3,0)*VLOOKUP('Données projet'!$B$11,Paramètres!$A$1:$I$89,5,0)</f>
        <v>-3.3992364478763198E-14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199.27781324660782</v>
      </c>
      <c r="BJ192" s="59">
        <f t="shared" si="146"/>
        <v>199.82499536488524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10.08098964301254</v>
      </c>
      <c r="BQ192" s="21">
        <f>EXP(-LN(2)/25)*BQ191+(1-EXP(-LN(2)/25))/(LN(2)/25)*Calculateur!BL192*Calculateur!BN192*VLOOKUP('Données projet'!$B$11,Paramètres!$A$1:$I$89,3,0)*0.475*44/12</f>
        <v>1.0114281698468606</v>
      </c>
      <c r="BR192" s="21">
        <f>EXP(-LN(2)/2)*BR191+(1-EXP(-LN(2)/2))/(LN(2)/2)*BL192*BO192*VLOOKUP('Données projet'!$B$11,Paramètres!$A$1:$I$89,3,0)*0.475*44/12</f>
        <v>1.2252098111253711E-18</v>
      </c>
      <c r="BS192" s="22">
        <f t="shared" si="169"/>
        <v>11.0924178128594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-2.8421709430404007E-13</v>
      </c>
      <c r="BZ192" s="13">
        <f>BY192*VLOOKUP('Données projet'!$B$12,Paramètres!$A$1:$I$89,3,0)*VLOOKUP('Données projet'!$B$12,Paramètres!$A$1:$I$89,5,0)</f>
        <v>-1.69961822393816E-13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199.27781323742636</v>
      </c>
      <c r="CE192" s="59">
        <f t="shared" si="148"/>
        <v>199.82499536063892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10.080989643091952</v>
      </c>
      <c r="CL192" s="21">
        <f>EXP(-LN(2)/25)*CL191+(1-EXP(-LN(2)/25))/(LN(2)/25)*Calculateur!CG192*Calculateur!CI192*VLOOKUP('Données projet'!$B$12,Paramètres!$A$1:$I$89,3,0)*0.475*44/12</f>
        <v>1.0107681192364217</v>
      </c>
      <c r="CM192" s="21">
        <f>EXP(-LN(2)/2)*CM191+(1-EXP(-LN(2)/2))/(LN(2)/2)*CG192*CJ192*VLOOKUP('Données projet'!$B$12,Paramètres!$A$1:$I$89,3,0)*0.475*44/12</f>
        <v>1.2252106292033038E-18</v>
      </c>
      <c r="CN192" s="22">
        <f t="shared" si="172"/>
        <v>11.091757762328374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-3.979039320256561E-13</v>
      </c>
      <c r="CU192" s="17">
        <f>CT192*VLOOKUP('Données projet'!$B$13,Paramètres!$A$1:$I$89,3,0)*VLOOKUP('Données projet'!$B$13,Paramètres!$A$1:$I$89,5,0)</f>
        <v>-2.379465513513424E-13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213.18424462765137</v>
      </c>
      <c r="CZ192" s="59">
        <f t="shared" si="150"/>
        <v>158.77848520346532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16.426744768815031</v>
      </c>
      <c r="DG192" s="21">
        <f>EXP(-LN(2)/25)*DG191+(1-EXP(-LN(2)/25))/(LN(2)/25)*Calculateur!DB192*Calculateur!DD192*VLOOKUP('Données projet'!$B$13,Paramètres!$A$1:$I$89,3,0)*0.475*44/12</f>
        <v>1.6661632428831388</v>
      </c>
      <c r="DH192" s="21">
        <f>EXP(-LN(2)/2)*DH191+(1-EXP(-LN(2)/2))/(LN(2)/2)*DB192*DE192*VLOOKUP('Données projet'!$B$13,Paramètres!$A$1:$I$89,3,0)*0.475*44/12</f>
        <v>1.4194194409218538E-15</v>
      </c>
      <c r="DI192" s="22">
        <f t="shared" si="175"/>
        <v>18.092908011698171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1.1368683772161603E-12</v>
      </c>
      <c r="O193" s="13">
        <f>N193*VLOOKUP('Données projet'!$B$9,Paramètres!$A$1:$I$89,3,0)*VLOOKUP('Données projet'!$B$9,Paramètres!$A$1:$I$89,5,0)</f>
        <v>5.3205440053716299E-13</v>
      </c>
      <c r="P193" s="13">
        <f t="shared" si="141"/>
        <v>6.579711042921201E-12</v>
      </c>
      <c r="Q193" s="20">
        <f t="shared" si="162"/>
        <v>1.2386324814023317E-11</v>
      </c>
      <c r="R193" s="59">
        <f t="shared" si="109"/>
        <v>293.33333333334571</v>
      </c>
      <c r="S193" s="59">
        <f ca="1">AVERAGE(OFFSET($R$3,0,0,'Données projet'!$E$9+1,1))-AVERAGE(OFFSET($H$3,0,0,'Données projet'!$E$9+1,1))</f>
        <v>181.79645720099597</v>
      </c>
      <c r="T193" s="59">
        <f t="shared" si="142"/>
        <v>120.20040029102233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45.31618816308211</v>
      </c>
      <c r="AA193" s="21">
        <f>EXP(-LN(2)/25)*AA192+(1-EXP(-LN(2)/25))/(LN(2)/25)*Calculateur!V193*Calculateur!X193*VLOOKUP('Données projet'!$B$9,Paramètres!$A$1:$I$89,3,0)*0.475*44/12</f>
        <v>6.7814404541180942</v>
      </c>
      <c r="AB193" s="21">
        <f>EXP(-LN(2)/2)*AB192+(1-EXP(-LN(2)/2))/(LN(2)/2)*V193*Y193*VLOOKUP('Données projet'!$B$9,Paramètres!$A$1:$I$89,3,0)*0.475*44/12</f>
        <v>2.4516509393498059E-8</v>
      </c>
      <c r="AC193" s="22">
        <f t="shared" si="163"/>
        <v>52.09762864171671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253.62342381933348</v>
      </c>
      <c r="AO193" s="59">
        <f t="shared" si="144"/>
        <v>230.93438491775407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19.547940152684816</v>
      </c>
      <c r="AV193" s="21">
        <f>EXP(-LN(2)/25)*AV192+(1-EXP(-LN(2)/25))/(LN(2)/25)*Calculateur!AQ193*Calculateur!AS193*VLOOKUP('Données projet'!$B$10,Paramètres!$A$1:$I$89,3,0)*0.475*44/12</f>
        <v>1.9905370937957336</v>
      </c>
      <c r="AW193" s="21">
        <f>EXP(-LN(2)/2)*AW192+(1-EXP(-LN(2)/2))/(LN(2)/2)*AQ193*AT193*VLOOKUP('Données projet'!$B$10,Paramètres!$A$1:$I$89,3,0)*0.475*44/12</f>
        <v>3.4549064849869759E-17</v>
      </c>
      <c r="AX193" s="21">
        <f t="shared" si="166"/>
        <v>21.53847724648055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-5.6843418860808015E-14</v>
      </c>
      <c r="BE193" s="13">
        <f>BD193*VLOOKUP('Données projet'!$B$11,Paramètres!$A$1:$I$89,3,0)*VLOOKUP('Données projet'!$B$11,Paramètres!$A$1:$I$89,5,0)</f>
        <v>-3.3992364478763198E-14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199.27781324660782</v>
      </c>
      <c r="BJ193" s="59">
        <f t="shared" si="146"/>
        <v>199.82499536488524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9.8833075849096037</v>
      </c>
      <c r="BQ193" s="21">
        <f>EXP(-LN(2)/25)*BQ192+(1-EXP(-LN(2)/25))/(LN(2)/25)*Calculateur!BL193*Calculateur!BN193*VLOOKUP('Données projet'!$B$11,Paramètres!$A$1:$I$89,3,0)*0.475*44/12</f>
        <v>0.98377061335370242</v>
      </c>
      <c r="BR193" s="21">
        <f>EXP(-LN(2)/2)*BR192+(1-EXP(-LN(2)/2))/(LN(2)/2)*BL193*BO193*VLOOKUP('Données projet'!$B$11,Paramètres!$A$1:$I$89,3,0)*0.475*44/12</f>
        <v>8.6635416582303909E-19</v>
      </c>
      <c r="BS193" s="22">
        <f t="shared" si="169"/>
        <v>10.867078198263306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-2.8421709430404007E-13</v>
      </c>
      <c r="BZ193" s="13">
        <f>BY193*VLOOKUP('Données projet'!$B$12,Paramètres!$A$1:$I$89,3,0)*VLOOKUP('Données projet'!$B$12,Paramètres!$A$1:$I$89,5,0)</f>
        <v>-1.69961822393816E-13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199.27781323742636</v>
      </c>
      <c r="CE193" s="59">
        <f t="shared" si="148"/>
        <v>199.82499536063892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9.8833075849874579</v>
      </c>
      <c r="CL193" s="21">
        <f>EXP(-LN(2)/25)*CL192+(1-EXP(-LN(2)/25))/(LN(2)/25)*Calculateur!CG193*Calculateur!CI193*VLOOKUP('Données projet'!$B$12,Paramètres!$A$1:$I$89,3,0)*0.475*44/12</f>
        <v>0.98312861186191658</v>
      </c>
      <c r="CM193" s="21">
        <f>EXP(-LN(2)/2)*CM192+(1-EXP(-LN(2)/2))/(LN(2)/2)*CG193*CJ193*VLOOKUP('Données projet'!$B$12,Paramètres!$A$1:$I$89,3,0)*0.475*44/12</f>
        <v>8.6635474429149281E-19</v>
      </c>
      <c r="CN193" s="22">
        <f t="shared" si="172"/>
        <v>10.866436196849374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-3.979039320256561E-13</v>
      </c>
      <c r="CU193" s="17">
        <f>CT193*VLOOKUP('Données projet'!$B$13,Paramètres!$A$1:$I$89,3,0)*VLOOKUP('Données projet'!$B$13,Paramètres!$A$1:$I$89,5,0)</f>
        <v>-2.379465513513424E-13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213.18424462765137</v>
      </c>
      <c r="CZ193" s="59">
        <f t="shared" si="150"/>
        <v>158.77848520346532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16.104626323223549</v>
      </c>
      <c r="DG193" s="21">
        <f>EXP(-LN(2)/25)*DG192+(1-EXP(-LN(2)/25))/(LN(2)/25)*Calculateur!DB193*Calculateur!DD193*VLOOKUP('Données projet'!$B$13,Paramètres!$A$1:$I$89,3,0)*0.475*44/12</f>
        <v>1.6206019213867824</v>
      </c>
      <c r="DH193" s="21">
        <f>EXP(-LN(2)/2)*DH192+(1-EXP(-LN(2)/2))/(LN(2)/2)*DB193*DE193*VLOOKUP('Données projet'!$B$13,Paramètres!$A$1:$I$89,3,0)*0.475*44/12</f>
        <v>1.0036811120238609E-15</v>
      </c>
      <c r="DI193" s="22">
        <f t="shared" si="175"/>
        <v>17.725228244610332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1.1368683772161603E-12</v>
      </c>
      <c r="O194" s="13">
        <f>N194*VLOOKUP('Données projet'!$B$9,Paramètres!$A$1:$I$89,3,0)*VLOOKUP('Données projet'!$B$9,Paramètres!$A$1:$I$89,5,0)</f>
        <v>5.3205440053716299E-13</v>
      </c>
      <c r="P194" s="13">
        <f t="shared" si="141"/>
        <v>6.579711042921201E-12</v>
      </c>
      <c r="Q194" s="20">
        <f t="shared" si="162"/>
        <v>1.2386324814023317E-11</v>
      </c>
      <c r="R194" s="59">
        <f t="shared" si="109"/>
        <v>293.33333333334571</v>
      </c>
      <c r="S194" s="59">
        <f ca="1">AVERAGE(OFFSET($R$3,0,0,'Données projet'!$E$9+1,1))-AVERAGE(OFFSET($H$3,0,0,'Données projet'!$E$9+1,1))</f>
        <v>181.79645720099597</v>
      </c>
      <c r="T194" s="59">
        <f t="shared" si="142"/>
        <v>120.20040029102233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44.427565353349614</v>
      </c>
      <c r="AA194" s="21">
        <f>EXP(-LN(2)/25)*AA193+(1-EXP(-LN(2)/25))/(LN(2)/25)*Calculateur!V194*Calculateur!X194*VLOOKUP('Données projet'!$B$9,Paramètres!$A$1:$I$89,3,0)*0.475*44/12</f>
        <v>6.5960016082797805</v>
      </c>
      <c r="AB194" s="21">
        <f>EXP(-LN(2)/2)*AB193+(1-EXP(-LN(2)/2))/(LN(2)/2)*V194*Y194*VLOOKUP('Données projet'!$B$9,Paramètres!$A$1:$I$89,3,0)*0.475*44/12</f>
        <v>1.7335790043166169E-8</v>
      </c>
      <c r="AC194" s="22">
        <f t="shared" si="163"/>
        <v>51.023566978965185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253.62342381933348</v>
      </c>
      <c r="AO194" s="59">
        <f t="shared" si="144"/>
        <v>230.93438491775407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19.164616969356857</v>
      </c>
      <c r="AV194" s="21">
        <f>EXP(-LN(2)/25)*AV193+(1-EXP(-LN(2)/25))/(LN(2)/25)*Calculateur!AQ194*Calculateur!AS194*VLOOKUP('Données projet'!$B$10,Paramètres!$A$1:$I$89,3,0)*0.475*44/12</f>
        <v>1.9361057522880929</v>
      </c>
      <c r="AW194" s="21">
        <f>EXP(-LN(2)/2)*AW193+(1-EXP(-LN(2)/2))/(LN(2)/2)*AQ194*AT194*VLOOKUP('Données projet'!$B$10,Paramètres!$A$1:$I$89,3,0)*0.475*44/12</f>
        <v>2.4429878038996696E-17</v>
      </c>
      <c r="AX194" s="21">
        <f t="shared" si="166"/>
        <v>21.100722721644949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-5.6843418860808015E-14</v>
      </c>
      <c r="BE194" s="13">
        <f>BD194*VLOOKUP('Données projet'!$B$11,Paramètres!$A$1:$I$89,3,0)*VLOOKUP('Données projet'!$B$11,Paramètres!$A$1:$I$89,5,0)</f>
        <v>-3.3992364478763198E-14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199.27781324660782</v>
      </c>
      <c r="BJ194" s="59">
        <f t="shared" si="146"/>
        <v>199.82499536488524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9.6895019513919163</v>
      </c>
      <c r="BQ194" s="21">
        <f>EXP(-LN(2)/25)*BQ193+(1-EXP(-LN(2)/25))/(LN(2)/25)*Calculateur!BL194*Calculateur!BN194*VLOOKUP('Données projet'!$B$11,Paramètres!$A$1:$I$89,3,0)*0.475*44/12</f>
        <v>0.95686935419729735</v>
      </c>
      <c r="BR194" s="21">
        <f>EXP(-LN(2)/2)*BR193+(1-EXP(-LN(2)/2))/(LN(2)/2)*BL194*BO194*VLOOKUP('Données projet'!$B$11,Paramètres!$A$1:$I$89,3,0)*0.475*44/12</f>
        <v>6.1260490556268566E-19</v>
      </c>
      <c r="BS194" s="22">
        <f t="shared" si="169"/>
        <v>10.646371305589213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-2.8421709430404007E-13</v>
      </c>
      <c r="BZ194" s="13">
        <f>BY194*VLOOKUP('Données projet'!$B$12,Paramètres!$A$1:$I$89,3,0)*VLOOKUP('Données projet'!$B$12,Paramètres!$A$1:$I$89,5,0)</f>
        <v>-1.69961822393816E-13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199.27781323742636</v>
      </c>
      <c r="CE194" s="59">
        <f t="shared" si="148"/>
        <v>199.82499536063892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9.6895019514682428</v>
      </c>
      <c r="CL194" s="21">
        <f>EXP(-LN(2)/25)*CL193+(1-EXP(-LN(2)/25))/(LN(2)/25)*Calculateur!CG194*Calculateur!CI194*VLOOKUP('Données projet'!$B$12,Paramètres!$A$1:$I$89,3,0)*0.475*44/12</f>
        <v>0.9562449082700657</v>
      </c>
      <c r="CM194" s="21">
        <f>EXP(-LN(2)/2)*CM193+(1-EXP(-LN(2)/2))/(LN(2)/2)*CG194*CJ194*VLOOKUP('Données projet'!$B$12,Paramètres!$A$1:$I$89,3,0)*0.475*44/12</f>
        <v>6.1260531460165201E-19</v>
      </c>
      <c r="CN194" s="22">
        <f t="shared" si="172"/>
        <v>10.645746859738308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-3.979039320256561E-13</v>
      </c>
      <c r="CU194" s="17">
        <f>CT194*VLOOKUP('Données projet'!$B$13,Paramètres!$A$1:$I$89,3,0)*VLOOKUP('Données projet'!$B$13,Paramètres!$A$1:$I$89,5,0)</f>
        <v>-2.379465513513424E-13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213.18424462765137</v>
      </c>
      <c r="CZ194" s="59">
        <f t="shared" si="150"/>
        <v>158.77848520346532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15.788824423877266</v>
      </c>
      <c r="DG194" s="21">
        <f>EXP(-LN(2)/25)*DG193+(1-EXP(-LN(2)/25))/(LN(2)/25)*Calculateur!DB194*Calculateur!DD194*VLOOKUP('Données projet'!$B$13,Paramètres!$A$1:$I$89,3,0)*0.475*44/12</f>
        <v>1.5762864766227098</v>
      </c>
      <c r="DH194" s="21">
        <f>EXP(-LN(2)/2)*DH193+(1-EXP(-LN(2)/2))/(LN(2)/2)*DB194*DE194*VLOOKUP('Données projet'!$B$13,Paramètres!$A$1:$I$89,3,0)*0.475*44/12</f>
        <v>7.0970972046092689E-16</v>
      </c>
      <c r="DI194" s="22">
        <f t="shared" si="175"/>
        <v>17.365110900499975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1.1368683772161603E-12</v>
      </c>
      <c r="O195" s="13">
        <f>N195*VLOOKUP('Données projet'!$B$9,Paramètres!$A$1:$I$89,3,0)*VLOOKUP('Données projet'!$B$9,Paramètres!$A$1:$I$89,5,0)</f>
        <v>5.3205440053716299E-13</v>
      </c>
      <c r="P195" s="13">
        <f t="shared" si="141"/>
        <v>6.579711042921201E-12</v>
      </c>
      <c r="Q195" s="20">
        <f t="shared" si="162"/>
        <v>1.2386324814023317E-11</v>
      </c>
      <c r="R195" s="59">
        <f t="shared" ref="R195:R203" si="191">Q195+(I195+J195)*44/12</f>
        <v>293.33333333334571</v>
      </c>
      <c r="S195" s="59">
        <f ca="1">AVERAGE(OFFSET($R$3,0,0,'Données projet'!$E$9+1,1))-AVERAGE(OFFSET($H$3,0,0,'Données projet'!$E$9+1,1))</f>
        <v>181.79645720099597</v>
      </c>
      <c r="T195" s="59">
        <f t="shared" si="142"/>
        <v>120.20040029102233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43.556367894909577</v>
      </c>
      <c r="AA195" s="21">
        <f>EXP(-LN(2)/25)*AA194+(1-EXP(-LN(2)/25))/(LN(2)/25)*Calculateur!V195*Calculateur!X195*VLOOKUP('Données projet'!$B$9,Paramètres!$A$1:$I$89,3,0)*0.475*44/12</f>
        <v>6.4156335974327208</v>
      </c>
      <c r="AB195" s="21">
        <f>EXP(-LN(2)/2)*AB194+(1-EXP(-LN(2)/2))/(LN(2)/2)*V195*Y195*VLOOKUP('Données projet'!$B$9,Paramètres!$A$1:$I$89,3,0)*0.475*44/12</f>
        <v>1.2258254696749029E-8</v>
      </c>
      <c r="AC195" s="22">
        <f t="shared" si="163"/>
        <v>49.972001504600556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253.62342381933348</v>
      </c>
      <c r="AO195" s="59">
        <f t="shared" si="144"/>
        <v>230.93438491775407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18.7888105198499</v>
      </c>
      <c r="AV195" s="21">
        <f>EXP(-LN(2)/25)*AV194+(1-EXP(-LN(2)/25))/(LN(2)/25)*Calculateur!AQ195*Calculateur!AS195*VLOOKUP('Données projet'!$B$10,Paramètres!$A$1:$I$89,3,0)*0.475*44/12</f>
        <v>1.8831628386763986</v>
      </c>
      <c r="AW195" s="21">
        <f>EXP(-LN(2)/2)*AW194+(1-EXP(-LN(2)/2))/(LN(2)/2)*AQ195*AT195*VLOOKUP('Données projet'!$B$10,Paramètres!$A$1:$I$89,3,0)*0.475*44/12</f>
        <v>1.7274532424934879E-17</v>
      </c>
      <c r="AX195" s="21">
        <f t="shared" si="166"/>
        <v>20.671973358526298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-5.6843418860808015E-14</v>
      </c>
      <c r="BE195" s="13">
        <f>BD195*VLOOKUP('Données projet'!$B$11,Paramètres!$A$1:$I$89,3,0)*VLOOKUP('Données projet'!$B$11,Paramètres!$A$1:$I$89,5,0)</f>
        <v>-3.3992364478763198E-14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199.27781324660782</v>
      </c>
      <c r="BJ195" s="59">
        <f t="shared" si="146"/>
        <v>199.82499536488524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9.4994967281377463</v>
      </c>
      <c r="BQ195" s="21">
        <f>EXP(-LN(2)/25)*BQ194+(1-EXP(-LN(2)/25))/(LN(2)/25)*Calculateur!BL195*Calculateur!BN195*VLOOKUP('Données projet'!$B$11,Paramètres!$A$1:$I$89,3,0)*0.475*44/12</f>
        <v>0.93070371138719987</v>
      </c>
      <c r="BR195" s="21">
        <f>EXP(-LN(2)/2)*BR194+(1-EXP(-LN(2)/2))/(LN(2)/2)*BL195*BO195*VLOOKUP('Données projet'!$B$11,Paramètres!$A$1:$I$89,3,0)*0.475*44/12</f>
        <v>4.3317708291151959E-19</v>
      </c>
      <c r="BS195" s="22">
        <f t="shared" si="169"/>
        <v>10.430200439524945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-1.69961822393816E-13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199.27781323742636</v>
      </c>
      <c r="CE195" s="59">
        <f t="shared" si="148"/>
        <v>199.82499536063892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9.4994967282125753</v>
      </c>
      <c r="CL195" s="21">
        <f>EXP(-LN(2)/25)*CL194+(1-EXP(-LN(2)/25))/(LN(2)/25)*Calculateur!CG195*Calculateur!CI195*VLOOKUP('Données projet'!$B$12,Paramètres!$A$1:$I$89,3,0)*0.475*44/12</f>
        <v>0.93009634096668659</v>
      </c>
      <c r="CM195" s="21">
        <f>EXP(-LN(2)/2)*CM194+(1-EXP(-LN(2)/2))/(LN(2)/2)*CG195*CJ195*VLOOKUP('Données projet'!$B$12,Paramètres!$A$1:$I$89,3,0)*0.475*44/12</f>
        <v>4.331773721457465E-19</v>
      </c>
      <c r="CN195" s="22">
        <f t="shared" si="172"/>
        <v>10.429593069179262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-3.979039320256561E-13</v>
      </c>
      <c r="CU195" s="17">
        <f>CT195*VLOOKUP('Données projet'!$B$13,Paramètres!$A$1:$I$89,3,0)*VLOOKUP('Données projet'!$B$13,Paramètres!$A$1:$I$89,5,0)</f>
        <v>-2.379465513513424E-13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213.18424462765137</v>
      </c>
      <c r="CZ195" s="59">
        <f t="shared" si="150"/>
        <v>158.77848520346532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15.479215207157024</v>
      </c>
      <c r="DG195" s="21">
        <f>EXP(-LN(2)/25)*DG194+(1-EXP(-LN(2)/25))/(LN(2)/25)*Calculateur!DB195*Calculateur!DD195*VLOOKUP('Données projet'!$B$13,Paramètres!$A$1:$I$89,3,0)*0.475*44/12</f>
        <v>1.5331828400261587</v>
      </c>
      <c r="DH195" s="21">
        <f>EXP(-LN(2)/2)*DH194+(1-EXP(-LN(2)/2))/(LN(2)/2)*DB195*DE195*VLOOKUP('Données projet'!$B$13,Paramètres!$A$1:$I$89,3,0)*0.475*44/12</f>
        <v>5.0184055601193044E-16</v>
      </c>
      <c r="DI195" s="22">
        <f t="shared" si="175"/>
        <v>17.012398047183183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1.1368683772161603E-12</v>
      </c>
      <c r="O196" s="13">
        <f>N196*VLOOKUP('Données projet'!$B$9,Paramètres!$A$1:$I$89,3,0)*VLOOKUP('Données projet'!$B$9,Paramètres!$A$1:$I$89,5,0)</f>
        <v>5.3205440053716299E-13</v>
      </c>
      <c r="P196" s="13">
        <f t="shared" si="141"/>
        <v>6.579711042921201E-12</v>
      </c>
      <c r="Q196" s="20">
        <f t="shared" si="162"/>
        <v>1.2386324814023317E-11</v>
      </c>
      <c r="R196" s="59">
        <f t="shared" si="191"/>
        <v>293.33333333334571</v>
      </c>
      <c r="S196" s="59">
        <f ca="1">AVERAGE(OFFSET($R$3,0,0,'Données projet'!$E$9+1,1))-AVERAGE(OFFSET($H$3,0,0,'Données projet'!$E$9+1,1))</f>
        <v>181.79645720099597</v>
      </c>
      <c r="T196" s="59">
        <f t="shared" si="142"/>
        <v>120.20040029102233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42.702254087251568</v>
      </c>
      <c r="AA196" s="21">
        <f>EXP(-LN(2)/25)*AA195+(1-EXP(-LN(2)/25))/(LN(2)/25)*Calculateur!V196*Calculateur!X196*VLOOKUP('Données projet'!$B$9,Paramètres!$A$1:$I$89,3,0)*0.475*44/12</f>
        <v>6.2401977593274154</v>
      </c>
      <c r="AB196" s="21">
        <f>EXP(-LN(2)/2)*AB195+(1-EXP(-LN(2)/2))/(LN(2)/2)*V196*Y196*VLOOKUP('Données projet'!$B$9,Paramètres!$A$1:$I$89,3,0)*0.475*44/12</f>
        <v>8.6678950215830843E-9</v>
      </c>
      <c r="AC196" s="22">
        <f t="shared" si="163"/>
        <v>48.94245185524688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253.62342381933348</v>
      </c>
      <c r="AO196" s="59">
        <f t="shared" si="144"/>
        <v>230.93438491775407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18.420373405598475</v>
      </c>
      <c r="AV196" s="21">
        <f>EXP(-LN(2)/25)*AV195+(1-EXP(-LN(2)/25))/(LN(2)/25)*Calculateur!AQ196*Calculateur!AS196*VLOOKUP('Données projet'!$B$10,Paramètres!$A$1:$I$89,3,0)*0.475*44/12</f>
        <v>1.8316676518215629</v>
      </c>
      <c r="AW196" s="21">
        <f>EXP(-LN(2)/2)*AW195+(1-EXP(-LN(2)/2))/(LN(2)/2)*AQ196*AT196*VLOOKUP('Données projet'!$B$10,Paramètres!$A$1:$I$89,3,0)*0.475*44/12</f>
        <v>1.2214939019498348E-17</v>
      </c>
      <c r="AX196" s="21">
        <f t="shared" si="166"/>
        <v>20.252041057420037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-5.6843418860808015E-14</v>
      </c>
      <c r="BE196" s="13">
        <f>BD196*VLOOKUP('Données projet'!$B$11,Paramètres!$A$1:$I$89,3,0)*VLOOKUP('Données projet'!$B$11,Paramètres!$A$1:$I$89,5,0)</f>
        <v>-3.3992364478763198E-14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199.27781324660782</v>
      </c>
      <c r="BJ196" s="59">
        <f t="shared" si="146"/>
        <v>199.82499536488524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9.3132173914198475</v>
      </c>
      <c r="BQ196" s="21">
        <f>EXP(-LN(2)/25)*BQ195+(1-EXP(-LN(2)/25))/(LN(2)/25)*Calculateur!BL196*Calculateur!BN196*VLOOKUP('Données projet'!$B$11,Paramètres!$A$1:$I$89,3,0)*0.475*44/12</f>
        <v>0.90525356945573587</v>
      </c>
      <c r="BR196" s="21">
        <f>EXP(-LN(2)/2)*BR195+(1-EXP(-LN(2)/2))/(LN(2)/2)*BL196*BO196*VLOOKUP('Données projet'!$B$11,Paramètres!$A$1:$I$89,3,0)*0.475*44/12</f>
        <v>3.0630245278134288E-19</v>
      </c>
      <c r="BS196" s="22">
        <f t="shared" si="169"/>
        <v>10.218470960875583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-1.69961822393816E-13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199.27781323742636</v>
      </c>
      <c r="CE196" s="59">
        <f t="shared" si="148"/>
        <v>199.82499536063892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9.3132173914932093</v>
      </c>
      <c r="CL196" s="21">
        <f>EXP(-LN(2)/25)*CL195+(1-EXP(-LN(2)/25))/(LN(2)/25)*Calculateur!CG196*Calculateur!CI196*VLOOKUP('Données projet'!$B$12,Paramètres!$A$1:$I$89,3,0)*0.475*44/12</f>
        <v>0.90466280761131168</v>
      </c>
      <c r="CM196" s="21">
        <f>EXP(-LN(2)/2)*CM195+(1-EXP(-LN(2)/2))/(LN(2)/2)*CG196*CJ196*VLOOKUP('Données projet'!$B$12,Paramètres!$A$1:$I$89,3,0)*0.475*44/12</f>
        <v>3.0630265730082605E-19</v>
      </c>
      <c r="CN196" s="22">
        <f t="shared" si="172"/>
        <v>10.21788019910452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-3.979039320256561E-13</v>
      </c>
      <c r="CU196" s="17">
        <f>CT196*VLOOKUP('Données projet'!$B$13,Paramètres!$A$1:$I$89,3,0)*VLOOKUP('Données projet'!$B$13,Paramètres!$A$1:$I$89,5,0)</f>
        <v>-2.379465513513424E-13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213.18424462765137</v>
      </c>
      <c r="CZ196" s="59">
        <f t="shared" si="150"/>
        <v>158.77848520346532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15.175677238333691</v>
      </c>
      <c r="DG196" s="21">
        <f>EXP(-LN(2)/25)*DG195+(1-EXP(-LN(2)/25))/(LN(2)/25)*Calculateur!DB196*Calculateur!DD196*VLOOKUP('Données projet'!$B$13,Paramètres!$A$1:$I$89,3,0)*0.475*44/12</f>
        <v>1.4912578746390619</v>
      </c>
      <c r="DH196" s="21">
        <f>EXP(-LN(2)/2)*DH195+(1-EXP(-LN(2)/2))/(LN(2)/2)*DB196*DE196*VLOOKUP('Données projet'!$B$13,Paramètres!$A$1:$I$89,3,0)*0.475*44/12</f>
        <v>3.5485486023046345E-16</v>
      </c>
      <c r="DI196" s="22">
        <f t="shared" si="175"/>
        <v>16.666935112972752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1.1368683772161603E-12</v>
      </c>
      <c r="O197" s="13">
        <f>N197*VLOOKUP('Données projet'!$B$9,Paramètres!$A$1:$I$89,3,0)*VLOOKUP('Données projet'!$B$9,Paramètres!$A$1:$I$89,5,0)</f>
        <v>5.3205440053716299E-13</v>
      </c>
      <c r="P197" s="13">
        <f t="shared" ref="P197:P203" si="203">EXP(-1.0587+0.8836*LN(O197)+0.284)</f>
        <v>6.579711042921201E-12</v>
      </c>
      <c r="Q197" s="20">
        <f t="shared" si="162"/>
        <v>1.2386324814023317E-11</v>
      </c>
      <c r="R197" s="59">
        <f t="shared" si="191"/>
        <v>293.33333333334571</v>
      </c>
      <c r="S197" s="59">
        <f ca="1">AVERAGE(OFFSET($R$3,0,0,'Données projet'!$E$9+1,1))-AVERAGE(OFFSET($H$3,0,0,'Données projet'!$E$9+1,1))</f>
        <v>181.79645720099597</v>
      </c>
      <c r="T197" s="59">
        <f t="shared" ref="T197:T203" si="204">$T$3</f>
        <v>120.20040029102233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41.864888930403751</v>
      </c>
      <c r="AA197" s="21">
        <f>EXP(-LN(2)/25)*AA196+(1-EXP(-LN(2)/25))/(LN(2)/25)*Calculateur!V197*Calculateur!X197*VLOOKUP('Données projet'!$B$9,Paramètres!$A$1:$I$89,3,0)*0.475*44/12</f>
        <v>6.0695592234408693</v>
      </c>
      <c r="AB197" s="21">
        <f>EXP(-LN(2)/2)*AB196+(1-EXP(-LN(2)/2))/(LN(2)/2)*V197*Y197*VLOOKUP('Données projet'!$B$9,Paramètres!$A$1:$I$89,3,0)*0.475*44/12</f>
        <v>6.1291273483745147E-9</v>
      </c>
      <c r="AC197" s="22">
        <f t="shared" si="163"/>
        <v>47.934448159973748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253.62342381933348</v>
      </c>
      <c r="AO197" s="59">
        <f t="shared" ref="AO197:AO203" si="205">$AO$3</f>
        <v>230.93438491775407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18.059161118433071</v>
      </c>
      <c r="AV197" s="21">
        <f>EXP(-LN(2)/25)*AV196+(1-EXP(-LN(2)/25))/(LN(2)/25)*Calculateur!AQ197*Calculateur!AS197*VLOOKUP('Données projet'!$B$10,Paramètres!$A$1:$I$89,3,0)*0.475*44/12</f>
        <v>1.7815806035592867</v>
      </c>
      <c r="AW197" s="21">
        <f>EXP(-LN(2)/2)*AW196+(1-EXP(-LN(2)/2))/(LN(2)/2)*AQ197*AT197*VLOOKUP('Données projet'!$B$10,Paramètres!$A$1:$I$89,3,0)*0.475*44/12</f>
        <v>8.6372662124674397E-18</v>
      </c>
      <c r="AX197" s="21">
        <f t="shared" si="166"/>
        <v>19.840741721992359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-5.6843418860808015E-14</v>
      </c>
      <c r="BE197" s="13">
        <f>BD197*VLOOKUP('Données projet'!$B$11,Paramètres!$A$1:$I$89,3,0)*VLOOKUP('Données projet'!$B$11,Paramètres!$A$1:$I$89,5,0)</f>
        <v>-3.3992364478763198E-14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199.27781324660782</v>
      </c>
      <c r="BJ197" s="59">
        <f t="shared" ref="BJ197:BJ203" si="206">$BJ$3</f>
        <v>199.82499536488524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9.1305908788758092</v>
      </c>
      <c r="BQ197" s="21">
        <f>EXP(-LN(2)/25)*BQ196+(1-EXP(-LN(2)/25))/(LN(2)/25)*Calculateur!BL197*Calculateur!BN197*VLOOKUP('Données projet'!$B$11,Paramètres!$A$1:$I$89,3,0)*0.475*44/12</f>
        <v>0.88049936299375253</v>
      </c>
      <c r="BR197" s="21">
        <f>EXP(-LN(2)/2)*BR196+(1-EXP(-LN(2)/2))/(LN(2)/2)*BL197*BO197*VLOOKUP('Données projet'!$B$11,Paramètres!$A$1:$I$89,3,0)*0.475*44/12</f>
        <v>2.1658854145575984E-19</v>
      </c>
      <c r="BS197" s="22">
        <f t="shared" si="169"/>
        <v>10.011090241869562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-1.69961822393816E-13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199.27781323742636</v>
      </c>
      <c r="CE197" s="59">
        <f t="shared" ref="CE197:CE203" si="207">$CE$3</f>
        <v>199.82499536063892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9.1305908789477339</v>
      </c>
      <c r="CL197" s="21">
        <f>EXP(-LN(2)/25)*CL196+(1-EXP(-LN(2)/25))/(LN(2)/25)*Calculateur!CG197*Calculateur!CI197*VLOOKUP('Données projet'!$B$12,Paramètres!$A$1:$I$89,3,0)*0.475*44/12</f>
        <v>0.87992475556303096</v>
      </c>
      <c r="CM197" s="21">
        <f>EXP(-LN(2)/2)*CM196+(1-EXP(-LN(2)/2))/(LN(2)/2)*CG197*CJ197*VLOOKUP('Données projet'!$B$12,Paramètres!$A$1:$I$89,3,0)*0.475*44/12</f>
        <v>2.1658868607287327E-19</v>
      </c>
      <c r="CN197" s="22">
        <f t="shared" si="172"/>
        <v>10.010515634510766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-3.979039320256561E-13</v>
      </c>
      <c r="CU197" s="17">
        <f>CT197*VLOOKUP('Données projet'!$B$13,Paramètres!$A$1:$I$89,3,0)*VLOOKUP('Données projet'!$B$13,Paramètres!$A$1:$I$89,5,0)</f>
        <v>-2.379465513513424E-13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213.18424462765137</v>
      </c>
      <c r="CZ197" s="59">
        <f t="shared" ref="CZ197:CZ203" si="208">$CZ$3</f>
        <v>158.77848520346532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14.878091463939104</v>
      </c>
      <c r="DG197" s="21">
        <f>EXP(-LN(2)/25)*DG196+(1-EXP(-LN(2)/25))/(LN(2)/25)*Calculateur!DB197*Calculateur!DD197*VLOOKUP('Données projet'!$B$13,Paramètres!$A$1:$I$89,3,0)*0.475*44/12</f>
        <v>1.4504793496352135</v>
      </c>
      <c r="DH197" s="21">
        <f>EXP(-LN(2)/2)*DH196+(1-EXP(-LN(2)/2))/(LN(2)/2)*DB197*DE197*VLOOKUP('Données projet'!$B$13,Paramètres!$A$1:$I$89,3,0)*0.475*44/12</f>
        <v>2.5092027800596522E-16</v>
      </c>
      <c r="DI197" s="22">
        <f t="shared" si="175"/>
        <v>16.328570813574316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1.1368683772161603E-12</v>
      </c>
      <c r="O198" s="13">
        <f>N198*VLOOKUP('Données projet'!$B$9,Paramètres!$A$1:$I$89,3,0)*VLOOKUP('Données projet'!$B$9,Paramètres!$A$1:$I$89,5,0)</f>
        <v>5.3205440053716299E-13</v>
      </c>
      <c r="P198" s="13">
        <f t="shared" si="203"/>
        <v>6.579711042921201E-12</v>
      </c>
      <c r="Q198" s="20">
        <f t="shared" si="162"/>
        <v>1.2386324814023317E-11</v>
      </c>
      <c r="R198" s="59">
        <f t="shared" si="191"/>
        <v>293.33333333334571</v>
      </c>
      <c r="S198" s="59">
        <f ca="1">AVERAGE(OFFSET($R$3,0,0,'Données projet'!$E$9+1,1))-AVERAGE(OFFSET($H$3,0,0,'Données projet'!$E$9+1,1))</f>
        <v>181.79645720099597</v>
      </c>
      <c r="T198" s="59">
        <f t="shared" si="204"/>
        <v>120.20040029102233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41.043943993539401</v>
      </c>
      <c r="AA198" s="21">
        <f>EXP(-LN(2)/25)*AA197+(1-EXP(-LN(2)/25))/(LN(2)/25)*Calculateur!V198*Calculateur!X198*VLOOKUP('Données projet'!$B$9,Paramètres!$A$1:$I$89,3,0)*0.475*44/12</f>
        <v>5.9035868072916315</v>
      </c>
      <c r="AB198" s="21">
        <f>EXP(-LN(2)/2)*AB197+(1-EXP(-LN(2)/2))/(LN(2)/2)*V198*Y198*VLOOKUP('Données projet'!$B$9,Paramètres!$A$1:$I$89,3,0)*0.475*44/12</f>
        <v>4.3339475107915421E-9</v>
      </c>
      <c r="AC198" s="22">
        <f t="shared" si="163"/>
        <v>46.94753080516498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253.62342381933348</v>
      </c>
      <c r="AO198" s="59">
        <f t="shared" si="205"/>
        <v>230.93438491775407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17.70503198390124</v>
      </c>
      <c r="AV198" s="21">
        <f>EXP(-LN(2)/25)*AV197+(1-EXP(-LN(2)/25))/(LN(2)/25)*Calculateur!AQ198*Calculateur!AS198*VLOOKUP('Données projet'!$B$10,Paramètres!$A$1:$I$89,3,0)*0.475*44/12</f>
        <v>1.732863188265706</v>
      </c>
      <c r="AW198" s="21">
        <f>EXP(-LN(2)/2)*AW197+(1-EXP(-LN(2)/2))/(LN(2)/2)*AQ198*AT198*VLOOKUP('Données projet'!$B$10,Paramètres!$A$1:$I$89,3,0)*0.475*44/12</f>
        <v>6.107469509749174E-18</v>
      </c>
      <c r="AX198" s="21">
        <f t="shared" si="166"/>
        <v>19.437895172166947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-5.6843418860808015E-14</v>
      </c>
      <c r="BE198" s="13">
        <f>BD198*VLOOKUP('Données projet'!$B$11,Paramètres!$A$1:$I$89,3,0)*VLOOKUP('Données projet'!$B$11,Paramètres!$A$1:$I$89,5,0)</f>
        <v>-3.3992364478763198E-14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199.27781324660782</v>
      </c>
      <c r="BJ198" s="59">
        <f t="shared" si="206"/>
        <v>199.82499536488524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8.9515455608515868</v>
      </c>
      <c r="BQ198" s="21">
        <f>EXP(-LN(2)/25)*BQ197+(1-EXP(-LN(2)/25))/(LN(2)/25)*Calculateur!BL198*Calculateur!BN198*VLOOKUP('Données projet'!$B$11,Paramètres!$A$1:$I$89,3,0)*0.475*44/12</f>
        <v>0.85642206160923928</v>
      </c>
      <c r="BR198" s="21">
        <f>EXP(-LN(2)/2)*BR197+(1-EXP(-LN(2)/2))/(LN(2)/2)*BL198*BO198*VLOOKUP('Données projet'!$B$11,Paramètres!$A$1:$I$89,3,0)*0.475*44/12</f>
        <v>1.5315122639067146E-19</v>
      </c>
      <c r="BS198" s="22">
        <f t="shared" si="169"/>
        <v>9.8079676224608257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-1.69961822393816E-13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199.27781323742636</v>
      </c>
      <c r="CE198" s="59">
        <f t="shared" si="207"/>
        <v>199.82499536063892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8.9515455609221011</v>
      </c>
      <c r="CL198" s="21">
        <f>EXP(-LN(2)/25)*CL197+(1-EXP(-LN(2)/25))/(LN(2)/25)*Calculateur!CG198*Calculateur!CI198*VLOOKUP('Données projet'!$B$12,Paramètres!$A$1:$I$89,3,0)*0.475*44/12</f>
        <v>0.85586316684892805</v>
      </c>
      <c r="CM198" s="21">
        <f>EXP(-LN(2)/2)*CM197+(1-EXP(-LN(2)/2))/(LN(2)/2)*CG198*CJ198*VLOOKUP('Données projet'!$B$12,Paramètres!$A$1:$I$89,3,0)*0.475*44/12</f>
        <v>1.5315132865041305E-19</v>
      </c>
      <c r="CN198" s="22">
        <f t="shared" si="172"/>
        <v>9.8074087277710298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-3.979039320256561E-13</v>
      </c>
      <c r="CU198" s="17">
        <f>CT198*VLOOKUP('Données projet'!$B$13,Paramètres!$A$1:$I$89,3,0)*VLOOKUP('Données projet'!$B$13,Paramètres!$A$1:$I$89,5,0)</f>
        <v>-2.379465513513424E-13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213.18424462765137</v>
      </c>
      <c r="CZ198" s="59">
        <f t="shared" si="208"/>
        <v>158.77848520346532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14.586341165070994</v>
      </c>
      <c r="DG198" s="21">
        <f>EXP(-LN(2)/25)*DG197+(1-EXP(-LN(2)/25))/(LN(2)/25)*Calculateur!DB198*Calculateur!DD198*VLOOKUP('Données projet'!$B$13,Paramètres!$A$1:$I$89,3,0)*0.475*44/12</f>
        <v>1.4108159155420448</v>
      </c>
      <c r="DH198" s="21">
        <f>EXP(-LN(2)/2)*DH197+(1-EXP(-LN(2)/2))/(LN(2)/2)*DB198*DE198*VLOOKUP('Données projet'!$B$13,Paramètres!$A$1:$I$89,3,0)*0.475*44/12</f>
        <v>1.7742743011523172E-16</v>
      </c>
      <c r="DI198" s="22">
        <f t="shared" si="175"/>
        <v>15.997157080613039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1.1368683772161603E-12</v>
      </c>
      <c r="O199" s="13">
        <f>N199*VLOOKUP('Données projet'!$B$9,Paramètres!$A$1:$I$89,3,0)*VLOOKUP('Données projet'!$B$9,Paramètres!$A$1:$I$89,5,0)</f>
        <v>5.3205440053716299E-13</v>
      </c>
      <c r="P199" s="13">
        <f t="shared" si="203"/>
        <v>6.579711042921201E-12</v>
      </c>
      <c r="Q199" s="20">
        <f t="shared" si="162"/>
        <v>1.2386324814023317E-11</v>
      </c>
      <c r="R199" s="59">
        <f t="shared" si="191"/>
        <v>293.33333333334571</v>
      </c>
      <c r="S199" s="59">
        <f ca="1">AVERAGE(OFFSET($R$3,0,0,'Données projet'!$E$9+1,1))-AVERAGE(OFFSET($H$3,0,0,'Données projet'!$E$9+1,1))</f>
        <v>181.79645720099597</v>
      </c>
      <c r="T199" s="59">
        <f t="shared" si="204"/>
        <v>120.20040029102233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40.239097286159996</v>
      </c>
      <c r="AA199" s="21">
        <f>EXP(-LN(2)/25)*AA198+(1-EXP(-LN(2)/25))/(LN(2)/25)*Calculateur!V199*Calculateur!X199*VLOOKUP('Données projet'!$B$9,Paramètres!$A$1:$I$89,3,0)*0.475*44/12</f>
        <v>5.7421529155901041</v>
      </c>
      <c r="AB199" s="21">
        <f>EXP(-LN(2)/2)*AB198+(1-EXP(-LN(2)/2))/(LN(2)/2)*V199*Y199*VLOOKUP('Données projet'!$B$9,Paramètres!$A$1:$I$89,3,0)*0.475*44/12</f>
        <v>3.0645636741872574E-9</v>
      </c>
      <c r="AC199" s="22">
        <f t="shared" si="163"/>
        <v>45.981250204814664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253.62342381933348</v>
      </c>
      <c r="AO199" s="59">
        <f t="shared" si="205"/>
        <v>230.93438491775407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17.357847105700134</v>
      </c>
      <c r="AV199" s="21">
        <f>EXP(-LN(2)/25)*AV198+(1-EXP(-LN(2)/25))/(LN(2)/25)*Calculateur!AQ199*Calculateur!AS199*VLOOKUP('Données projet'!$B$10,Paramètres!$A$1:$I$89,3,0)*0.475*44/12</f>
        <v>1.6854779532552657</v>
      </c>
      <c r="AW199" s="21">
        <f>EXP(-LN(2)/2)*AW198+(1-EXP(-LN(2)/2))/(LN(2)/2)*AQ199*AT199*VLOOKUP('Données projet'!$B$10,Paramètres!$A$1:$I$89,3,0)*0.475*44/12</f>
        <v>4.3186331062337198E-18</v>
      </c>
      <c r="AX199" s="21">
        <f t="shared" si="166"/>
        <v>19.0433250589554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-5.6843418860808015E-14</v>
      </c>
      <c r="BE199" s="13">
        <f>BD199*VLOOKUP('Données projet'!$B$11,Paramètres!$A$1:$I$89,3,0)*VLOOKUP('Données projet'!$B$11,Paramètres!$A$1:$I$89,5,0)</f>
        <v>-3.3992364478763198E-14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199.27781324660782</v>
      </c>
      <c r="BJ199" s="59">
        <f t="shared" si="206"/>
        <v>199.82499536488524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8.7760112123069582</v>
      </c>
      <c r="BQ199" s="21">
        <f>EXP(-LN(2)/25)*BQ198+(1-EXP(-LN(2)/25))/(LN(2)/25)*Calculateur!BL199*Calculateur!BN199*VLOOKUP('Données projet'!$B$11,Paramètres!$A$1:$I$89,3,0)*0.475*44/12</f>
        <v>0.83300315529725577</v>
      </c>
      <c r="BR199" s="21">
        <f>EXP(-LN(2)/2)*BR198+(1-EXP(-LN(2)/2))/(LN(2)/2)*BL199*BO199*VLOOKUP('Données projet'!$B$11,Paramètres!$A$1:$I$89,3,0)*0.475*44/12</f>
        <v>1.0829427072787993E-19</v>
      </c>
      <c r="BS199" s="22">
        <f t="shared" si="169"/>
        <v>9.6090143676042139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-1.69961822393816E-13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199.27781323742636</v>
      </c>
      <c r="CE199" s="59">
        <f t="shared" si="207"/>
        <v>199.82499536063892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8.7760112123760905</v>
      </c>
      <c r="CL199" s="21">
        <f>EXP(-LN(2)/25)*CL198+(1-EXP(-LN(2)/25))/(LN(2)/25)*Calculateur!CG199*Calculateur!CI199*VLOOKUP('Données projet'!$B$12,Paramètres!$A$1:$I$89,3,0)*0.475*44/12</f>
        <v>0.83245954354355622</v>
      </c>
      <c r="CM199" s="21">
        <f>EXP(-LN(2)/2)*CM198+(1-EXP(-LN(2)/2))/(LN(2)/2)*CG199*CJ199*VLOOKUP('Données projet'!$B$12,Paramètres!$A$1:$I$89,3,0)*0.475*44/12</f>
        <v>1.0829434303643665E-19</v>
      </c>
      <c r="CN199" s="22">
        <f t="shared" si="172"/>
        <v>9.6084707559196474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-3.979039320256561E-13</v>
      </c>
      <c r="CU199" s="17">
        <f>CT199*VLOOKUP('Données projet'!$B$13,Paramètres!$A$1:$I$89,3,0)*VLOOKUP('Données projet'!$B$13,Paramètres!$A$1:$I$89,5,0)</f>
        <v>-2.379465513513424E-13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213.18424462765137</v>
      </c>
      <c r="CZ199" s="59">
        <f t="shared" si="208"/>
        <v>158.77848520346532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14.300311911613578</v>
      </c>
      <c r="DG199" s="21">
        <f>EXP(-LN(2)/25)*DG198+(1-EXP(-LN(2)/25))/(LN(2)/25)*Calculateur!DB199*Calculateur!DD199*VLOOKUP('Données projet'!$B$13,Paramètres!$A$1:$I$89,3,0)*0.475*44/12</f>
        <v>1.372237080139963</v>
      </c>
      <c r="DH199" s="21">
        <f>EXP(-LN(2)/2)*DH198+(1-EXP(-LN(2)/2))/(LN(2)/2)*DB199*DE199*VLOOKUP('Données projet'!$B$13,Paramètres!$A$1:$I$89,3,0)*0.475*44/12</f>
        <v>1.2546013900298261E-16</v>
      </c>
      <c r="DI199" s="22">
        <f t="shared" si="175"/>
        <v>15.672548991753541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1.1368683772161603E-12</v>
      </c>
      <c r="O200" s="13">
        <f>N200*VLOOKUP('Données projet'!$B$9,Paramètres!$A$1:$I$89,3,0)*VLOOKUP('Données projet'!$B$9,Paramètres!$A$1:$I$89,5,0)</f>
        <v>5.3205440053716299E-13</v>
      </c>
      <c r="P200" s="13">
        <f t="shared" si="203"/>
        <v>6.579711042921201E-12</v>
      </c>
      <c r="Q200" s="20">
        <f t="shared" si="162"/>
        <v>1.2386324814023317E-11</v>
      </c>
      <c r="R200" s="59">
        <f t="shared" si="191"/>
        <v>293.33333333334571</v>
      </c>
      <c r="S200" s="59">
        <f ca="1">AVERAGE(OFFSET($R$3,0,0,'Données projet'!$E$9+1,1))-AVERAGE(OFFSET($H$3,0,0,'Données projet'!$E$9+1,1))</f>
        <v>181.79645720099597</v>
      </c>
      <c r="T200" s="59">
        <f t="shared" si="204"/>
        <v>120.20040029102233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39.450033131804283</v>
      </c>
      <c r="AA200" s="21">
        <f>EXP(-LN(2)/25)*AA199+(1-EXP(-LN(2)/25))/(LN(2)/25)*Calculateur!V200*Calculateur!X200*VLOOKUP('Données projet'!$B$9,Paramètres!$A$1:$I$89,3,0)*0.475*44/12</f>
        <v>5.5851334421465948</v>
      </c>
      <c r="AB200" s="21">
        <f>EXP(-LN(2)/2)*AB199+(1-EXP(-LN(2)/2))/(LN(2)/2)*V200*Y200*VLOOKUP('Données projet'!$B$9,Paramètres!$A$1:$I$89,3,0)*0.475*44/12</f>
        <v>2.1669737553957711E-9</v>
      </c>
      <c r="AC200" s="22">
        <f t="shared" si="163"/>
        <v>45.035166576117845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253.62342381933348</v>
      </c>
      <c r="AO200" s="59">
        <f t="shared" si="205"/>
        <v>230.93438491775407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17.017470311198686</v>
      </c>
      <c r="AV200" s="21">
        <f>EXP(-LN(2)/25)*AV199+(1-EXP(-LN(2)/25))/(LN(2)/25)*Calculateur!AQ200*Calculateur!AS200*VLOOKUP('Données projet'!$B$10,Paramètres!$A$1:$I$89,3,0)*0.475*44/12</f>
        <v>1.6393884699880672</v>
      </c>
      <c r="AW200" s="21">
        <f>EXP(-LN(2)/2)*AW199+(1-EXP(-LN(2)/2))/(LN(2)/2)*AQ200*AT200*VLOOKUP('Données projet'!$B$10,Paramètres!$A$1:$I$89,3,0)*0.475*44/12</f>
        <v>3.053734754874587E-18</v>
      </c>
      <c r="AX200" s="21">
        <f t="shared" si="166"/>
        <v>18.656858781186752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-5.6843418860808015E-14</v>
      </c>
      <c r="BE200" s="13">
        <f>BD200*VLOOKUP('Données projet'!$B$11,Paramètres!$A$1:$I$89,3,0)*VLOOKUP('Données projet'!$B$11,Paramètres!$A$1:$I$89,5,0)</f>
        <v>-3.3992364478763198E-14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199.27781324660782</v>
      </c>
      <c r="BJ200" s="59">
        <f t="shared" si="206"/>
        <v>199.82499536488524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8.6039189852719087</v>
      </c>
      <c r="BQ200" s="21">
        <f>EXP(-LN(2)/25)*BQ199+(1-EXP(-LN(2)/25))/(LN(2)/25)*Calculateur!BL200*Calculateur!BN200*VLOOKUP('Données projet'!$B$11,Paramètres!$A$1:$I$89,3,0)*0.475*44/12</f>
        <v>0.81022464020992024</v>
      </c>
      <c r="BR200" s="21">
        <f>EXP(-LN(2)/2)*BR199+(1-EXP(-LN(2)/2))/(LN(2)/2)*BL200*BO200*VLOOKUP('Données projet'!$B$11,Paramètres!$A$1:$I$89,3,0)*0.475*44/12</f>
        <v>7.6575613195335744E-20</v>
      </c>
      <c r="BS200" s="22">
        <f t="shared" si="169"/>
        <v>9.4141436254818291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-1.69961822393816E-13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199.27781323742636</v>
      </c>
      <c r="CE200" s="59">
        <f t="shared" si="207"/>
        <v>199.82499536063892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8.6039189853396856</v>
      </c>
      <c r="CL200" s="21">
        <f>EXP(-LN(2)/25)*CL199+(1-EXP(-LN(2)/25))/(LN(2)/25)*Calculateur!CG200*Calculateur!CI200*VLOOKUP('Données projet'!$B$12,Paramètres!$A$1:$I$89,3,0)*0.475*44/12</f>
        <v>0.80969589354821292</v>
      </c>
      <c r="CM200" s="21">
        <f>EXP(-LN(2)/2)*CM199+(1-EXP(-LN(2)/2))/(LN(2)/2)*CG200*CJ200*VLOOKUP('Données projet'!$B$12,Paramètres!$A$1:$I$89,3,0)*0.475*44/12</f>
        <v>7.6575664325206537E-20</v>
      </c>
      <c r="CN200" s="22">
        <f t="shared" si="172"/>
        <v>9.4136148788878984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-3.979039320256561E-13</v>
      </c>
      <c r="CU200" s="17">
        <f>CT200*VLOOKUP('Données projet'!$B$13,Paramètres!$A$1:$I$89,3,0)*VLOOKUP('Données projet'!$B$13,Paramètres!$A$1:$I$89,5,0)</f>
        <v>-2.379465513513424E-13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213.18424462765137</v>
      </c>
      <c r="CZ200" s="59">
        <f t="shared" si="208"/>
        <v>158.77848520346532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14.019891517355843</v>
      </c>
      <c r="DG200" s="21">
        <f>EXP(-LN(2)/25)*DG199+(1-EXP(-LN(2)/25))/(LN(2)/25)*Calculateur!DB200*Calculateur!DD200*VLOOKUP('Données projet'!$B$13,Paramètres!$A$1:$I$89,3,0)*0.475*44/12</f>
        <v>1.3347131850207239</v>
      </c>
      <c r="DH200" s="21">
        <f>EXP(-LN(2)/2)*DH199+(1-EXP(-LN(2)/2))/(LN(2)/2)*DB200*DE200*VLOOKUP('Données projet'!$B$13,Paramètres!$A$1:$I$89,3,0)*0.475*44/12</f>
        <v>8.8713715057615861E-17</v>
      </c>
      <c r="DI200" s="22">
        <f t="shared" si="175"/>
        <v>15.354604702376566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1.1368683772161603E-12</v>
      </c>
      <c r="O201" s="13">
        <f>N201*VLOOKUP('Données projet'!$B$9,Paramètres!$A$1:$I$89,3,0)*VLOOKUP('Données projet'!$B$9,Paramètres!$A$1:$I$89,5,0)</f>
        <v>5.3205440053716299E-13</v>
      </c>
      <c r="P201" s="13">
        <f t="shared" si="203"/>
        <v>6.579711042921201E-12</v>
      </c>
      <c r="Q201" s="20">
        <f t="shared" si="162"/>
        <v>1.2386324814023317E-11</v>
      </c>
      <c r="R201" s="59">
        <f t="shared" si="191"/>
        <v>293.33333333334571</v>
      </c>
      <c r="S201" s="59">
        <f ca="1">AVERAGE(OFFSET($R$3,0,0,'Données projet'!$E$9+1,1))-AVERAGE(OFFSET($H$3,0,0,'Données projet'!$E$9+1,1))</f>
        <v>181.79645720099597</v>
      </c>
      <c r="T201" s="59">
        <f t="shared" si="204"/>
        <v>120.20040029102233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38.676442044233873</v>
      </c>
      <c r="AA201" s="21">
        <f>EXP(-LN(2)/25)*AA200+(1-EXP(-LN(2)/25))/(LN(2)/25)*Calculateur!V201*Calculateur!X201*VLOOKUP('Données projet'!$B$9,Paramètres!$A$1:$I$89,3,0)*0.475*44/12</f>
        <v>5.4324076744616931</v>
      </c>
      <c r="AB201" s="21">
        <f>EXP(-LN(2)/2)*AB200+(1-EXP(-LN(2)/2))/(LN(2)/2)*V201*Y201*VLOOKUP('Données projet'!$B$9,Paramètres!$A$1:$I$89,3,0)*0.475*44/12</f>
        <v>1.5322818370936287E-9</v>
      </c>
      <c r="AC201" s="22">
        <f t="shared" si="163"/>
        <v>44.108849720227845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253.62342381933348</v>
      </c>
      <c r="AO201" s="59">
        <f t="shared" si="205"/>
        <v>230.93438491775407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16.683768098028064</v>
      </c>
      <c r="AV201" s="21">
        <f>EXP(-LN(2)/25)*AV200+(1-EXP(-LN(2)/25))/(LN(2)/25)*Calculateur!AQ201*Calculateur!AS201*VLOOKUP('Données projet'!$B$10,Paramètres!$A$1:$I$89,3,0)*0.475*44/12</f>
        <v>1.5945593060645507</v>
      </c>
      <c r="AW201" s="21">
        <f>EXP(-LN(2)/2)*AW200+(1-EXP(-LN(2)/2))/(LN(2)/2)*AQ201*AT201*VLOOKUP('Données projet'!$B$10,Paramètres!$A$1:$I$89,3,0)*0.475*44/12</f>
        <v>2.1593165531168599E-18</v>
      </c>
      <c r="AX201" s="21">
        <f t="shared" si="166"/>
        <v>18.278327404092614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-5.6843418860808015E-14</v>
      </c>
      <c r="BE201" s="13">
        <f>BD201*VLOOKUP('Données projet'!$B$11,Paramètres!$A$1:$I$89,3,0)*VLOOKUP('Données projet'!$B$11,Paramètres!$A$1:$I$89,5,0)</f>
        <v>-3.3992364478763198E-14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199.27781324660782</v>
      </c>
      <c r="BJ201" s="59">
        <f t="shared" si="206"/>
        <v>199.82499536488524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8.4352013818431235</v>
      </c>
      <c r="BQ201" s="21">
        <f>EXP(-LN(2)/25)*BQ200+(1-EXP(-LN(2)/25))/(LN(2)/25)*Calculateur!BL201*Calculateur!BN201*VLOOKUP('Données projet'!$B$11,Paramètres!$A$1:$I$89,3,0)*0.475*44/12</f>
        <v>0.78806900481551789</v>
      </c>
      <c r="BR201" s="21">
        <f>EXP(-LN(2)/2)*BR200+(1-EXP(-LN(2)/2))/(LN(2)/2)*BL201*BO201*VLOOKUP('Données projet'!$B$11,Paramètres!$A$1:$I$89,3,0)*0.475*44/12</f>
        <v>5.4147135363939979E-20</v>
      </c>
      <c r="BS201" s="22">
        <f t="shared" si="169"/>
        <v>9.2232703866586405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-1.69961822393816E-13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199.27781323742636</v>
      </c>
      <c r="CE201" s="59">
        <f t="shared" si="207"/>
        <v>199.82499536063892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8.4352013819095717</v>
      </c>
      <c r="CL201" s="21">
        <f>EXP(-LN(2)/25)*CL200+(1-EXP(-LN(2)/25))/(LN(2)/25)*Calculateur!CG201*Calculateur!CI201*VLOOKUP('Données projet'!$B$12,Paramètres!$A$1:$I$89,3,0)*0.475*44/12</f>
        <v>0.78755471675908062</v>
      </c>
      <c r="CM201" s="21">
        <f>EXP(-LN(2)/2)*CM200+(1-EXP(-LN(2)/2))/(LN(2)/2)*CG201*CJ201*VLOOKUP('Données projet'!$B$12,Paramètres!$A$1:$I$89,3,0)*0.475*44/12</f>
        <v>5.4147171518218337E-20</v>
      </c>
      <c r="CN201" s="22">
        <f t="shared" si="172"/>
        <v>9.2227560986686523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-3.979039320256561E-13</v>
      </c>
      <c r="CU201" s="17">
        <f>CT201*VLOOKUP('Données projet'!$B$13,Paramètres!$A$1:$I$89,3,0)*VLOOKUP('Données projet'!$B$13,Paramètres!$A$1:$I$89,5,0)</f>
        <v>-2.379465513513424E-13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213.18424462765137</v>
      </c>
      <c r="CZ201" s="59">
        <f t="shared" si="208"/>
        <v>158.77848520346532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13.744969995989951</v>
      </c>
      <c r="DG201" s="21">
        <f>EXP(-LN(2)/25)*DG200+(1-EXP(-LN(2)/25))/(LN(2)/25)*Calculateur!DB201*Calculateur!DD201*VLOOKUP('Données projet'!$B$13,Paramètres!$A$1:$I$89,3,0)*0.475*44/12</f>
        <v>1.2982153827868164</v>
      </c>
      <c r="DH201" s="21">
        <f>EXP(-LN(2)/2)*DH200+(1-EXP(-LN(2)/2))/(LN(2)/2)*DB201*DE201*VLOOKUP('Données projet'!$B$13,Paramètres!$A$1:$I$89,3,0)*0.475*44/12</f>
        <v>6.2730069501491305E-17</v>
      </c>
      <c r="DI201" s="22">
        <f t="shared" si="175"/>
        <v>15.043185378776768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1.1368683772161603E-12</v>
      </c>
      <c r="O202" s="13">
        <f>N202*VLOOKUP('Données projet'!$B$9,Paramètres!$A$1:$I$89,3,0)*VLOOKUP('Données projet'!$B$9,Paramètres!$A$1:$I$89,5,0)</f>
        <v>5.3205440053716299E-13</v>
      </c>
      <c r="P202" s="13">
        <f t="shared" si="203"/>
        <v>6.579711042921201E-12</v>
      </c>
      <c r="Q202" s="20">
        <f t="shared" si="162"/>
        <v>1.2386324814023317E-11</v>
      </c>
      <c r="R202" s="59">
        <f t="shared" si="191"/>
        <v>293.33333333334571</v>
      </c>
      <c r="S202" s="59">
        <f ca="1">AVERAGE(OFFSET($R$3,0,0,'Données projet'!$E$9+1,1))-AVERAGE(OFFSET($H$3,0,0,'Données projet'!$E$9+1,1))</f>
        <v>181.79645720099597</v>
      </c>
      <c r="T202" s="59">
        <f t="shared" si="204"/>
        <v>120.20040029102233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37.918020606046746</v>
      </c>
      <c r="AA202" s="21">
        <f>EXP(-LN(2)/25)*AA201+(1-EXP(-LN(2)/25))/(LN(2)/25)*Calculateur!V202*Calculateur!X202*VLOOKUP('Données projet'!$B$9,Paramètres!$A$1:$I$89,3,0)*0.475*44/12</f>
        <v>5.2838582009256347</v>
      </c>
      <c r="AB202" s="21">
        <f>EXP(-LN(2)/2)*AB201+(1-EXP(-LN(2)/2))/(LN(2)/2)*V202*Y202*VLOOKUP('Données projet'!$B$9,Paramètres!$A$1:$I$89,3,0)*0.475*44/12</f>
        <v>1.0834868776978855E-9</v>
      </c>
      <c r="AC202" s="22">
        <f t="shared" si="163"/>
        <v>43.201878808055866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253.62342381933348</v>
      </c>
      <c r="AO202" s="59">
        <f t="shared" si="205"/>
        <v>230.93438491775407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16.356609581719468</v>
      </c>
      <c r="AV202" s="21">
        <f>EXP(-LN(2)/25)*AV201+(1-EXP(-LN(2)/25))/(LN(2)/25)*Calculateur!AQ202*Calculateur!AS202*VLOOKUP('Données projet'!$B$10,Paramètres!$A$1:$I$89,3,0)*0.475*44/12</f>
        <v>1.5509559979859859</v>
      </c>
      <c r="AW202" s="21">
        <f>EXP(-LN(2)/2)*AW201+(1-EXP(-LN(2)/2))/(LN(2)/2)*AQ202*AT202*VLOOKUP('Données projet'!$B$10,Paramètres!$A$1:$I$89,3,0)*0.475*44/12</f>
        <v>1.5268673774372935E-18</v>
      </c>
      <c r="AX202" s="21">
        <f t="shared" si="166"/>
        <v>17.907565579705455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-5.6843418860808015E-14</v>
      </c>
      <c r="BE202" s="13">
        <f>BD202*VLOOKUP('Données projet'!$B$11,Paramètres!$A$1:$I$89,3,0)*VLOOKUP('Données projet'!$B$11,Paramètres!$A$1:$I$89,5,0)</f>
        <v>-3.3992364478763198E-14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199.27781324660782</v>
      </c>
      <c r="BJ202" s="59">
        <f t="shared" si="206"/>
        <v>199.82499536488524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8.2697922277099991</v>
      </c>
      <c r="BQ202" s="21">
        <f>EXP(-LN(2)/25)*BQ201+(1-EXP(-LN(2)/25))/(LN(2)/25)*Calculateur!BL202*Calculateur!BN202*VLOOKUP('Données projet'!$B$11,Paramètres!$A$1:$I$89,3,0)*0.475*44/12</f>
        <v>0.76651921643608978</v>
      </c>
      <c r="BR202" s="21">
        <f>EXP(-LN(2)/2)*BR201+(1-EXP(-LN(2)/2))/(LN(2)/2)*BL202*BO202*VLOOKUP('Données projet'!$B$11,Paramètres!$A$1:$I$89,3,0)*0.475*44/12</f>
        <v>3.8287806597667878E-20</v>
      </c>
      <c r="BS202" s="22">
        <f t="shared" si="169"/>
        <v>9.0363114441460883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-1.69961822393816E-13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199.27781323742636</v>
      </c>
      <c r="CE202" s="59">
        <f t="shared" si="207"/>
        <v>199.82499536063892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8.2697922277751452</v>
      </c>
      <c r="CL202" s="21">
        <f>EXP(-LN(2)/25)*CL201+(1-EXP(-LN(2)/25))/(LN(2)/25)*Calculateur!CG202*Calculateur!CI202*VLOOKUP('Données projet'!$B$12,Paramètres!$A$1:$I$89,3,0)*0.475*44/12</f>
        <v>0.76601899161360099</v>
      </c>
      <c r="CM202" s="21">
        <f>EXP(-LN(2)/2)*CM201+(1-EXP(-LN(2)/2))/(LN(2)/2)*CG202*CJ202*VLOOKUP('Données projet'!$B$12,Paramètres!$A$1:$I$89,3,0)*0.475*44/12</f>
        <v>3.8287832162603275E-20</v>
      </c>
      <c r="CN202" s="22">
        <f t="shared" si="172"/>
        <v>9.0358112193887461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-3.979039320256561E-13</v>
      </c>
      <c r="CU202" s="17">
        <f>CT202*VLOOKUP('Données projet'!$B$13,Paramètres!$A$1:$I$89,3,0)*VLOOKUP('Données projet'!$B$13,Paramètres!$A$1:$I$89,5,0)</f>
        <v>-2.379465513513424E-13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213.18424462765137</v>
      </c>
      <c r="CZ202" s="59">
        <f t="shared" si="208"/>
        <v>158.77848520346532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13.475439517972474</v>
      </c>
      <c r="DG202" s="21">
        <f>EXP(-LN(2)/25)*DG201+(1-EXP(-LN(2)/25))/(LN(2)/25)*Calculateur!DB202*Calculateur!DD202*VLOOKUP('Données projet'!$B$13,Paramètres!$A$1:$I$89,3,0)*0.475*44/12</f>
        <v>1.262715614874331</v>
      </c>
      <c r="DH202" s="21">
        <f>EXP(-LN(2)/2)*DH201+(1-EXP(-LN(2)/2))/(LN(2)/2)*DB202*DE202*VLOOKUP('Données projet'!$B$13,Paramètres!$A$1:$I$89,3,0)*0.475*44/12</f>
        <v>4.4356857528807931E-17</v>
      </c>
      <c r="DI202" s="22">
        <f t="shared" si="175"/>
        <v>14.738155132846805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1.1368683772161603E-12</v>
      </c>
      <c r="O203" s="13">
        <f>N203*VLOOKUP('Données projet'!$B$9,Paramètres!$A$1:$I$89,3,0)*VLOOKUP('Données projet'!$B$9,Paramètres!$A$1:$I$89,5,0)</f>
        <v>5.3205440053716299E-13</v>
      </c>
      <c r="P203" s="13">
        <f t="shared" si="203"/>
        <v>6.579711042921201E-12</v>
      </c>
      <c r="Q203" s="20">
        <f t="shared" si="162"/>
        <v>1.2386324814023317E-11</v>
      </c>
      <c r="R203" s="59">
        <f t="shared" si="191"/>
        <v>293.33333333334571</v>
      </c>
      <c r="S203" s="59">
        <f ca="1">AVERAGE(OFFSET($R$3,0,0,'Données projet'!$E$9+1,1))-AVERAGE(OFFSET($H$3,0,0,'Données projet'!$E$9+1,1))</f>
        <v>181.79645720099597</v>
      </c>
      <c r="T203" s="59">
        <f t="shared" si="204"/>
        <v>120.20040029102233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37.174471349671066</v>
      </c>
      <c r="AA203" s="21">
        <f>EXP(-LN(2)/25)*AA202+(1-EXP(-LN(2)/25))/(LN(2)/25)*Calculateur!V203*Calculateur!X203*VLOOKUP('Données projet'!$B$9,Paramètres!$A$1:$I$89,3,0)*0.475*44/12</f>
        <v>5.139370820555297</v>
      </c>
      <c r="AB203" s="21">
        <f>EXP(-LN(2)/2)*AB202+(1-EXP(-LN(2)/2))/(LN(2)/2)*V203*Y203*VLOOKUP('Données projet'!$B$9,Paramètres!$A$1:$I$89,3,0)*0.475*44/12</f>
        <v>7.6614091854681434E-10</v>
      </c>
      <c r="AC203" s="22">
        <f t="shared" si="163"/>
        <v>42.313842170992508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253.62342381933348</v>
      </c>
      <c r="AO203" s="59">
        <f t="shared" si="205"/>
        <v>230.93438491775407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16.035866444368693</v>
      </c>
      <c r="AV203" s="21">
        <f>EXP(-LN(2)/25)*AV202+(1-EXP(-LN(2)/25))/(LN(2)/25)*Calculateur!AQ203*Calculateur!AS203*VLOOKUP('Données projet'!$B$10,Paramètres!$A$1:$I$89,3,0)*0.475*44/12</f>
        <v>1.508545024659828</v>
      </c>
      <c r="AW203" s="21">
        <f>EXP(-LN(2)/2)*AW202+(1-EXP(-LN(2)/2))/(LN(2)/2)*AQ203*AT203*VLOOKUP('Données projet'!$B$10,Paramètres!$A$1:$I$89,3,0)*0.475*44/12</f>
        <v>1.07965827655843E-18</v>
      </c>
      <c r="AX203" s="21">
        <f t="shared" si="166"/>
        <v>17.544411469028521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-5.6843418860808015E-14</v>
      </c>
      <c r="BE203" s="13">
        <f>BD203*VLOOKUP('Données projet'!$B$11,Paramètres!$A$1:$I$89,3,0)*VLOOKUP('Données projet'!$B$11,Paramètres!$A$1:$I$89,5,0)</f>
        <v>-3.3992364478763198E-14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199.27781324660782</v>
      </c>
      <c r="BJ203" s="59">
        <f t="shared" si="206"/>
        <v>199.82499536488524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8.1076266461998046</v>
      </c>
      <c r="BQ203" s="21">
        <f>EXP(-LN(2)/25)*BQ202+(1-EXP(-LN(2)/25))/(LN(2)/25)*Calculateur!BL203*Calculateur!BN203*VLOOKUP('Données projet'!$B$11,Paramètres!$A$1:$I$89,3,0)*0.475*44/12</f>
        <v>0.74555870815315117</v>
      </c>
      <c r="BR203" s="21">
        <f>EXP(-LN(2)/2)*BR202+(1-EXP(-LN(2)/2))/(LN(2)/2)*BL203*BO203*VLOOKUP('Données projet'!$B$11,Paramètres!$A$1:$I$89,3,0)*0.475*44/12</f>
        <v>2.7073567681969993E-20</v>
      </c>
      <c r="BS203" s="22">
        <f t="shared" si="169"/>
        <v>8.8531853543529557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-1.69961822393816E-13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199.27781323742636</v>
      </c>
      <c r="CE203" s="59">
        <f t="shared" si="207"/>
        <v>199.82499536063892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8.1076266462636717</v>
      </c>
      <c r="CL203" s="21">
        <f>EXP(-LN(2)/25)*CL202+(1-EXP(-LN(2)/25))/(LN(2)/25)*Calculateur!CG203*Calculateur!CI203*VLOOKUP('Données projet'!$B$12,Paramètres!$A$1:$I$89,3,0)*0.475*44/12</f>
        <v>0.74507216200473902</v>
      </c>
      <c r="CM203" s="21">
        <f>EXP(-LN(2)/2)*CM202+(1-EXP(-LN(2)/2))/(LN(2)/2)*CG203*CJ203*VLOOKUP('Données projet'!$B$12,Paramètres!$A$1:$I$89,3,0)*0.475*44/12</f>
        <v>2.7073585759109171E-20</v>
      </c>
      <c r="CN203" s="22">
        <f t="shared" si="172"/>
        <v>8.8526988082684106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-3.979039320256561E-13</v>
      </c>
      <c r="CU203" s="17">
        <f>CT203*VLOOKUP('Données projet'!$B$13,Paramètres!$A$1:$I$89,3,0)*VLOOKUP('Données projet'!$B$13,Paramètres!$A$1:$I$89,5,0)</f>
        <v>-2.379465513513424E-13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213.18424462765137</v>
      </c>
      <c r="CZ203" s="59">
        <f t="shared" si="208"/>
        <v>158.77848520346532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13.21119436823156</v>
      </c>
      <c r="DG203" s="21">
        <f>EXP(-LN(2)/25)*DG202+(1-EXP(-LN(2)/25))/(LN(2)/25)*Calculateur!DB203*Calculateur!DD203*VLOOKUP('Données projet'!$B$13,Paramètres!$A$1:$I$89,3,0)*0.475*44/12</f>
        <v>1.2281865899822642</v>
      </c>
      <c r="DH203" s="21">
        <f>EXP(-LN(2)/2)*DH202+(1-EXP(-LN(2)/2))/(LN(2)/2)*DB203*DE203*VLOOKUP('Données projet'!$B$13,Paramètres!$A$1:$I$89,3,0)*0.475*44/12</f>
        <v>3.1365034750745653E-17</v>
      </c>
      <c r="DI203" s="22">
        <f t="shared" si="175"/>
        <v>14.439380958213825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115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115</v>
      </c>
      <c r="BA204" s="81" t="s">
        <v>115</v>
      </c>
      <c r="BV204" s="81" t="s">
        <v>115</v>
      </c>
      <c r="CQ204" s="81" t="s">
        <v>115</v>
      </c>
      <c r="DL204" s="81" t="s">
        <v>115</v>
      </c>
      <c r="EG204" s="81" t="s">
        <v>115</v>
      </c>
      <c r="FB204" s="81" t="s">
        <v>115</v>
      </c>
      <c r="FW204" s="81" t="s">
        <v>115</v>
      </c>
      <c r="GR204" s="81" t="s">
        <v>115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1.1810516433311786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1.2805631431945952</v>
      </c>
      <c r="BA205" s="82">
        <f>EXP(LN('Données projet'!B88)/'Données projet'!A88)</f>
        <v>1.3292852468636394</v>
      </c>
      <c r="BV205" s="82">
        <f>EXP(LN('Données projet'!B114)/'Données projet'!A114)</f>
        <v>1.3292852468636394</v>
      </c>
      <c r="CQ205" s="82">
        <f>EXP(LN('Données projet'!B140)/'Données projet'!A140)</f>
        <v>1.2476305424001204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116</v>
      </c>
      <c r="B1" s="112" t="s">
        <v>117</v>
      </c>
      <c r="C1" s="113" t="s">
        <v>118</v>
      </c>
      <c r="D1" s="112" t="s">
        <v>119</v>
      </c>
      <c r="E1" s="113" t="s">
        <v>120</v>
      </c>
      <c r="F1" s="113" t="s">
        <v>119</v>
      </c>
      <c r="G1" s="113" t="s">
        <v>121</v>
      </c>
      <c r="H1" s="113" t="s">
        <v>119</v>
      </c>
      <c r="I1" s="114" t="s">
        <v>122</v>
      </c>
      <c r="J1" s="78"/>
      <c r="K1" s="78"/>
      <c r="L1" s="78"/>
      <c r="M1" s="78"/>
      <c r="N1" s="78"/>
    </row>
    <row r="2" spans="1:16" x14ac:dyDescent="0.35">
      <c r="A2" s="115" t="s">
        <v>123</v>
      </c>
      <c r="B2" s="116" t="s">
        <v>124</v>
      </c>
      <c r="C2" s="117">
        <v>0.62</v>
      </c>
      <c r="D2" s="117" t="s">
        <v>125</v>
      </c>
      <c r="E2" s="117">
        <v>1.56</v>
      </c>
      <c r="F2" s="117" t="s">
        <v>126</v>
      </c>
      <c r="G2" s="118">
        <v>0.43</v>
      </c>
      <c r="H2" s="119" t="s">
        <v>127</v>
      </c>
      <c r="I2" s="120">
        <v>0.25</v>
      </c>
      <c r="J2" s="78"/>
      <c r="K2" s="78"/>
      <c r="L2" s="78"/>
      <c r="M2" s="78"/>
      <c r="N2" s="78"/>
      <c r="O2" s="283" t="s">
        <v>128</v>
      </c>
      <c r="P2" s="121">
        <v>0</v>
      </c>
    </row>
    <row r="3" spans="1:16" ht="15" thickBot="1" x14ac:dyDescent="0.4">
      <c r="A3" s="122" t="s">
        <v>129</v>
      </c>
      <c r="B3" s="123" t="s">
        <v>130</v>
      </c>
      <c r="C3" s="124">
        <v>0.64</v>
      </c>
      <c r="D3" s="124" t="s">
        <v>125</v>
      </c>
      <c r="E3" s="124">
        <v>1.56</v>
      </c>
      <c r="F3" s="125" t="s">
        <v>126</v>
      </c>
      <c r="G3" s="126">
        <v>0.43</v>
      </c>
      <c r="H3" s="124" t="s">
        <v>127</v>
      </c>
      <c r="I3" s="127">
        <v>0.25</v>
      </c>
      <c r="J3" s="78"/>
      <c r="K3" s="78"/>
      <c r="L3" s="78"/>
      <c r="M3" s="78"/>
      <c r="N3" s="78"/>
      <c r="O3" s="284"/>
      <c r="P3" s="128">
        <v>0.2</v>
      </c>
    </row>
    <row r="4" spans="1:16" ht="15" thickBot="1" x14ac:dyDescent="0.4">
      <c r="A4" s="122" t="s">
        <v>131</v>
      </c>
      <c r="B4" s="123" t="s">
        <v>132</v>
      </c>
      <c r="C4" s="124">
        <v>0.42</v>
      </c>
      <c r="D4" s="124" t="s">
        <v>125</v>
      </c>
      <c r="E4" s="124">
        <v>1.56</v>
      </c>
      <c r="F4" s="125" t="s">
        <v>126</v>
      </c>
      <c r="G4" s="126">
        <v>0.43</v>
      </c>
      <c r="H4" s="124" t="s">
        <v>127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133</v>
      </c>
      <c r="B5" s="123" t="s">
        <v>134</v>
      </c>
      <c r="C5" s="124">
        <v>0.42</v>
      </c>
      <c r="D5" s="124" t="s">
        <v>125</v>
      </c>
      <c r="E5" s="124">
        <v>1.56</v>
      </c>
      <c r="F5" s="125" t="s">
        <v>126</v>
      </c>
      <c r="G5" s="126">
        <v>0.43</v>
      </c>
      <c r="H5" s="124" t="s">
        <v>127</v>
      </c>
      <c r="I5" s="127">
        <v>0.25</v>
      </c>
      <c r="J5" s="78"/>
      <c r="K5" s="78"/>
      <c r="L5" s="78"/>
      <c r="M5" s="78"/>
      <c r="N5" s="78"/>
      <c r="O5" s="283" t="s">
        <v>135</v>
      </c>
      <c r="P5" s="121">
        <v>0</v>
      </c>
    </row>
    <row r="6" spans="1:16" x14ac:dyDescent="0.35">
      <c r="A6" s="122" t="s">
        <v>136</v>
      </c>
      <c r="B6" s="123" t="s">
        <v>137</v>
      </c>
      <c r="C6" s="124">
        <v>0.42</v>
      </c>
      <c r="D6" s="124" t="s">
        <v>125</v>
      </c>
      <c r="E6" s="124">
        <v>1.56</v>
      </c>
      <c r="F6" s="125" t="s">
        <v>126</v>
      </c>
      <c r="G6" s="126">
        <v>0.43</v>
      </c>
      <c r="H6" s="124" t="s">
        <v>127</v>
      </c>
      <c r="I6" s="127">
        <v>0.25</v>
      </c>
      <c r="J6" s="78"/>
      <c r="K6" s="78"/>
      <c r="L6" s="78"/>
      <c r="M6" s="78"/>
      <c r="N6" s="78"/>
      <c r="O6" s="285"/>
      <c r="P6" s="129">
        <v>0.05</v>
      </c>
    </row>
    <row r="7" spans="1:16" x14ac:dyDescent="0.35">
      <c r="A7" s="122" t="s">
        <v>138</v>
      </c>
      <c r="B7" s="123" t="s">
        <v>139</v>
      </c>
      <c r="C7" s="124">
        <v>0.52</v>
      </c>
      <c r="D7" s="124" t="s">
        <v>125</v>
      </c>
      <c r="E7" s="124">
        <v>1.56</v>
      </c>
      <c r="F7" s="125" t="s">
        <v>126</v>
      </c>
      <c r="G7" s="126">
        <v>0.43</v>
      </c>
      <c r="H7" s="124" t="s">
        <v>127</v>
      </c>
      <c r="I7" s="127">
        <v>0.25</v>
      </c>
      <c r="J7" s="78"/>
      <c r="K7" s="78"/>
      <c r="L7" s="78"/>
      <c r="M7" s="78"/>
      <c r="N7" s="78"/>
      <c r="O7" s="285"/>
      <c r="P7" s="129">
        <v>0.1</v>
      </c>
    </row>
    <row r="8" spans="1:16" ht="15" thickBot="1" x14ac:dyDescent="0.4">
      <c r="A8" s="122" t="s">
        <v>16</v>
      </c>
      <c r="B8" s="123" t="s">
        <v>140</v>
      </c>
      <c r="C8" s="124">
        <v>0.36</v>
      </c>
      <c r="D8" s="124" t="s">
        <v>125</v>
      </c>
      <c r="E8" s="124">
        <v>1.3</v>
      </c>
      <c r="F8" s="125" t="s">
        <v>126</v>
      </c>
      <c r="G8" s="126">
        <v>0.55000000000000004</v>
      </c>
      <c r="H8" s="124" t="s">
        <v>141</v>
      </c>
      <c r="I8" s="127">
        <v>0.43</v>
      </c>
      <c r="J8" s="78"/>
      <c r="K8" s="78"/>
      <c r="L8" s="78"/>
      <c r="M8" s="78"/>
      <c r="N8" s="78"/>
      <c r="O8" s="284"/>
      <c r="P8" s="128">
        <v>0.15</v>
      </c>
    </row>
    <row r="9" spans="1:16" ht="15" thickBot="1" x14ac:dyDescent="0.4">
      <c r="A9" s="122" t="s">
        <v>142</v>
      </c>
      <c r="B9" s="123" t="s">
        <v>143</v>
      </c>
      <c r="C9" s="124">
        <v>0.61</v>
      </c>
      <c r="D9" s="124" t="s">
        <v>125</v>
      </c>
      <c r="E9" s="124">
        <v>1.56</v>
      </c>
      <c r="F9" s="125" t="s">
        <v>126</v>
      </c>
      <c r="G9" s="126">
        <v>0.43</v>
      </c>
      <c r="H9" s="124" t="s">
        <v>127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144</v>
      </c>
      <c r="B10" s="123" t="s">
        <v>145</v>
      </c>
      <c r="C10" s="124">
        <v>0.66</v>
      </c>
      <c r="D10" s="124" t="s">
        <v>125</v>
      </c>
      <c r="E10" s="124">
        <v>1.56</v>
      </c>
      <c r="F10" s="125" t="s">
        <v>126</v>
      </c>
      <c r="G10" s="126">
        <v>0.43</v>
      </c>
      <c r="H10" s="124" t="s">
        <v>127</v>
      </c>
      <c r="I10" s="127">
        <v>0.25</v>
      </c>
      <c r="J10" s="78"/>
      <c r="K10" s="78"/>
      <c r="L10" s="78"/>
      <c r="M10" s="78"/>
      <c r="N10" s="78"/>
      <c r="O10" s="283" t="s">
        <v>146</v>
      </c>
      <c r="P10" s="121">
        <v>0</v>
      </c>
    </row>
    <row r="11" spans="1:16" ht="15" thickBot="1" x14ac:dyDescent="0.4">
      <c r="A11" s="122" t="s">
        <v>147</v>
      </c>
      <c r="B11" s="123" t="s">
        <v>148</v>
      </c>
      <c r="C11" s="124">
        <v>0.47</v>
      </c>
      <c r="D11" s="124" t="s">
        <v>125</v>
      </c>
      <c r="E11" s="124">
        <v>1.56</v>
      </c>
      <c r="F11" s="125" t="s">
        <v>126</v>
      </c>
      <c r="G11" s="126">
        <v>0.43</v>
      </c>
      <c r="H11" s="124" t="s">
        <v>127</v>
      </c>
      <c r="I11" s="127">
        <v>0.25</v>
      </c>
      <c r="J11" s="78"/>
      <c r="K11" s="78"/>
      <c r="L11" s="78"/>
      <c r="M11" s="78"/>
      <c r="N11" s="78"/>
      <c r="O11" s="284"/>
      <c r="P11" s="128">
        <v>0.1</v>
      </c>
    </row>
    <row r="12" spans="1:16" x14ac:dyDescent="0.35">
      <c r="A12" s="122" t="s">
        <v>149</v>
      </c>
      <c r="B12" s="123" t="s">
        <v>150</v>
      </c>
      <c r="C12" s="124">
        <v>0.67</v>
      </c>
      <c r="D12" s="124" t="s">
        <v>125</v>
      </c>
      <c r="E12" s="124">
        <v>1.56</v>
      </c>
      <c r="F12" s="125" t="s">
        <v>126</v>
      </c>
      <c r="G12" s="126">
        <v>0.43</v>
      </c>
      <c r="H12" s="124" t="s">
        <v>151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152</v>
      </c>
      <c r="B13" s="123" t="s">
        <v>153</v>
      </c>
      <c r="C13" s="124">
        <v>0.7</v>
      </c>
      <c r="D13" s="124" t="s">
        <v>125</v>
      </c>
      <c r="E13" s="124">
        <v>1.56</v>
      </c>
      <c r="F13" s="125" t="s">
        <v>126</v>
      </c>
      <c r="G13" s="126">
        <v>0.43</v>
      </c>
      <c r="H13" s="124" t="s">
        <v>151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154</v>
      </c>
      <c r="B14" s="123" t="s">
        <v>155</v>
      </c>
      <c r="C14" s="124">
        <v>0.54</v>
      </c>
      <c r="D14" s="124" t="s">
        <v>125</v>
      </c>
      <c r="E14" s="124">
        <v>1.56</v>
      </c>
      <c r="F14" s="125" t="s">
        <v>126</v>
      </c>
      <c r="G14" s="126">
        <v>0.43</v>
      </c>
      <c r="H14" s="124" t="s">
        <v>151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156</v>
      </c>
      <c r="B15" s="123" t="s">
        <v>157</v>
      </c>
      <c r="C15" s="124">
        <v>0.65</v>
      </c>
      <c r="D15" s="124" t="s">
        <v>125</v>
      </c>
      <c r="E15" s="124">
        <v>1.56</v>
      </c>
      <c r="F15" s="125" t="s">
        <v>126</v>
      </c>
      <c r="G15" s="126">
        <v>0.43</v>
      </c>
      <c r="H15" s="124" t="s">
        <v>151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158</v>
      </c>
      <c r="B16" s="123" t="s">
        <v>159</v>
      </c>
      <c r="C16" s="124">
        <v>0.56000000000000005</v>
      </c>
      <c r="D16" s="124" t="s">
        <v>125</v>
      </c>
      <c r="E16" s="124">
        <v>1.56</v>
      </c>
      <c r="F16" s="125" t="s">
        <v>126</v>
      </c>
      <c r="G16" s="126">
        <v>0.43</v>
      </c>
      <c r="H16" s="124" t="s">
        <v>151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160</v>
      </c>
      <c r="B17" s="123" t="s">
        <v>161</v>
      </c>
      <c r="C17" s="124">
        <v>0.57999999999999996</v>
      </c>
      <c r="D17" s="124" t="s">
        <v>125</v>
      </c>
      <c r="E17" s="124">
        <v>1.56</v>
      </c>
      <c r="F17" s="125" t="s">
        <v>126</v>
      </c>
      <c r="G17" s="126">
        <v>0.43</v>
      </c>
      <c r="H17" s="124" t="s">
        <v>151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162</v>
      </c>
      <c r="B18" s="123" t="s">
        <v>163</v>
      </c>
      <c r="C18" s="124">
        <v>0.64</v>
      </c>
      <c r="D18" s="124" t="s">
        <v>125</v>
      </c>
      <c r="E18" s="124">
        <v>1.56</v>
      </c>
      <c r="F18" s="125" t="s">
        <v>126</v>
      </c>
      <c r="G18" s="126">
        <v>0.43</v>
      </c>
      <c r="H18" s="124" t="s">
        <v>151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164</v>
      </c>
      <c r="B19" s="123" t="s">
        <v>165</v>
      </c>
      <c r="C19" s="124">
        <v>0.73</v>
      </c>
      <c r="D19" s="124" t="s">
        <v>125</v>
      </c>
      <c r="E19" s="124">
        <v>1.56</v>
      </c>
      <c r="F19" s="125" t="s">
        <v>126</v>
      </c>
      <c r="G19" s="126">
        <v>0.43</v>
      </c>
      <c r="H19" s="124" t="s">
        <v>151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166</v>
      </c>
      <c r="B20" s="123" t="s">
        <v>167</v>
      </c>
      <c r="C20" s="124">
        <v>0.69</v>
      </c>
      <c r="D20" s="124" t="s">
        <v>168</v>
      </c>
      <c r="E20" s="124">
        <v>1.56</v>
      </c>
      <c r="F20" s="125" t="s">
        <v>126</v>
      </c>
      <c r="G20" s="126">
        <v>0.43</v>
      </c>
      <c r="H20" s="124" t="s">
        <v>169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170</v>
      </c>
      <c r="B21" s="123" t="s">
        <v>171</v>
      </c>
      <c r="C21" s="124">
        <v>0.36</v>
      </c>
      <c r="D21" s="124" t="s">
        <v>125</v>
      </c>
      <c r="E21" s="124">
        <v>1.3</v>
      </c>
      <c r="F21" s="125" t="s">
        <v>126</v>
      </c>
      <c r="G21" s="126">
        <v>0.55000000000000004</v>
      </c>
      <c r="H21" s="124" t="s">
        <v>141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172</v>
      </c>
      <c r="B22" s="123" t="s">
        <v>173</v>
      </c>
      <c r="C22" s="124">
        <v>0.4</v>
      </c>
      <c r="D22" s="124" t="s">
        <v>125</v>
      </c>
      <c r="E22" s="124">
        <v>1.3</v>
      </c>
      <c r="F22" s="125" t="s">
        <v>126</v>
      </c>
      <c r="G22" s="126">
        <v>0.55000000000000004</v>
      </c>
      <c r="H22" s="124" t="s">
        <v>141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19</v>
      </c>
      <c r="B23" s="123" t="s">
        <v>174</v>
      </c>
      <c r="C23" s="124">
        <v>0.43</v>
      </c>
      <c r="D23" s="124" t="s">
        <v>125</v>
      </c>
      <c r="E23" s="124">
        <v>1.3</v>
      </c>
      <c r="F23" s="125" t="s">
        <v>126</v>
      </c>
      <c r="G23" s="126">
        <v>0.55000000000000004</v>
      </c>
      <c r="H23" s="124" t="s">
        <v>141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73</v>
      </c>
      <c r="B24" s="123" t="s">
        <v>175</v>
      </c>
      <c r="C24" s="124">
        <v>0.37</v>
      </c>
      <c r="D24" s="124" t="s">
        <v>125</v>
      </c>
      <c r="E24" s="124">
        <v>1.3</v>
      </c>
      <c r="F24" s="125" t="s">
        <v>126</v>
      </c>
      <c r="G24" s="126">
        <v>0.55000000000000004</v>
      </c>
      <c r="H24" s="124" t="s">
        <v>151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176</v>
      </c>
      <c r="B25" s="123" t="s">
        <v>177</v>
      </c>
      <c r="C25" s="124">
        <v>0.36</v>
      </c>
      <c r="D25" s="124" t="s">
        <v>125</v>
      </c>
      <c r="E25" s="124">
        <v>1.3</v>
      </c>
      <c r="F25" s="125" t="s">
        <v>126</v>
      </c>
      <c r="G25" s="126">
        <v>0.55000000000000004</v>
      </c>
      <c r="H25" s="124" t="s">
        <v>151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178</v>
      </c>
      <c r="B26" s="123" t="s">
        <v>179</v>
      </c>
      <c r="C26" s="124">
        <v>0.56000000000000005</v>
      </c>
      <c r="D26" s="124" t="s">
        <v>125</v>
      </c>
      <c r="E26" s="124">
        <v>1.56</v>
      </c>
      <c r="F26" s="125" t="s">
        <v>126</v>
      </c>
      <c r="G26" s="126">
        <v>0.53</v>
      </c>
      <c r="H26" s="124" t="s">
        <v>180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181</v>
      </c>
      <c r="B27" s="123" t="s">
        <v>182</v>
      </c>
      <c r="C27" s="124">
        <v>0.51</v>
      </c>
      <c r="D27" s="124" t="s">
        <v>125</v>
      </c>
      <c r="E27" s="124">
        <v>1.56</v>
      </c>
      <c r="F27" s="125" t="s">
        <v>126</v>
      </c>
      <c r="G27" s="126">
        <v>0.53</v>
      </c>
      <c r="H27" s="124" t="s">
        <v>180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183</v>
      </c>
      <c r="B28" s="123" t="s">
        <v>184</v>
      </c>
      <c r="C28" s="124">
        <v>0.51</v>
      </c>
      <c r="D28" s="124" t="s">
        <v>125</v>
      </c>
      <c r="E28" s="124">
        <v>1.56</v>
      </c>
      <c r="F28" s="125" t="s">
        <v>126</v>
      </c>
      <c r="G28" s="126">
        <v>0.53</v>
      </c>
      <c r="H28" s="124" t="s">
        <v>180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185</v>
      </c>
      <c r="B29" s="123" t="s">
        <v>185</v>
      </c>
      <c r="C29" s="124">
        <v>0.56000000000000005</v>
      </c>
      <c r="D29" s="124" t="s">
        <v>125</v>
      </c>
      <c r="E29" s="124">
        <v>1.56</v>
      </c>
      <c r="F29" s="125" t="s">
        <v>126</v>
      </c>
      <c r="G29" s="126">
        <v>0.53</v>
      </c>
      <c r="H29" s="124" t="s">
        <v>180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186</v>
      </c>
      <c r="B30" s="123" t="s">
        <v>187</v>
      </c>
      <c r="C30" s="124">
        <v>0.55000000000000004</v>
      </c>
      <c r="D30" s="124" t="s">
        <v>125</v>
      </c>
      <c r="E30" s="124">
        <v>1.56</v>
      </c>
      <c r="F30" s="125" t="s">
        <v>126</v>
      </c>
      <c r="G30" s="126">
        <v>0.53</v>
      </c>
      <c r="H30" s="124" t="s">
        <v>151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188</v>
      </c>
      <c r="B31" s="123" t="s">
        <v>189</v>
      </c>
      <c r="C31" s="124">
        <v>0.56000000000000005</v>
      </c>
      <c r="D31" s="124" t="s">
        <v>125</v>
      </c>
      <c r="E31" s="124">
        <v>1.56</v>
      </c>
      <c r="F31" s="125" t="s">
        <v>126</v>
      </c>
      <c r="G31" s="126">
        <v>0.43</v>
      </c>
      <c r="H31" s="124" t="s">
        <v>127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190</v>
      </c>
      <c r="B32" s="123" t="s">
        <v>191</v>
      </c>
      <c r="C32" s="124">
        <v>0.48</v>
      </c>
      <c r="D32" s="124" t="s">
        <v>125</v>
      </c>
      <c r="E32" s="124">
        <v>1.3</v>
      </c>
      <c r="F32" s="125" t="s">
        <v>126</v>
      </c>
      <c r="G32" s="126">
        <v>0.6</v>
      </c>
      <c r="H32" s="124" t="s">
        <v>192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193</v>
      </c>
      <c r="B33" s="123" t="s">
        <v>194</v>
      </c>
      <c r="C33" s="124">
        <v>0.42</v>
      </c>
      <c r="D33" s="124" t="s">
        <v>125</v>
      </c>
      <c r="E33" s="124">
        <v>1.3</v>
      </c>
      <c r="F33" s="125" t="s">
        <v>126</v>
      </c>
      <c r="G33" s="126">
        <v>0.6</v>
      </c>
      <c r="H33" s="124" t="s">
        <v>192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195</v>
      </c>
      <c r="B34" s="123" t="s">
        <v>196</v>
      </c>
      <c r="C34" s="124">
        <v>0.42</v>
      </c>
      <c r="D34" s="124" t="s">
        <v>197</v>
      </c>
      <c r="E34" s="124">
        <v>1.3</v>
      </c>
      <c r="F34" s="125" t="s">
        <v>126</v>
      </c>
      <c r="G34" s="126">
        <v>0.6</v>
      </c>
      <c r="H34" s="123" t="s">
        <v>198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199</v>
      </c>
      <c r="B35" s="123" t="s">
        <v>200</v>
      </c>
      <c r="C35" s="124">
        <v>0.5</v>
      </c>
      <c r="D35" s="124" t="s">
        <v>125</v>
      </c>
      <c r="E35" s="124">
        <v>1.56</v>
      </c>
      <c r="F35" s="125" t="s">
        <v>126</v>
      </c>
      <c r="G35" s="126">
        <v>0.43</v>
      </c>
      <c r="H35" s="124" t="s">
        <v>127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201</v>
      </c>
      <c r="B36" s="123" t="s">
        <v>202</v>
      </c>
      <c r="C36" s="124">
        <v>0.55000000000000004</v>
      </c>
      <c r="D36" s="124" t="s">
        <v>125</v>
      </c>
      <c r="E36" s="124">
        <v>1.56</v>
      </c>
      <c r="F36" s="125" t="s">
        <v>126</v>
      </c>
      <c r="G36" s="126">
        <v>0.53</v>
      </c>
      <c r="H36" s="124" t="s">
        <v>180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203</v>
      </c>
      <c r="B37" s="123" t="s">
        <v>204</v>
      </c>
      <c r="C37" s="124">
        <v>0.52</v>
      </c>
      <c r="D37" s="124" t="s">
        <v>125</v>
      </c>
      <c r="E37" s="124">
        <v>1.56</v>
      </c>
      <c r="F37" s="125" t="s">
        <v>126</v>
      </c>
      <c r="G37" s="126">
        <v>0.53</v>
      </c>
      <c r="H37" s="124" t="s">
        <v>180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205</v>
      </c>
      <c r="B38" s="123" t="s">
        <v>206</v>
      </c>
      <c r="C38" s="124">
        <v>0.52</v>
      </c>
      <c r="D38" s="124" t="s">
        <v>125</v>
      </c>
      <c r="E38" s="124">
        <v>1.56</v>
      </c>
      <c r="F38" s="125" t="s">
        <v>126</v>
      </c>
      <c r="G38" s="126">
        <v>0.43</v>
      </c>
      <c r="H38" s="124" t="s">
        <v>127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207</v>
      </c>
      <c r="B39" s="123" t="s">
        <v>208</v>
      </c>
      <c r="C39" s="124">
        <v>0.313</v>
      </c>
      <c r="D39" s="124" t="s">
        <v>209</v>
      </c>
      <c r="E39" s="124">
        <v>1.56</v>
      </c>
      <c r="F39" s="125" t="s">
        <v>126</v>
      </c>
      <c r="G39" s="126">
        <v>0.6</v>
      </c>
      <c r="H39" s="124" t="s">
        <v>210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211</v>
      </c>
      <c r="B40" s="123" t="s">
        <v>208</v>
      </c>
      <c r="C40" s="124">
        <v>0.35199999999999998</v>
      </c>
      <c r="D40" s="124" t="s">
        <v>209</v>
      </c>
      <c r="E40" s="124">
        <v>1.56</v>
      </c>
      <c r="F40" s="125" t="s">
        <v>126</v>
      </c>
      <c r="G40" s="126">
        <v>0.6</v>
      </c>
      <c r="H40" s="124" t="s">
        <v>210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212</v>
      </c>
      <c r="B41" s="123" t="s">
        <v>208</v>
      </c>
      <c r="C41" s="124">
        <v>0.32200000000000001</v>
      </c>
      <c r="D41" s="124" t="s">
        <v>209</v>
      </c>
      <c r="E41" s="124">
        <v>1.56</v>
      </c>
      <c r="F41" s="125" t="s">
        <v>126</v>
      </c>
      <c r="G41" s="126">
        <v>0.6</v>
      </c>
      <c r="H41" s="124" t="s">
        <v>210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213</v>
      </c>
      <c r="B42" s="123" t="s">
        <v>208</v>
      </c>
      <c r="C42" s="124">
        <v>0.311</v>
      </c>
      <c r="D42" s="124" t="s">
        <v>209</v>
      </c>
      <c r="E42" s="124">
        <v>1.56</v>
      </c>
      <c r="F42" s="125" t="s">
        <v>126</v>
      </c>
      <c r="G42" s="126">
        <v>0.6</v>
      </c>
      <c r="H42" s="124" t="s">
        <v>210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214</v>
      </c>
      <c r="B43" s="123" t="s">
        <v>208</v>
      </c>
      <c r="C43" s="124">
        <v>0.33900000000000002</v>
      </c>
      <c r="D43" s="124" t="s">
        <v>209</v>
      </c>
      <c r="E43" s="124">
        <v>1.56</v>
      </c>
      <c r="F43" s="125" t="s">
        <v>126</v>
      </c>
      <c r="G43" s="126">
        <v>0.6</v>
      </c>
      <c r="H43" s="124" t="s">
        <v>210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215</v>
      </c>
      <c r="B44" s="123" t="s">
        <v>208</v>
      </c>
      <c r="C44" s="124">
        <v>0.33600000000000002</v>
      </c>
      <c r="D44" s="124" t="s">
        <v>209</v>
      </c>
      <c r="E44" s="124">
        <v>1.56</v>
      </c>
      <c r="F44" s="125" t="s">
        <v>126</v>
      </c>
      <c r="G44" s="126">
        <v>0.6</v>
      </c>
      <c r="H44" s="124" t="s">
        <v>210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216</v>
      </c>
      <c r="B45" s="123" t="s">
        <v>208</v>
      </c>
      <c r="C45" s="124">
        <v>0.32900000000000001</v>
      </c>
      <c r="D45" s="124" t="s">
        <v>209</v>
      </c>
      <c r="E45" s="124">
        <v>1.56</v>
      </c>
      <c r="F45" s="125" t="s">
        <v>126</v>
      </c>
      <c r="G45" s="126">
        <v>0.6</v>
      </c>
      <c r="H45" s="124" t="s">
        <v>210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217</v>
      </c>
      <c r="B46" s="123" t="s">
        <v>208</v>
      </c>
      <c r="C46" s="124">
        <v>0.34300000000000003</v>
      </c>
      <c r="D46" s="124" t="s">
        <v>209</v>
      </c>
      <c r="E46" s="124">
        <v>1.56</v>
      </c>
      <c r="F46" s="125" t="s">
        <v>126</v>
      </c>
      <c r="G46" s="126">
        <v>0.6</v>
      </c>
      <c r="H46" s="124" t="s">
        <v>210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218</v>
      </c>
      <c r="B47" s="123" t="s">
        <v>208</v>
      </c>
      <c r="C47" s="124">
        <v>0.32500000000000001</v>
      </c>
      <c r="D47" s="124" t="s">
        <v>209</v>
      </c>
      <c r="E47" s="124">
        <v>1.56</v>
      </c>
      <c r="F47" s="125" t="s">
        <v>126</v>
      </c>
      <c r="G47" s="126">
        <v>0.6</v>
      </c>
      <c r="H47" s="124" t="s">
        <v>210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219</v>
      </c>
      <c r="B48" s="123" t="s">
        <v>208</v>
      </c>
      <c r="C48" s="124">
        <v>0.32</v>
      </c>
      <c r="D48" s="124" t="s">
        <v>209</v>
      </c>
      <c r="E48" s="124">
        <v>1.56</v>
      </c>
      <c r="F48" s="125" t="s">
        <v>126</v>
      </c>
      <c r="G48" s="126">
        <v>0.6</v>
      </c>
      <c r="H48" s="124" t="s">
        <v>210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220</v>
      </c>
      <c r="B49" s="123" t="s">
        <v>208</v>
      </c>
      <c r="C49" s="124">
        <v>0.28199999999999997</v>
      </c>
      <c r="D49" s="124" t="s">
        <v>209</v>
      </c>
      <c r="E49" s="124">
        <v>1.56</v>
      </c>
      <c r="F49" s="125" t="s">
        <v>126</v>
      </c>
      <c r="G49" s="126">
        <v>0.6</v>
      </c>
      <c r="H49" s="124" t="s">
        <v>210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221</v>
      </c>
      <c r="B50" s="123" t="s">
        <v>208</v>
      </c>
      <c r="C50" s="124">
        <v>0.32800000000000001</v>
      </c>
      <c r="D50" s="124" t="s">
        <v>209</v>
      </c>
      <c r="E50" s="124">
        <v>1.56</v>
      </c>
      <c r="F50" s="125" t="s">
        <v>126</v>
      </c>
      <c r="G50" s="126">
        <v>0.6</v>
      </c>
      <c r="H50" s="124" t="s">
        <v>210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222</v>
      </c>
      <c r="B51" s="123" t="s">
        <v>208</v>
      </c>
      <c r="C51" s="124">
        <v>0.32600000000000001</v>
      </c>
      <c r="D51" s="124" t="s">
        <v>209</v>
      </c>
      <c r="E51" s="124">
        <v>1.56</v>
      </c>
      <c r="F51" s="125" t="s">
        <v>126</v>
      </c>
      <c r="G51" s="126">
        <v>0.6</v>
      </c>
      <c r="H51" s="124" t="s">
        <v>210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223</v>
      </c>
      <c r="B52" s="123" t="s">
        <v>208</v>
      </c>
      <c r="C52" s="124">
        <v>0.35899999999999999</v>
      </c>
      <c r="D52" s="124" t="s">
        <v>209</v>
      </c>
      <c r="E52" s="124">
        <v>1.56</v>
      </c>
      <c r="F52" s="125" t="s">
        <v>126</v>
      </c>
      <c r="G52" s="126">
        <v>0.6</v>
      </c>
      <c r="H52" s="124" t="s">
        <v>210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224</v>
      </c>
      <c r="B53" s="123" t="s">
        <v>208</v>
      </c>
      <c r="C53" s="124">
        <v>0.34599999999999997</v>
      </c>
      <c r="D53" s="124" t="s">
        <v>209</v>
      </c>
      <c r="E53" s="124">
        <v>1.56</v>
      </c>
      <c r="F53" s="125" t="s">
        <v>126</v>
      </c>
      <c r="G53" s="126">
        <v>0.6</v>
      </c>
      <c r="H53" s="124" t="s">
        <v>210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225</v>
      </c>
      <c r="B54" s="123" t="s">
        <v>208</v>
      </c>
      <c r="C54" s="124">
        <v>0.32600000000000001</v>
      </c>
      <c r="D54" s="124" t="s">
        <v>209</v>
      </c>
      <c r="E54" s="124">
        <v>1.56</v>
      </c>
      <c r="F54" s="125" t="s">
        <v>126</v>
      </c>
      <c r="G54" s="126">
        <v>0.6</v>
      </c>
      <c r="H54" s="124" t="s">
        <v>210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226</v>
      </c>
      <c r="B55" s="123" t="s">
        <v>208</v>
      </c>
      <c r="C55" s="124">
        <v>0.30499999999999999</v>
      </c>
      <c r="D55" s="124" t="s">
        <v>209</v>
      </c>
      <c r="E55" s="124">
        <v>1.56</v>
      </c>
      <c r="F55" s="125" t="s">
        <v>126</v>
      </c>
      <c r="G55" s="126">
        <v>0.6</v>
      </c>
      <c r="H55" s="124" t="s">
        <v>210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227</v>
      </c>
      <c r="B56" s="123" t="s">
        <v>208</v>
      </c>
      <c r="C56" s="124">
        <v>0.32300000000000001</v>
      </c>
      <c r="D56" s="124" t="s">
        <v>209</v>
      </c>
      <c r="E56" s="124">
        <v>1.56</v>
      </c>
      <c r="F56" s="125" t="s">
        <v>126</v>
      </c>
      <c r="G56" s="126">
        <v>0.6</v>
      </c>
      <c r="H56" s="124" t="s">
        <v>210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228</v>
      </c>
      <c r="B57" s="123" t="s">
        <v>208</v>
      </c>
      <c r="C57" s="124">
        <v>0.36699999999999999</v>
      </c>
      <c r="D57" s="124" t="s">
        <v>209</v>
      </c>
      <c r="E57" s="124">
        <v>1.56</v>
      </c>
      <c r="F57" s="125" t="s">
        <v>126</v>
      </c>
      <c r="G57" s="126">
        <v>0.6</v>
      </c>
      <c r="H57" s="124" t="s">
        <v>210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229</v>
      </c>
      <c r="B58" s="123" t="s">
        <v>208</v>
      </c>
      <c r="C58" s="124">
        <v>0.36</v>
      </c>
      <c r="D58" s="124" t="s">
        <v>209</v>
      </c>
      <c r="E58" s="124">
        <v>1.56</v>
      </c>
      <c r="F58" s="125" t="s">
        <v>126</v>
      </c>
      <c r="G58" s="126">
        <v>0.6</v>
      </c>
      <c r="H58" s="124" t="s">
        <v>210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230</v>
      </c>
      <c r="B59" s="123" t="s">
        <v>208</v>
      </c>
      <c r="C59" s="124">
        <v>0.36799999999999999</v>
      </c>
      <c r="D59" s="124" t="s">
        <v>209</v>
      </c>
      <c r="E59" s="124">
        <v>1.56</v>
      </c>
      <c r="F59" s="125" t="s">
        <v>126</v>
      </c>
      <c r="G59" s="126">
        <v>0.6</v>
      </c>
      <c r="H59" s="124" t="s">
        <v>210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231</v>
      </c>
      <c r="B60" s="123" t="s">
        <v>208</v>
      </c>
      <c r="C60" s="124">
        <v>0.30599999999999999</v>
      </c>
      <c r="D60" s="124" t="s">
        <v>209</v>
      </c>
      <c r="E60" s="124">
        <v>1.56</v>
      </c>
      <c r="F60" s="125" t="s">
        <v>126</v>
      </c>
      <c r="G60" s="126">
        <v>0.6</v>
      </c>
      <c r="H60" s="124" t="s">
        <v>210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232</v>
      </c>
      <c r="B61" s="123" t="s">
        <v>208</v>
      </c>
      <c r="C61" s="124">
        <v>0.313</v>
      </c>
      <c r="D61" s="124" t="s">
        <v>209</v>
      </c>
      <c r="E61" s="124">
        <v>1.56</v>
      </c>
      <c r="F61" s="125" t="s">
        <v>126</v>
      </c>
      <c r="G61" s="126">
        <v>0.6</v>
      </c>
      <c r="H61" s="124" t="s">
        <v>210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233</v>
      </c>
      <c r="B62" s="123" t="s">
        <v>234</v>
      </c>
      <c r="C62" s="124">
        <v>0.37</v>
      </c>
      <c r="D62" s="124" t="s">
        <v>125</v>
      </c>
      <c r="E62" s="124">
        <v>1.56</v>
      </c>
      <c r="F62" s="125" t="s">
        <v>126</v>
      </c>
      <c r="G62" s="126">
        <v>0.6</v>
      </c>
      <c r="H62" s="124" t="s">
        <v>210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235</v>
      </c>
      <c r="B63" s="123" t="s">
        <v>236</v>
      </c>
      <c r="C63" s="124">
        <v>0.45</v>
      </c>
      <c r="D63" s="124" t="s">
        <v>125</v>
      </c>
      <c r="E63" s="124">
        <v>1.3</v>
      </c>
      <c r="F63" s="125" t="s">
        <v>126</v>
      </c>
      <c r="G63" s="126">
        <v>0.45</v>
      </c>
      <c r="H63" s="124" t="s">
        <v>237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238</v>
      </c>
      <c r="B64" s="123" t="s">
        <v>239</v>
      </c>
      <c r="C64" s="124">
        <v>0.39</v>
      </c>
      <c r="D64" s="124" t="s">
        <v>125</v>
      </c>
      <c r="E64" s="124">
        <v>1.3</v>
      </c>
      <c r="F64" s="125" t="s">
        <v>126</v>
      </c>
      <c r="G64" s="126">
        <v>0.45</v>
      </c>
      <c r="H64" s="124" t="s">
        <v>237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240</v>
      </c>
      <c r="B65" s="123" t="s">
        <v>241</v>
      </c>
      <c r="C65" s="124">
        <v>0.44</v>
      </c>
      <c r="D65" s="124" t="s">
        <v>125</v>
      </c>
      <c r="E65" s="124">
        <v>1.3</v>
      </c>
      <c r="F65" s="125" t="s">
        <v>126</v>
      </c>
      <c r="G65" s="126">
        <v>0.45</v>
      </c>
      <c r="H65" s="124" t="s">
        <v>237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25</v>
      </c>
      <c r="B66" s="123" t="s">
        <v>242</v>
      </c>
      <c r="C66" s="124">
        <v>0.46</v>
      </c>
      <c r="D66" s="124" t="s">
        <v>125</v>
      </c>
      <c r="E66" s="124">
        <v>1.3</v>
      </c>
      <c r="F66" s="125" t="s">
        <v>126</v>
      </c>
      <c r="G66" s="126">
        <v>0.45</v>
      </c>
      <c r="H66" s="124" t="s">
        <v>237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21</v>
      </c>
      <c r="B67" s="123" t="s">
        <v>243</v>
      </c>
      <c r="C67" s="124">
        <v>0.46</v>
      </c>
      <c r="D67" s="124" t="s">
        <v>125</v>
      </c>
      <c r="E67" s="124">
        <v>1.3</v>
      </c>
      <c r="F67" s="125" t="s">
        <v>126</v>
      </c>
      <c r="G67" s="126">
        <v>0.45</v>
      </c>
      <c r="H67" s="124" t="s">
        <v>151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244</v>
      </c>
      <c r="B68" s="123" t="s">
        <v>245</v>
      </c>
      <c r="C68" s="124">
        <v>0.44</v>
      </c>
      <c r="D68" s="124" t="s">
        <v>125</v>
      </c>
      <c r="E68" s="124">
        <v>1.3</v>
      </c>
      <c r="F68" s="125" t="s">
        <v>126</v>
      </c>
      <c r="G68" s="126">
        <v>0.45</v>
      </c>
      <c r="H68" s="124" t="s">
        <v>237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246</v>
      </c>
      <c r="B69" s="123" t="s">
        <v>247</v>
      </c>
      <c r="C69" s="124">
        <v>0.46</v>
      </c>
      <c r="D69" s="124" t="s">
        <v>125</v>
      </c>
      <c r="E69" s="124">
        <v>1.3</v>
      </c>
      <c r="F69" s="125" t="s">
        <v>126</v>
      </c>
      <c r="G69" s="126">
        <v>0.45</v>
      </c>
      <c r="H69" s="124" t="s">
        <v>237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248</v>
      </c>
      <c r="B70" s="123" t="s">
        <v>249</v>
      </c>
      <c r="C70" s="124">
        <v>0.48</v>
      </c>
      <c r="D70" s="124" t="s">
        <v>125</v>
      </c>
      <c r="E70" s="124">
        <v>2.4</v>
      </c>
      <c r="F70" s="124" t="s">
        <v>250</v>
      </c>
      <c r="G70" s="126">
        <v>0.45</v>
      </c>
      <c r="H70" s="124" t="s">
        <v>237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251</v>
      </c>
      <c r="B71" s="123" t="s">
        <v>252</v>
      </c>
      <c r="C71" s="124">
        <v>0.46</v>
      </c>
      <c r="D71" s="124" t="s">
        <v>253</v>
      </c>
      <c r="E71" s="124">
        <v>1.3</v>
      </c>
      <c r="F71" s="125" t="s">
        <v>126</v>
      </c>
      <c r="G71" s="126">
        <v>0.45</v>
      </c>
      <c r="H71" s="124" t="s">
        <v>237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254</v>
      </c>
      <c r="B72" s="123" t="s">
        <v>255</v>
      </c>
      <c r="C72" s="124">
        <v>0.44</v>
      </c>
      <c r="D72" s="124" t="s">
        <v>125</v>
      </c>
      <c r="E72" s="124">
        <v>1.3</v>
      </c>
      <c r="F72" s="125" t="s">
        <v>126</v>
      </c>
      <c r="G72" s="126">
        <v>0.45</v>
      </c>
      <c r="H72" s="124" t="s">
        <v>237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23</v>
      </c>
      <c r="B73" s="123" t="s">
        <v>256</v>
      </c>
      <c r="C73" s="124">
        <v>0.46</v>
      </c>
      <c r="D73" s="124" t="s">
        <v>257</v>
      </c>
      <c r="E73" s="124">
        <v>1.3</v>
      </c>
      <c r="F73" s="125" t="s">
        <v>126</v>
      </c>
      <c r="G73" s="126">
        <v>0.45</v>
      </c>
      <c r="H73" s="124" t="s">
        <v>237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258</v>
      </c>
      <c r="B74" s="123" t="s">
        <v>259</v>
      </c>
      <c r="C74" s="124">
        <v>0.34</v>
      </c>
      <c r="D74" s="124" t="s">
        <v>125</v>
      </c>
      <c r="E74" s="124">
        <v>1.3</v>
      </c>
      <c r="F74" s="125" t="s">
        <v>126</v>
      </c>
      <c r="G74" s="126">
        <v>0.45</v>
      </c>
      <c r="H74" s="124" t="s">
        <v>237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260</v>
      </c>
      <c r="B75" s="123" t="s">
        <v>261</v>
      </c>
      <c r="C75" s="124">
        <v>0.5</v>
      </c>
      <c r="D75" s="124" t="s">
        <v>125</v>
      </c>
      <c r="E75" s="124">
        <v>1.56</v>
      </c>
      <c r="F75" s="125" t="s">
        <v>126</v>
      </c>
      <c r="G75" s="126">
        <v>0.53</v>
      </c>
      <c r="H75" s="124" t="s">
        <v>180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262</v>
      </c>
      <c r="B76" s="123" t="s">
        <v>263</v>
      </c>
      <c r="C76" s="124">
        <v>0.57999999999999996</v>
      </c>
      <c r="D76" s="124" t="s">
        <v>125</v>
      </c>
      <c r="E76" s="124">
        <v>1.56</v>
      </c>
      <c r="F76" s="125" t="s">
        <v>126</v>
      </c>
      <c r="G76" s="126">
        <v>0.3</v>
      </c>
      <c r="H76" s="124" t="s">
        <v>264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265</v>
      </c>
      <c r="B77" s="123" t="s">
        <v>266</v>
      </c>
      <c r="C77" s="124">
        <v>0.37</v>
      </c>
      <c r="D77" s="124" t="s">
        <v>125</v>
      </c>
      <c r="E77" s="124">
        <v>1.3</v>
      </c>
      <c r="F77" s="125" t="s">
        <v>126</v>
      </c>
      <c r="G77" s="126">
        <v>0.55000000000000004</v>
      </c>
      <c r="H77" s="124" t="s">
        <v>151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267</v>
      </c>
      <c r="B78" s="123" t="s">
        <v>268</v>
      </c>
      <c r="C78" s="124">
        <v>0.37</v>
      </c>
      <c r="D78" s="124" t="s">
        <v>125</v>
      </c>
      <c r="E78" s="124">
        <v>1.3</v>
      </c>
      <c r="F78" s="125" t="s">
        <v>126</v>
      </c>
      <c r="G78" s="126">
        <v>0.55000000000000004</v>
      </c>
      <c r="H78" s="124" t="s">
        <v>151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269</v>
      </c>
      <c r="B79" s="123" t="s">
        <v>270</v>
      </c>
      <c r="C79" s="124">
        <v>0.38</v>
      </c>
      <c r="D79" s="124" t="s">
        <v>125</v>
      </c>
      <c r="E79" s="124">
        <v>1.3</v>
      </c>
      <c r="F79" s="125" t="s">
        <v>126</v>
      </c>
      <c r="G79" s="126">
        <v>0.55000000000000004</v>
      </c>
      <c r="H79" s="124" t="s">
        <v>141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271</v>
      </c>
      <c r="B80" s="123" t="s">
        <v>272</v>
      </c>
      <c r="C80" s="124">
        <v>0.36</v>
      </c>
      <c r="D80" s="124" t="s">
        <v>125</v>
      </c>
      <c r="E80" s="124">
        <v>1.3</v>
      </c>
      <c r="F80" s="125" t="s">
        <v>126</v>
      </c>
      <c r="G80" s="126">
        <v>0.55000000000000004</v>
      </c>
      <c r="H80" s="124" t="s">
        <v>141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273</v>
      </c>
      <c r="B81" s="123" t="s">
        <v>274</v>
      </c>
      <c r="C81" s="124">
        <v>0.37</v>
      </c>
      <c r="D81" s="124" t="s">
        <v>125</v>
      </c>
      <c r="E81" s="124">
        <v>1.56</v>
      </c>
      <c r="F81" s="125" t="s">
        <v>126</v>
      </c>
      <c r="G81" s="126">
        <v>0.43</v>
      </c>
      <c r="H81" s="124" t="s">
        <v>127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275</v>
      </c>
      <c r="B82" s="123" t="s">
        <v>276</v>
      </c>
      <c r="C82" s="124">
        <v>0.35</v>
      </c>
      <c r="D82" s="124" t="s">
        <v>277</v>
      </c>
      <c r="E82" s="124">
        <v>1.3</v>
      </c>
      <c r="F82" s="125" t="s">
        <v>126</v>
      </c>
      <c r="G82" s="126">
        <v>0.55000000000000004</v>
      </c>
      <c r="H82" s="124" t="s">
        <v>141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278</v>
      </c>
      <c r="B83" s="123" t="s">
        <v>279</v>
      </c>
      <c r="C83" s="124">
        <v>0.34</v>
      </c>
      <c r="D83" s="124" t="s">
        <v>125</v>
      </c>
      <c r="E83" s="124">
        <v>1.3</v>
      </c>
      <c r="F83" s="125" t="s">
        <v>126</v>
      </c>
      <c r="G83" s="126">
        <v>0.55000000000000004</v>
      </c>
      <c r="H83" s="124" t="s">
        <v>141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280</v>
      </c>
      <c r="B84" s="123" t="s">
        <v>281</v>
      </c>
      <c r="C84" s="124">
        <v>0.31</v>
      </c>
      <c r="D84" s="124" t="s">
        <v>125</v>
      </c>
      <c r="E84" s="124">
        <v>1.3</v>
      </c>
      <c r="F84" s="125" t="s">
        <v>126</v>
      </c>
      <c r="G84" s="126">
        <v>0.55000000000000004</v>
      </c>
      <c r="H84" s="124" t="s">
        <v>141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282</v>
      </c>
      <c r="B85" s="123" t="s">
        <v>283</v>
      </c>
      <c r="C85" s="124">
        <v>0.43</v>
      </c>
      <c r="D85" s="124" t="s">
        <v>125</v>
      </c>
      <c r="E85" s="124">
        <v>1.56</v>
      </c>
      <c r="F85" s="125" t="s">
        <v>126</v>
      </c>
      <c r="G85" s="126">
        <v>0.53</v>
      </c>
      <c r="H85" s="124" t="s">
        <v>180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284</v>
      </c>
      <c r="B86" s="123" t="s">
        <v>285</v>
      </c>
      <c r="C86" s="124">
        <v>0.38</v>
      </c>
      <c r="D86" s="124" t="s">
        <v>125</v>
      </c>
      <c r="E86" s="124">
        <v>1.56</v>
      </c>
      <c r="F86" s="125" t="s">
        <v>126</v>
      </c>
      <c r="G86" s="126">
        <v>0.6</v>
      </c>
      <c r="H86" s="124" t="s">
        <v>286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287</v>
      </c>
      <c r="B87" s="252" t="s">
        <v>288</v>
      </c>
      <c r="C87" s="253">
        <v>0.41</v>
      </c>
      <c r="D87" s="253" t="s">
        <v>289</v>
      </c>
      <c r="E87" s="253">
        <v>1.56</v>
      </c>
      <c r="F87" s="254" t="s">
        <v>126</v>
      </c>
      <c r="G87" s="255">
        <v>0.43</v>
      </c>
      <c r="H87" s="253" t="s">
        <v>127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290</v>
      </c>
      <c r="B88" s="130"/>
      <c r="C88" s="124">
        <v>0.42</v>
      </c>
      <c r="D88" s="124" t="s">
        <v>125</v>
      </c>
      <c r="E88" s="124">
        <v>1.3</v>
      </c>
      <c r="F88" s="125" t="s">
        <v>126</v>
      </c>
      <c r="G88" s="131"/>
      <c r="H88" s="130"/>
      <c r="I88" s="132"/>
    </row>
    <row r="89" spans="1:14" ht="15" thickBot="1" x14ac:dyDescent="0.4">
      <c r="A89" s="133" t="s">
        <v>291</v>
      </c>
      <c r="B89" s="134"/>
      <c r="C89" s="135">
        <v>0.56999999999999995</v>
      </c>
      <c r="D89" s="136" t="s">
        <v>125</v>
      </c>
      <c r="E89" s="135">
        <v>1.56</v>
      </c>
      <c r="F89" s="135" t="s">
        <v>126</v>
      </c>
      <c r="G89" s="134"/>
      <c r="H89" s="134"/>
      <c r="I89" s="137"/>
    </row>
    <row r="93" spans="1:14" x14ac:dyDescent="0.35">
      <c r="A93" s="122" t="s">
        <v>74</v>
      </c>
    </row>
    <row r="94" spans="1:14" x14ac:dyDescent="0.35">
      <c r="A94" s="122" t="s">
        <v>75</v>
      </c>
    </row>
    <row r="95" spans="1:14" x14ac:dyDescent="0.35">
      <c r="A95" s="122" t="s">
        <v>76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" zoomScale="80" zoomScaleNormal="80" workbookViewId="0">
      <selection activeCell="R20" sqref="R2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292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293</v>
      </c>
      <c r="I4" s="258"/>
      <c r="K4" s="300" t="s">
        <v>294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59</v>
      </c>
      <c r="O7" s="247"/>
      <c r="P7" s="248"/>
      <c r="Q7" s="249"/>
      <c r="R7" s="292" t="s">
        <v>295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-1921.7771191358891</v>
      </c>
      <c r="U10" s="178">
        <f>'Données projet'!D9</f>
        <v>6.449405548216645</v>
      </c>
      <c r="V10" s="177">
        <f>U10*T10</f>
        <v>-12394.320014590803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Douglas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-318.81476141188756</v>
      </c>
      <c r="U11" s="178">
        <f>'Données projet'!D10</f>
        <v>2.9742404227212682</v>
      </c>
      <c r="V11" s="177">
        <f t="shared" ref="V11" si="0">U11*T11</f>
        <v>-948.23175075147276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1996.879665707484</v>
      </c>
      <c r="U12" s="178">
        <f>'Données projet'!D11</f>
        <v>1.0175033025099076</v>
      </c>
      <c r="V12" s="177">
        <f t="shared" ref="V12:V19" si="1">U12*T12</f>
        <v>2031.8316545722453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Pin taeda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1100.1917470682729</v>
      </c>
      <c r="U13" s="178">
        <f>'Données projet'!D12</f>
        <v>1.0175033025099076</v>
      </c>
      <c r="V13" s="177">
        <f t="shared" si="1"/>
        <v>1119.4487360361127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90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Pin laricio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599.96518113345792</v>
      </c>
      <c r="U14" s="178">
        <f>'Données projet'!D13</f>
        <v>0.39134742404227213</v>
      </c>
      <c r="V14" s="177">
        <f t="shared" si="1"/>
        <v>234.79482815163396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49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03"/>
      <c r="H16" s="190"/>
      <c r="I16" s="191"/>
      <c r="J16" s="202"/>
      <c r="K16" s="208"/>
      <c r="L16" s="300" t="s">
        <v>312</v>
      </c>
      <c r="M16" s="301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208</v>
      </c>
      <c r="C17" s="198" t="s">
        <v>208</v>
      </c>
      <c r="D17" s="197" t="s">
        <v>208</v>
      </c>
      <c r="E17" s="193">
        <f>8240*(1.55+0.8+1.5)/11.85</f>
        <v>2677.1308016877638</v>
      </c>
      <c r="F17" s="230"/>
      <c r="G17" s="303"/>
      <c r="J17" s="202"/>
      <c r="K17" s="208"/>
      <c r="L17" s="260" t="s">
        <v>313</v>
      </c>
      <c r="M17" s="262"/>
      <c r="N17" s="175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208</v>
      </c>
      <c r="C18" s="198" t="s">
        <v>208</v>
      </c>
      <c r="D18" s="197" t="s">
        <v>208</v>
      </c>
      <c r="E18" s="193"/>
      <c r="F18" s="230"/>
      <c r="G18" s="303"/>
      <c r="J18" s="202"/>
      <c r="K18" s="208"/>
      <c r="L18" s="260" t="s">
        <v>309</v>
      </c>
      <c r="M18" s="262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208</v>
      </c>
      <c r="C19" s="198" t="s">
        <v>208</v>
      </c>
      <c r="D19" s="197" t="s">
        <v>208</v>
      </c>
      <c r="E19" s="193"/>
      <c r="F19" s="230"/>
      <c r="G19" s="303"/>
      <c r="H19" s="212" t="s">
        <v>90</v>
      </c>
      <c r="I19" s="212" t="s">
        <v>314</v>
      </c>
      <c r="J19" s="93"/>
      <c r="K19" s="173"/>
      <c r="L19" s="300" t="s">
        <v>315</v>
      </c>
      <c r="M19" s="301"/>
      <c r="N19" s="179">
        <f>N17*N18</f>
        <v>5000.0000000000045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208</v>
      </c>
      <c r="C20" s="198" t="s">
        <v>208</v>
      </c>
      <c r="D20" s="197" t="s">
        <v>208</v>
      </c>
      <c r="E20" s="193"/>
      <c r="F20" s="230"/>
      <c r="G20" s="303"/>
      <c r="H20" s="190">
        <v>0</v>
      </c>
      <c r="I20" s="191">
        <v>1800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208</v>
      </c>
      <c r="C21" s="198" t="s">
        <v>208</v>
      </c>
      <c r="D21" s="197" t="s">
        <v>208</v>
      </c>
      <c r="E21" s="193"/>
      <c r="F21" s="230"/>
      <c r="H21" s="190">
        <v>1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208</v>
      </c>
      <c r="C22" s="198" t="s">
        <v>208</v>
      </c>
      <c r="D22" s="197" t="s">
        <v>208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30</v>
      </c>
      <c r="B23" s="181">
        <f>'Données projet'!D36</f>
        <v>0</v>
      </c>
      <c r="C23" s="193">
        <v>10</v>
      </c>
      <c r="D23" s="182">
        <f>B23*C23</f>
        <v>0</v>
      </c>
      <c r="E23" s="193">
        <v>150</v>
      </c>
      <c r="F23" s="230"/>
      <c r="H23" s="190"/>
      <c r="I23" s="191"/>
      <c r="K23" s="208"/>
      <c r="L23" s="302" t="s">
        <v>316</v>
      </c>
      <c r="M23" s="302"/>
      <c r="N23" s="302"/>
      <c r="O23" s="23"/>
      <c r="P23" s="23"/>
      <c r="Q23" s="234"/>
      <c r="R23" s="23"/>
      <c r="S23" s="36" t="s">
        <v>317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-38090.304297778457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51</v>
      </c>
      <c r="B24" s="181">
        <f>'Données projet'!D37</f>
        <v>170.16153846153847</v>
      </c>
      <c r="C24" s="193">
        <v>18</v>
      </c>
      <c r="D24" s="182">
        <f t="shared" ref="D24:D42" si="2">B24*C24</f>
        <v>3062.9076923076923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6559.5467604648966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61</v>
      </c>
      <c r="B25" s="181">
        <f>'Données projet'!D38</f>
        <v>94.76153846153845</v>
      </c>
      <c r="C25" s="193">
        <v>25</v>
      </c>
      <c r="D25" s="182">
        <f t="shared" si="2"/>
        <v>2369.0384615384614</v>
      </c>
      <c r="E25" s="193">
        <v>150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299">
        <f ca="1">T23-T24</f>
        <v>-44649.851058243352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73</v>
      </c>
      <c r="B26" s="181">
        <f>'Données projet'!D39</f>
        <v>93.584615384615375</v>
      </c>
      <c r="C26" s="193">
        <v>35</v>
      </c>
      <c r="D26" s="182">
        <f t="shared" si="2"/>
        <v>3275.4615384615381</v>
      </c>
      <c r="E26" s="193">
        <v>150</v>
      </c>
      <c r="F26" s="233"/>
      <c r="G26" s="229"/>
      <c r="H26" s="190"/>
      <c r="I26" s="191"/>
      <c r="K26" s="208"/>
      <c r="L26" s="286" t="s">
        <v>321</v>
      </c>
      <c r="M26" s="287"/>
      <c r="N26" s="287"/>
      <c r="O26" s="287"/>
      <c r="P26" s="288"/>
      <c r="Q26" s="234"/>
      <c r="R26" s="23"/>
      <c r="S26" s="186" t="s">
        <v>322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85</v>
      </c>
      <c r="B27" s="181">
        <f>'Données projet'!D40</f>
        <v>85.207692307692298</v>
      </c>
      <c r="C27" s="193">
        <v>40</v>
      </c>
      <c r="D27" s="182">
        <f t="shared" si="2"/>
        <v>3408.3076923076919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323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97</v>
      </c>
      <c r="B28" s="181">
        <f>'Données projet'!D41</f>
        <v>79.669230769230765</v>
      </c>
      <c r="C28" s="193">
        <v>45</v>
      </c>
      <c r="D28" s="182">
        <f t="shared" si="2"/>
        <v>3585.1153846153843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109</v>
      </c>
      <c r="B29" s="181">
        <f>'Données projet'!D42</f>
        <v>80.653846153846146</v>
      </c>
      <c r="C29" s="193">
        <v>45</v>
      </c>
      <c r="D29" s="182">
        <f t="shared" si="2"/>
        <v>3629.4230769230767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121</v>
      </c>
      <c r="B30" s="181">
        <f>'Données projet'!D43</f>
        <v>207.07692307692307</v>
      </c>
      <c r="C30" s="193">
        <v>56</v>
      </c>
      <c r="D30" s="182">
        <f t="shared" si="2"/>
        <v>11596.307692307691</v>
      </c>
      <c r="E30" s="193">
        <v>150</v>
      </c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131</v>
      </c>
      <c r="B31" s="181">
        <f>'Données projet'!D44</f>
        <v>259.61538461538458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90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Douglas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49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208</v>
      </c>
      <c r="C48" s="198" t="s">
        <v>208</v>
      </c>
      <c r="D48" s="197" t="s">
        <v>208</v>
      </c>
      <c r="E48" s="193">
        <f>(2500*(1.55+0.8+1)+1300*(1.55+0.8+2.15))/11.85</f>
        <v>1200.42194092827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208</v>
      </c>
      <c r="C49" s="198" t="s">
        <v>208</v>
      </c>
      <c r="D49" s="197" t="s">
        <v>208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208</v>
      </c>
      <c r="C50" s="198" t="s">
        <v>208</v>
      </c>
      <c r="D50" s="197" t="s">
        <v>208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208</v>
      </c>
      <c r="C51" s="198" t="s">
        <v>208</v>
      </c>
      <c r="D51" s="197" t="s">
        <v>208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208</v>
      </c>
      <c r="C52" s="198" t="s">
        <v>208</v>
      </c>
      <c r="D52" s="197" t="s">
        <v>208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208</v>
      </c>
      <c r="C53" s="198" t="s">
        <v>208</v>
      </c>
      <c r="D53" s="197" t="s">
        <v>208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21</v>
      </c>
      <c r="B54" s="181">
        <f>'Données projet'!D62</f>
        <v>61.169230769230765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28</v>
      </c>
      <c r="B55" s="181">
        <f>'Données projet'!D63</f>
        <v>56.91538461538461</v>
      </c>
      <c r="C55" s="191">
        <v>10</v>
      </c>
      <c r="D55" s="179">
        <f t="shared" ref="D55:D73" si="4">B55*C55</f>
        <v>569.15384615384608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35</v>
      </c>
      <c r="B56" s="181">
        <f>'Données projet'!D64</f>
        <v>70.5</v>
      </c>
      <c r="C56" s="191">
        <v>10</v>
      </c>
      <c r="D56" s="179">
        <f t="shared" si="4"/>
        <v>705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42</v>
      </c>
      <c r="B57" s="181">
        <f>'Données projet'!D65</f>
        <v>80.669230769999999</v>
      </c>
      <c r="C57" s="191">
        <v>18</v>
      </c>
      <c r="D57" s="179">
        <f t="shared" si="4"/>
        <v>1452.04615386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49</v>
      </c>
      <c r="B58" s="181">
        <f>'Données projet'!D66</f>
        <v>90.453846150000004</v>
      </c>
      <c r="C58" s="191">
        <v>25</v>
      </c>
      <c r="D58" s="179">
        <f t="shared" si="4"/>
        <v>2261.3461537500002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56</v>
      </c>
      <c r="B59" s="181">
        <f>'Données projet'!D67</f>
        <v>75.869230770000001</v>
      </c>
      <c r="C59" s="191">
        <v>25</v>
      </c>
      <c r="D59" s="179">
        <f t="shared" si="4"/>
        <v>1896.7307692500001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63</v>
      </c>
      <c r="B60" s="181">
        <f>'Données projet'!D68</f>
        <v>79.723076919999997</v>
      </c>
      <c r="C60" s="191">
        <v>35</v>
      </c>
      <c r="D60" s="179">
        <f t="shared" si="4"/>
        <v>2790.3076922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70</v>
      </c>
      <c r="B61" s="181">
        <f>'Données projet'!D69</f>
        <v>469.06923080000001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49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208</v>
      </c>
      <c r="C79" s="198" t="s">
        <v>208</v>
      </c>
      <c r="D79" s="197" t="s">
        <v>208</v>
      </c>
      <c r="E79" s="193">
        <f>1300*(1.55+0.8+1.3)/11.85</f>
        <v>400.42194092827015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208</v>
      </c>
      <c r="C80" s="198" t="s">
        <v>208</v>
      </c>
      <c r="D80" s="197" t="s">
        <v>208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208</v>
      </c>
      <c r="C81" s="198" t="s">
        <v>208</v>
      </c>
      <c r="D81" s="197" t="s">
        <v>208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208</v>
      </c>
      <c r="C82" s="198" t="s">
        <v>208</v>
      </c>
      <c r="D82" s="197" t="s">
        <v>208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208</v>
      </c>
      <c r="C83" s="198" t="s">
        <v>208</v>
      </c>
      <c r="D83" s="197" t="s">
        <v>208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208</v>
      </c>
      <c r="C84" s="198" t="s">
        <v>208</v>
      </c>
      <c r="D84" s="197" t="s">
        <v>208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17</v>
      </c>
      <c r="B85" s="181">
        <f>'Données projet'!D88</f>
        <v>42.084615384615383</v>
      </c>
      <c r="C85" s="191">
        <v>10</v>
      </c>
      <c r="D85" s="179">
        <f>B85*C85</f>
        <v>420.84615384615381</v>
      </c>
      <c r="E85" s="193">
        <v>150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23</v>
      </c>
      <c r="B86" s="181">
        <f>'Données projet'!D89</f>
        <v>54.099999999999994</v>
      </c>
      <c r="C86" s="191">
        <v>18</v>
      </c>
      <c r="D86" s="179">
        <f t="shared" ref="D86:D104" si="6">B86*C86</f>
        <v>973.8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29</v>
      </c>
      <c r="B87" s="181">
        <f>'Données projet'!D90</f>
        <v>47.661538461538463</v>
      </c>
      <c r="C87" s="191">
        <v>25</v>
      </c>
      <c r="D87" s="179">
        <f t="shared" si="6"/>
        <v>1191.5384615384617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36</v>
      </c>
      <c r="B88" s="181">
        <f>'Données projet'!D91</f>
        <v>64.553846149999998</v>
      </c>
      <c r="C88" s="191">
        <v>25</v>
      </c>
      <c r="D88" s="179">
        <f t="shared" si="6"/>
        <v>1613.84615375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44</v>
      </c>
      <c r="B89" s="181">
        <f>'Données projet'!D92</f>
        <v>64.476923080000006</v>
      </c>
      <c r="C89" s="191">
        <v>35</v>
      </c>
      <c r="D89" s="179">
        <f t="shared" si="6"/>
        <v>2256.6923078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52</v>
      </c>
      <c r="B90" s="181">
        <f>'Données projet'!D93</f>
        <v>61.784615379999998</v>
      </c>
      <c r="C90" s="191">
        <v>35</v>
      </c>
      <c r="D90" s="179">
        <f t="shared" si="6"/>
        <v>2162.4615383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60</v>
      </c>
      <c r="B91" s="181">
        <f>'Données projet'!D94</f>
        <v>353.5</v>
      </c>
      <c r="C91" s="191">
        <v>35</v>
      </c>
      <c r="D91" s="179">
        <f t="shared" si="6"/>
        <v>12372.5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Pin taeda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49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208</v>
      </c>
      <c r="C110" s="198" t="s">
        <v>208</v>
      </c>
      <c r="D110" s="197" t="s">
        <v>208</v>
      </c>
      <c r="E110" s="193">
        <f>1300*(1.55+0.8+1.3)/11.85</f>
        <v>400.42194092827015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208</v>
      </c>
      <c r="C111" s="198" t="s">
        <v>208</v>
      </c>
      <c r="D111" s="197" t="s">
        <v>208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208</v>
      </c>
      <c r="C112" s="198" t="s">
        <v>208</v>
      </c>
      <c r="D112" s="197" t="s">
        <v>208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208</v>
      </c>
      <c r="C113" s="198" t="s">
        <v>208</v>
      </c>
      <c r="D113" s="197" t="s">
        <v>208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208</v>
      </c>
      <c r="C114" s="198" t="s">
        <v>208</v>
      </c>
      <c r="D114" s="197" t="s">
        <v>208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208</v>
      </c>
      <c r="C115" s="198" t="s">
        <v>208</v>
      </c>
      <c r="D115" s="197" t="s">
        <v>208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17</v>
      </c>
      <c r="B116" s="181">
        <f>'Données projet'!D114</f>
        <v>42.084615384615383</v>
      </c>
      <c r="C116" s="191">
        <v>10</v>
      </c>
      <c r="D116" s="179">
        <f>B116*C116</f>
        <v>420.84615384615381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23</v>
      </c>
      <c r="B117" s="181">
        <f>'Données projet'!D115</f>
        <v>54.099999999999994</v>
      </c>
      <c r="C117" s="191">
        <v>10</v>
      </c>
      <c r="D117" s="179">
        <f t="shared" ref="D117:D135" si="8">B117*C117</f>
        <v>541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29</v>
      </c>
      <c r="B118" s="181">
        <f>'Données projet'!D116</f>
        <v>47.661538461538463</v>
      </c>
      <c r="C118" s="191">
        <v>10</v>
      </c>
      <c r="D118" s="179">
        <f t="shared" si="8"/>
        <v>476.61538461538464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36</v>
      </c>
      <c r="B119" s="181">
        <f>'Données projet'!D117</f>
        <v>64.553846153846152</v>
      </c>
      <c r="C119" s="191">
        <v>15</v>
      </c>
      <c r="D119" s="179">
        <f t="shared" si="8"/>
        <v>968.30769230769226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44</v>
      </c>
      <c r="B120" s="181">
        <f>'Données projet'!D118</f>
        <v>64.476923076923072</v>
      </c>
      <c r="C120" s="191">
        <v>25</v>
      </c>
      <c r="D120" s="179">
        <f t="shared" si="8"/>
        <v>1611.9230769230767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52</v>
      </c>
      <c r="B121" s="181">
        <f>'Données projet'!D119</f>
        <v>61.784615384615378</v>
      </c>
      <c r="C121" s="191">
        <v>25</v>
      </c>
      <c r="D121" s="179">
        <f t="shared" si="8"/>
        <v>1544.6153846153845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60</v>
      </c>
      <c r="B122" s="181">
        <f>'Données projet'!D120</f>
        <v>353.5</v>
      </c>
      <c r="C122" s="191">
        <v>25</v>
      </c>
      <c r="D122" s="179">
        <f t="shared" si="8"/>
        <v>8837.5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 t="str">
        <f>IF('Données projet'!B13="","",'Données projet'!B13)</f>
        <v>Pin laricio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49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208</v>
      </c>
      <c r="C141" s="198" t="s">
        <v>208</v>
      </c>
      <c r="D141" s="197" t="s">
        <v>208</v>
      </c>
      <c r="E141" s="193">
        <f>500*(1.55+0.8+1.7)/11.85</f>
        <v>170.8860759493671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208</v>
      </c>
      <c r="C142" s="198" t="s">
        <v>208</v>
      </c>
      <c r="D142" s="197" t="s">
        <v>208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208</v>
      </c>
      <c r="C143" s="198" t="s">
        <v>208</v>
      </c>
      <c r="D143" s="197" t="s">
        <v>208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208</v>
      </c>
      <c r="C144" s="198" t="s">
        <v>208</v>
      </c>
      <c r="D144" s="197" t="s">
        <v>208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208</v>
      </c>
      <c r="C145" s="198" t="s">
        <v>208</v>
      </c>
      <c r="D145" s="197" t="s">
        <v>208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208</v>
      </c>
      <c r="C146" s="198" t="s">
        <v>208</v>
      </c>
      <c r="D146" s="197" t="s">
        <v>208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22</v>
      </c>
      <c r="B147" s="175">
        <f>'Données projet'!D140</f>
        <v>52.746153846153838</v>
      </c>
      <c r="C147" s="191">
        <v>10</v>
      </c>
      <c r="D147" s="182">
        <f>B147*C147</f>
        <v>527.46153846153834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27</v>
      </c>
      <c r="B148" s="175">
        <f>'Données projet'!D141</f>
        <v>34.646153846153844</v>
      </c>
      <c r="C148" s="191">
        <v>10</v>
      </c>
      <c r="D148" s="182">
        <f t="shared" ref="D148:D166" si="10">B148*C148</f>
        <v>346.46153846153845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30</v>
      </c>
      <c r="B149" s="175">
        <f>'Données projet'!D142</f>
        <v>0</v>
      </c>
      <c r="C149" s="191">
        <v>10</v>
      </c>
      <c r="D149" s="182">
        <f t="shared" si="10"/>
        <v>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33</v>
      </c>
      <c r="B150" s="175">
        <f>'Données projet'!D143</f>
        <v>43.007692307692302</v>
      </c>
      <c r="C150" s="191">
        <v>15</v>
      </c>
      <c r="D150" s="182">
        <f t="shared" si="10"/>
        <v>645.11538461538453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41</v>
      </c>
      <c r="B151" s="175">
        <f>'Données projet'!D144</f>
        <v>58.484615384615381</v>
      </c>
      <c r="C151" s="191">
        <v>25</v>
      </c>
      <c r="D151" s="182">
        <f t="shared" si="10"/>
        <v>1462.1153846153845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50</v>
      </c>
      <c r="B152" s="175">
        <f>'Données projet'!D145</f>
        <v>55.292307692307688</v>
      </c>
      <c r="C152" s="191">
        <v>25</v>
      </c>
      <c r="D152" s="182">
        <f t="shared" si="10"/>
        <v>1382.3076923076922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60</v>
      </c>
      <c r="B153" s="175">
        <f>'Données projet'!D146</f>
        <v>54.261538461538464</v>
      </c>
      <c r="C153" s="191">
        <v>25</v>
      </c>
      <c r="D153" s="182">
        <f t="shared" si="10"/>
        <v>1356.5384615384617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70</v>
      </c>
      <c r="B154" s="175">
        <f>'Données projet'!D147</f>
        <v>52.669230769230765</v>
      </c>
      <c r="C154" s="191">
        <v>25</v>
      </c>
      <c r="D154" s="182">
        <f t="shared" si="10"/>
        <v>1316.7307692307691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80</v>
      </c>
      <c r="B155" s="175">
        <f>'Données projet'!D148</f>
        <v>402.90769230769229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26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49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208</v>
      </c>
      <c r="C172" s="198" t="s">
        <v>208</v>
      </c>
      <c r="D172" s="197" t="s">
        <v>208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208</v>
      </c>
      <c r="C173" s="198" t="s">
        <v>208</v>
      </c>
      <c r="D173" s="197" t="s">
        <v>208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208</v>
      </c>
      <c r="C174" s="198" t="s">
        <v>208</v>
      </c>
      <c r="D174" s="197" t="s">
        <v>208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208</v>
      </c>
      <c r="C175" s="198" t="s">
        <v>208</v>
      </c>
      <c r="D175" s="197" t="s">
        <v>208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208</v>
      </c>
      <c r="C176" s="198" t="s">
        <v>208</v>
      </c>
      <c r="D176" s="197" t="s">
        <v>208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208</v>
      </c>
      <c r="C177" s="198" t="s">
        <v>208</v>
      </c>
      <c r="D177" s="197" t="s">
        <v>208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27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49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208</v>
      </c>
      <c r="C203" s="198" t="s">
        <v>208</v>
      </c>
      <c r="D203" s="197" t="s">
        <v>208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208</v>
      </c>
      <c r="C204" s="198" t="s">
        <v>208</v>
      </c>
      <c r="D204" s="197" t="s">
        <v>208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208</v>
      </c>
      <c r="C205" s="198" t="s">
        <v>208</v>
      </c>
      <c r="D205" s="197" t="s">
        <v>208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208</v>
      </c>
      <c r="C206" s="198" t="s">
        <v>208</v>
      </c>
      <c r="D206" s="197" t="s">
        <v>208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208</v>
      </c>
      <c r="C207" s="198" t="s">
        <v>208</v>
      </c>
      <c r="D207" s="197" t="s">
        <v>208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208</v>
      </c>
      <c r="C208" s="198" t="s">
        <v>208</v>
      </c>
      <c r="D208" s="197" t="s">
        <v>208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28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49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208</v>
      </c>
      <c r="C234" s="198" t="s">
        <v>208</v>
      </c>
      <c r="D234" s="197" t="s">
        <v>208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208</v>
      </c>
      <c r="C235" s="198" t="s">
        <v>208</v>
      </c>
      <c r="D235" s="197" t="s">
        <v>208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208</v>
      </c>
      <c r="C236" s="198" t="s">
        <v>208</v>
      </c>
      <c r="D236" s="197" t="s">
        <v>208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208</v>
      </c>
      <c r="C237" s="198" t="s">
        <v>208</v>
      </c>
      <c r="D237" s="197" t="s">
        <v>208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208</v>
      </c>
      <c r="C238" s="198" t="s">
        <v>208</v>
      </c>
      <c r="D238" s="197" t="s">
        <v>208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208</v>
      </c>
      <c r="C239" s="198" t="s">
        <v>208</v>
      </c>
      <c r="D239" s="197" t="s">
        <v>208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29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49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208</v>
      </c>
      <c r="C265" s="198" t="s">
        <v>208</v>
      </c>
      <c r="D265" s="197" t="s">
        <v>208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208</v>
      </c>
      <c r="C266" s="198" t="s">
        <v>208</v>
      </c>
      <c r="D266" s="197" t="s">
        <v>208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208</v>
      </c>
      <c r="C267" s="198" t="s">
        <v>208</v>
      </c>
      <c r="D267" s="197" t="s">
        <v>208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208</v>
      </c>
      <c r="C268" s="198" t="s">
        <v>208</v>
      </c>
      <c r="D268" s="197" t="s">
        <v>208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208</v>
      </c>
      <c r="C269" s="198" t="s">
        <v>208</v>
      </c>
      <c r="D269" s="197" t="s">
        <v>208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208</v>
      </c>
      <c r="C270" s="198" t="s">
        <v>208</v>
      </c>
      <c r="D270" s="197" t="s">
        <v>208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30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49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208</v>
      </c>
      <c r="C296" s="198" t="s">
        <v>208</v>
      </c>
      <c r="D296" s="197" t="s">
        <v>208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208</v>
      </c>
      <c r="C297" s="198" t="s">
        <v>208</v>
      </c>
      <c r="D297" s="197" t="s">
        <v>208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208</v>
      </c>
      <c r="C298" s="198" t="s">
        <v>208</v>
      </c>
      <c r="D298" s="197" t="s">
        <v>208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208</v>
      </c>
      <c r="C299" s="198" t="s">
        <v>208</v>
      </c>
      <c r="D299" s="197" t="s">
        <v>208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208</v>
      </c>
      <c r="C300" s="198" t="s">
        <v>208</v>
      </c>
      <c r="D300" s="197" t="s">
        <v>208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208</v>
      </c>
      <c r="C301" s="198" t="s">
        <v>208</v>
      </c>
      <c r="D301" s="197" t="s">
        <v>208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D707EF-4408-4EF4-A643-B34E0EC41C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F888D3-77E8-4E7F-B579-F1FFD09AA5BD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customXml/itemProps3.xml><?xml version="1.0" encoding="utf-8"?>
<ds:datastoreItem xmlns:ds="http://schemas.openxmlformats.org/officeDocument/2006/customXml" ds:itemID="{432EC198-309D-4079-B149-FEFEF66BA0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REE</vt:lpstr>
      <vt:lpstr>Calculateur</vt:lpstr>
      <vt:lpstr>Paramètres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Mazeau guillaume</cp:lastModifiedBy>
  <cp:revision/>
  <dcterms:created xsi:type="dcterms:W3CDTF">2021-02-01T08:22:39Z</dcterms:created>
  <dcterms:modified xsi:type="dcterms:W3CDTF">2024-10-16T07:58:41Z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0x010100B17917BD1DD3FD43A53AD9CE171726C7</vt:lpwstr>
  </property>
  <property fmtid="{D5CDD505-2E9C-101B-9397-08002B2CF9AE}" pid="3" name="MediaServiceImageTags">
    <vt:lpwstr/>
  </property>
</Properties>
</file>